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rp\shares\home\flamms\My Documents\MSS\March 2023\"/>
    </mc:Choice>
  </mc:AlternateContent>
  <bookViews>
    <workbookView xWindow="0" yWindow="0" windowWidth="25200" windowHeight="11865"/>
  </bookViews>
  <sheets>
    <sheet name="Example 1 Penalty Assessment Ch" sheetId="5" r:id="rId1"/>
    <sheet name="Example 2 - 80% 90% HoldBack" sheetId="2" r:id="rId2"/>
    <sheet name="Example 3 - 80%70% HoldBack" sheetId="3" r:id="rId3"/>
    <sheet name="Interest Calculator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3" l="1"/>
  <c r="J14" i="3"/>
  <c r="I14" i="3"/>
  <c r="H14" i="3"/>
  <c r="G14" i="3"/>
  <c r="F14" i="3"/>
  <c r="K14" i="2"/>
  <c r="J14" i="2"/>
  <c r="I14" i="2"/>
  <c r="H14" i="2"/>
  <c r="G14" i="2"/>
  <c r="F14" i="2"/>
  <c r="K13" i="5"/>
  <c r="J13" i="5"/>
  <c r="I13" i="5"/>
  <c r="H13" i="5"/>
  <c r="G13" i="5"/>
  <c r="F13" i="5"/>
  <c r="E25" i="4" l="1"/>
  <c r="E24" i="4"/>
  <c r="E23" i="4"/>
  <c r="E22" i="4"/>
  <c r="E21" i="4"/>
  <c r="E20" i="4"/>
  <c r="E18" i="4"/>
  <c r="E17" i="4"/>
  <c r="E16" i="4"/>
  <c r="E19" i="4"/>
  <c r="H16" i="4"/>
  <c r="I16" i="4" l="1"/>
  <c r="B10" i="4" s="1"/>
  <c r="E23" i="2"/>
  <c r="D23" i="2"/>
  <c r="B12" i="5" l="1"/>
  <c r="C12" i="5" s="1"/>
  <c r="B11" i="5"/>
  <c r="C11" i="5" s="1"/>
  <c r="B16" i="5" l="1"/>
  <c r="D12" i="5"/>
  <c r="E12" i="5" s="1"/>
  <c r="F12" i="5" s="1"/>
  <c r="D11" i="5"/>
  <c r="C9" i="4"/>
  <c r="D9" i="4"/>
  <c r="E9" i="4"/>
  <c r="F9" i="4"/>
  <c r="G9" i="4"/>
  <c r="H9" i="4"/>
  <c r="I9" i="4"/>
  <c r="J9" i="4"/>
  <c r="B9" i="4"/>
  <c r="C21" i="2"/>
  <c r="D23" i="3"/>
  <c r="E23" i="3"/>
  <c r="H21" i="4" l="1"/>
  <c r="I21" i="4" s="1"/>
  <c r="G10" i="4" s="1"/>
  <c r="H24" i="4"/>
  <c r="I24" i="4" s="1"/>
  <c r="J10" i="4" s="1"/>
  <c r="H18" i="4"/>
  <c r="I18" i="4" s="1"/>
  <c r="D10" i="4" s="1"/>
  <c r="H20" i="4"/>
  <c r="I20" i="4" s="1"/>
  <c r="F10" i="4" s="1"/>
  <c r="H22" i="4"/>
  <c r="I22" i="4" s="1"/>
  <c r="H10" i="4" s="1"/>
  <c r="H19" i="4"/>
  <c r="I19" i="4" s="1"/>
  <c r="E10" i="4" s="1"/>
  <c r="H17" i="4"/>
  <c r="I17" i="4" s="1"/>
  <c r="C10" i="4" s="1"/>
  <c r="H23" i="4"/>
  <c r="I23" i="4" s="1"/>
  <c r="I10" i="4" s="1"/>
  <c r="H25" i="4"/>
  <c r="I25" i="4" s="1"/>
  <c r="G12" i="5"/>
  <c r="E11" i="5"/>
  <c r="K23" i="3"/>
  <c r="J23" i="3"/>
  <c r="I23" i="3"/>
  <c r="H23" i="3"/>
  <c r="G23" i="3"/>
  <c r="F23" i="3"/>
  <c r="D22" i="3"/>
  <c r="B13" i="3"/>
  <c r="B17" i="3" s="1"/>
  <c r="B12" i="3"/>
  <c r="C12" i="3" s="1"/>
  <c r="L23" i="2"/>
  <c r="L22" i="2"/>
  <c r="K23" i="2"/>
  <c r="J23" i="2"/>
  <c r="I23" i="2"/>
  <c r="H23" i="2"/>
  <c r="G23" i="2"/>
  <c r="F23" i="2"/>
  <c r="D22" i="2"/>
  <c r="B13" i="2"/>
  <c r="C13" i="2" s="1"/>
  <c r="B12" i="2"/>
  <c r="C12" i="2" s="1"/>
  <c r="I26" i="4" l="1"/>
  <c r="L11" i="5"/>
  <c r="H12" i="5"/>
  <c r="D12" i="3"/>
  <c r="C13" i="3"/>
  <c r="C21" i="3" s="1"/>
  <c r="L21" i="3" s="1"/>
  <c r="D12" i="2"/>
  <c r="E12" i="2" s="1"/>
  <c r="L12" i="2"/>
  <c r="D13" i="2"/>
  <c r="E13" i="2" s="1"/>
  <c r="F13" i="2" s="1"/>
  <c r="B17" i="2"/>
  <c r="I12" i="5" l="1"/>
  <c r="E12" i="3"/>
  <c r="D13" i="3"/>
  <c r="E13" i="3" s="1"/>
  <c r="F13" i="3" s="1"/>
  <c r="L22" i="3"/>
  <c r="L12" i="3"/>
  <c r="G13" i="2"/>
  <c r="L21" i="2"/>
  <c r="J12" i="5" l="1"/>
  <c r="G13" i="3"/>
  <c r="H13" i="2"/>
  <c r="K12" i="5" l="1"/>
  <c r="H13" i="3"/>
  <c r="I13" i="2"/>
  <c r="L12" i="5" l="1"/>
  <c r="I13" i="3"/>
  <c r="J13" i="2"/>
  <c r="L13" i="5" l="1"/>
  <c r="C14" i="5" s="1"/>
  <c r="K9" i="4"/>
  <c r="J13" i="3"/>
  <c r="K13" i="2"/>
  <c r="L13" i="2"/>
  <c r="D14" i="5" l="1"/>
  <c r="C16" i="5"/>
  <c r="K10" i="4"/>
  <c r="K13" i="3"/>
  <c r="L13" i="3"/>
  <c r="L14" i="2"/>
  <c r="K15" i="2" l="1"/>
  <c r="C15" i="2"/>
  <c r="D15" i="2"/>
  <c r="E15" i="2"/>
  <c r="F15" i="2"/>
  <c r="G15" i="2"/>
  <c r="H15" i="2"/>
  <c r="I15" i="2"/>
  <c r="J15" i="2"/>
  <c r="E14" i="5"/>
  <c r="D16" i="5"/>
  <c r="E11" i="4"/>
  <c r="E12" i="4" s="1"/>
  <c r="F11" i="4"/>
  <c r="F12" i="4" s="1"/>
  <c r="G11" i="4"/>
  <c r="G12" i="4" s="1"/>
  <c r="H11" i="4"/>
  <c r="H12" i="4" s="1"/>
  <c r="I11" i="4"/>
  <c r="I12" i="4" s="1"/>
  <c r="J11" i="4"/>
  <c r="J12" i="4" s="1"/>
  <c r="B11" i="4"/>
  <c r="C11" i="4"/>
  <c r="C12" i="4" s="1"/>
  <c r="D11" i="4"/>
  <c r="D12" i="4" s="1"/>
  <c r="L23" i="3"/>
  <c r="L14" i="3"/>
  <c r="C20" i="2"/>
  <c r="C25" i="2" s="1"/>
  <c r="E20" i="3" l="1"/>
  <c r="H15" i="3"/>
  <c r="I20" i="3"/>
  <c r="K20" i="3"/>
  <c r="D15" i="3"/>
  <c r="F15" i="3"/>
  <c r="F20" i="3"/>
  <c r="I15" i="3"/>
  <c r="K15" i="3"/>
  <c r="J20" i="3"/>
  <c r="C20" i="3"/>
  <c r="C25" i="3" s="1"/>
  <c r="D20" i="3"/>
  <c r="G20" i="3"/>
  <c r="J15" i="3"/>
  <c r="C15" i="3"/>
  <c r="E15" i="3"/>
  <c r="G15" i="3"/>
  <c r="H20" i="3"/>
  <c r="F14" i="5"/>
  <c r="E16" i="5"/>
  <c r="K11" i="4"/>
  <c r="B12" i="4"/>
  <c r="C17" i="2"/>
  <c r="D20" i="2"/>
  <c r="D25" i="2" s="1"/>
  <c r="F16" i="5" l="1"/>
  <c r="G14" i="5"/>
  <c r="C17" i="3"/>
  <c r="D25" i="3"/>
  <c r="E20" i="2"/>
  <c r="E25" i="2" s="1"/>
  <c r="D17" i="2"/>
  <c r="G16" i="5" l="1"/>
  <c r="H14" i="5"/>
  <c r="E25" i="3"/>
  <c r="D17" i="3"/>
  <c r="E17" i="2"/>
  <c r="F20" i="2"/>
  <c r="F25" i="2" s="1"/>
  <c r="I14" i="5" l="1"/>
  <c r="H16" i="5"/>
  <c r="E17" i="3"/>
  <c r="F25" i="3"/>
  <c r="G20" i="2"/>
  <c r="G25" i="2" s="1"/>
  <c r="F17" i="2"/>
  <c r="J14" i="5" l="1"/>
  <c r="I16" i="5"/>
  <c r="G25" i="3"/>
  <c r="F17" i="3"/>
  <c r="G17" i="2"/>
  <c r="H20" i="2"/>
  <c r="H25" i="2" s="1"/>
  <c r="K14" i="5" l="1"/>
  <c r="K16" i="5" s="1"/>
  <c r="J16" i="5"/>
  <c r="L14" i="5"/>
  <c r="L16" i="5" s="1"/>
  <c r="G17" i="3"/>
  <c r="H25" i="3"/>
  <c r="H17" i="2"/>
  <c r="I20" i="2"/>
  <c r="I25" i="2" s="1"/>
  <c r="K12" i="4" l="1"/>
  <c r="I25" i="3"/>
  <c r="H17" i="3"/>
  <c r="J20" i="2"/>
  <c r="J25" i="2" s="1"/>
  <c r="I17" i="2"/>
  <c r="I17" i="3" l="1"/>
  <c r="J25" i="3"/>
  <c r="J17" i="2"/>
  <c r="K17" i="2"/>
  <c r="K20" i="2"/>
  <c r="K25" i="2" s="1"/>
  <c r="L25" i="2" s="1"/>
  <c r="K25" i="3" l="1"/>
  <c r="L20" i="3"/>
  <c r="J17" i="3"/>
  <c r="L20" i="2"/>
  <c r="L15" i="2"/>
  <c r="L17" i="2" s="1"/>
  <c r="K17" i="3" l="1"/>
  <c r="L15" i="3"/>
  <c r="L17" i="3" s="1"/>
  <c r="L25" i="3"/>
</calcChain>
</file>

<file path=xl/sharedStrings.xml><?xml version="1.0" encoding="utf-8"?>
<sst xmlns="http://schemas.openxmlformats.org/spreadsheetml/2006/main" count="113" uniqueCount="49">
  <si>
    <t>Example of CashFlow for 3 month/ 9 month Elections</t>
  </si>
  <si>
    <t>Penalty</t>
  </si>
  <si>
    <t>Election</t>
  </si>
  <si>
    <t>Invoice</t>
  </si>
  <si>
    <t>3 month</t>
  </si>
  <si>
    <t>9 month</t>
  </si>
  <si>
    <t>Gross Penalty</t>
  </si>
  <si>
    <t>Interest</t>
  </si>
  <si>
    <t>Totals</t>
  </si>
  <si>
    <t>Bonus Distribution</t>
  </si>
  <si>
    <t>Interest - 0% holdback</t>
  </si>
  <si>
    <t>Total Monthly Credit</t>
  </si>
  <si>
    <t>Month 2-9 - holdback 10%</t>
  </si>
  <si>
    <t>Month 2-9 - holdback 30%</t>
  </si>
  <si>
    <t>Adjusted 9 month payment</t>
  </si>
  <si>
    <t>Charge - 20% holdback - month one</t>
  </si>
  <si>
    <t>Total Monthly Charges (3 month + Adjusted 9 month)</t>
  </si>
  <si>
    <t>Gross Non-Performance Charge</t>
  </si>
  <si>
    <t>Enter total non-performance charge here</t>
  </si>
  <si>
    <t>FERC Interest Rate as of 3/17/2023</t>
  </si>
  <si>
    <r>
      <t xml:space="preserve">Levelized Interest
</t>
    </r>
    <r>
      <rPr>
        <sz val="10"/>
        <color theme="1"/>
        <rFont val="Arial"/>
        <family val="2"/>
        <scheme val="minor"/>
      </rPr>
      <t>(Will appear as a same month adjustment to the Non-Performance Charge billing line item)</t>
    </r>
  </si>
  <si>
    <r>
      <t xml:space="preserve">Monthly Non-Performance Charge
</t>
    </r>
    <r>
      <rPr>
        <sz val="10"/>
        <color theme="1"/>
        <rFont val="Arial"/>
        <family val="2"/>
        <scheme val="minor"/>
      </rPr>
      <t>(Billing Line Item 1667: Non-Performance Charge)</t>
    </r>
  </si>
  <si>
    <t>Total Adjusted monthly payment</t>
  </si>
  <si>
    <t>Assuming 20% holdback for month one and collection is 90%</t>
  </si>
  <si>
    <t>Assuming 20% holdback for month one and collection is 70%</t>
  </si>
  <si>
    <t xml:space="preserve">Correction - month 1 for 90% collection </t>
  </si>
  <si>
    <r>
      <t>Correction - month 1 for 70% collection</t>
    </r>
    <r>
      <rPr>
        <sz val="11"/>
        <color rgb="FF7030A0"/>
        <rFont val="Arial"/>
        <family val="2"/>
        <scheme val="minor"/>
      </rPr>
      <t xml:space="preserve"> </t>
    </r>
  </si>
  <si>
    <t>Numbers shown here are for example purposes only</t>
  </si>
  <si>
    <t>Year</t>
  </si>
  <si>
    <t>StartDay</t>
  </si>
  <si>
    <t>EndDay</t>
  </si>
  <si>
    <t>Days in Year</t>
  </si>
  <si>
    <t>FERC Int Rate</t>
  </si>
  <si>
    <t>Int on Amt</t>
  </si>
  <si>
    <t>Interest $</t>
  </si>
  <si>
    <t>Month</t>
  </si>
  <si>
    <t>April Billing Statement</t>
  </si>
  <si>
    <t>May Billing Statement</t>
  </si>
  <si>
    <t>June Billing Statement</t>
  </si>
  <si>
    <t>July Billing Statement</t>
  </si>
  <si>
    <t>August Billing Statement</t>
  </si>
  <si>
    <t>September Billing Statement</t>
  </si>
  <si>
    <t>October Billing Statement</t>
  </si>
  <si>
    <t>November Billing Statement</t>
  </si>
  <si>
    <t>December Billing Statement</t>
  </si>
  <si>
    <t>March Billing Statement</t>
  </si>
  <si>
    <t>Days in Period</t>
  </si>
  <si>
    <t>Total Interest</t>
  </si>
  <si>
    <t>Interest Calculator For Participants Electing The 9 Month Payment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</si>
</sst>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u val="singleAccounting"/>
      <sz val="11"/>
      <color rgb="FFFF0000"/>
      <name val="Arial"/>
      <family val="2"/>
      <scheme val="minor"/>
    </font>
    <font>
      <u val="singleAccounting"/>
      <sz val="11"/>
      <color theme="1"/>
      <name val="Arial"/>
      <family val="2"/>
      <scheme val="minor"/>
    </font>
    <font>
      <sz val="11"/>
      <color rgb="FF7030A0"/>
      <name val="Arial"/>
      <family val="2"/>
      <scheme val="minor"/>
    </font>
    <font>
      <i/>
      <sz val="11"/>
      <color theme="1"/>
      <name val="Arial"/>
      <family val="2"/>
      <scheme val="minor"/>
    </font>
    <font>
      <sz val="10"/>
      <name val="Arial"/>
      <family val="2"/>
    </font>
    <font>
      <sz val="11"/>
      <name val="Arial"/>
      <family val="2"/>
      <scheme val="minor"/>
    </font>
    <font>
      <b/>
      <u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0" fillId="0" borderId="0" xfId="2" applyFont="1"/>
    <xf numFmtId="44" fontId="0" fillId="0" borderId="0" xfId="0" applyNumberFormat="1"/>
    <xf numFmtId="0" fontId="3" fillId="0" borderId="0" xfId="0" applyFont="1"/>
    <xf numFmtId="0" fontId="2" fillId="0" borderId="0" xfId="0" applyFont="1"/>
    <xf numFmtId="0" fontId="0" fillId="0" borderId="0" xfId="0" applyFill="1"/>
    <xf numFmtId="44" fontId="0" fillId="0" borderId="0" xfId="0" applyNumberFormat="1" applyFill="1"/>
    <xf numFmtId="44" fontId="0" fillId="0" borderId="0" xfId="2" applyFont="1" applyFill="1"/>
    <xf numFmtId="44" fontId="0" fillId="2" borderId="0" xfId="2" applyFont="1" applyFill="1"/>
    <xf numFmtId="0" fontId="4" fillId="0" borderId="0" xfId="0" applyFont="1"/>
    <xf numFmtId="0" fontId="6" fillId="0" borderId="0" xfId="0" applyFont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4" fillId="0" borderId="0" xfId="0" applyFont="1" applyFill="1"/>
    <xf numFmtId="44" fontId="7" fillId="0" borderId="0" xfId="0" applyNumberFormat="1" applyFont="1" applyFill="1"/>
    <xf numFmtId="44" fontId="7" fillId="0" borderId="0" xfId="2" applyFont="1" applyFill="1"/>
    <xf numFmtId="0" fontId="0" fillId="2" borderId="0" xfId="0" applyFill="1"/>
    <xf numFmtId="44" fontId="0" fillId="2" borderId="1" xfId="0" applyNumberFormat="1" applyFill="1" applyBorder="1"/>
    <xf numFmtId="0" fontId="2" fillId="0" borderId="2" xfId="0" applyFont="1" applyBorder="1"/>
    <xf numFmtId="43" fontId="2" fillId="0" borderId="3" xfId="1" applyFont="1" applyBorder="1"/>
    <xf numFmtId="44" fontId="4" fillId="0" borderId="0" xfId="0" applyNumberFormat="1" applyFont="1"/>
    <xf numFmtId="44" fontId="8" fillId="0" borderId="0" xfId="0" applyNumberFormat="1" applyFont="1"/>
    <xf numFmtId="44" fontId="8" fillId="0" borderId="0" xfId="2" applyFont="1"/>
    <xf numFmtId="44" fontId="0" fillId="2" borderId="1" xfId="2" applyFont="1" applyFill="1" applyBorder="1"/>
    <xf numFmtId="0" fontId="10" fillId="0" borderId="0" xfId="0" applyFont="1"/>
    <xf numFmtId="0" fontId="0" fillId="0" borderId="0" xfId="0" applyAlignment="1">
      <alignment horizontal="right"/>
    </xf>
    <xf numFmtId="1" fontId="0" fillId="0" borderId="0" xfId="0" applyNumberFormat="1"/>
    <xf numFmtId="0" fontId="0" fillId="0" borderId="0" xfId="0"/>
    <xf numFmtId="10" fontId="11" fillId="0" borderId="0" xfId="0" applyNumberFormat="1" applyFont="1" applyFill="1" applyAlignment="1">
      <alignment horizontal="left"/>
    </xf>
    <xf numFmtId="14" fontId="0" fillId="0" borderId="0" xfId="0" applyNumberFormat="1"/>
    <xf numFmtId="14" fontId="12" fillId="0" borderId="0" xfId="0" applyNumberFormat="1" applyFont="1"/>
    <xf numFmtId="43" fontId="0" fillId="0" borderId="0" xfId="1" applyFont="1"/>
    <xf numFmtId="43" fontId="0" fillId="0" borderId="0" xfId="1" applyFont="1" applyFill="1"/>
    <xf numFmtId="0" fontId="2" fillId="0" borderId="0" xfId="0" applyFont="1" applyBorder="1" applyAlignment="1">
      <alignment horizontal="center"/>
    </xf>
    <xf numFmtId="0" fontId="0" fillId="0" borderId="0" xfId="0" applyBorder="1"/>
    <xf numFmtId="17" fontId="0" fillId="0" borderId="0" xfId="0" quotePrefix="1" applyNumberFormat="1"/>
    <xf numFmtId="4" fontId="0" fillId="0" borderId="0" xfId="0" applyNumberFormat="1" applyFill="1"/>
    <xf numFmtId="10" fontId="12" fillId="0" borderId="0" xfId="0" applyNumberFormat="1" applyFont="1"/>
    <xf numFmtId="43" fontId="0" fillId="0" borderId="0" xfId="0" applyNumberFormat="1" applyFill="1"/>
    <xf numFmtId="0" fontId="1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3" fillId="0" borderId="0" xfId="0" applyFont="1" applyBorder="1" applyAlignment="1">
      <alignment horizontal="center"/>
    </xf>
    <xf numFmtId="43" fontId="0" fillId="0" borderId="0" xfId="1" applyFont="1" applyBorder="1"/>
    <xf numFmtId="44" fontId="2" fillId="3" borderId="0" xfId="0" applyNumberFormat="1" applyFont="1" applyFill="1" applyBorder="1"/>
    <xf numFmtId="10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C21" sqref="C21"/>
    </sheetView>
  </sheetViews>
  <sheetFormatPr defaultRowHeight="14.25" x14ac:dyDescent="0.2"/>
  <cols>
    <col min="1" max="1" width="43.875" bestFit="1" customWidth="1"/>
    <col min="2" max="2" width="17.125" bestFit="1" customWidth="1"/>
    <col min="3" max="3" width="15.625" bestFit="1" customWidth="1"/>
    <col min="4" max="5" width="15.5" bestFit="1" customWidth="1"/>
    <col min="6" max="6" width="15.625" bestFit="1" customWidth="1"/>
    <col min="7" max="11" width="15.5" bestFit="1" customWidth="1"/>
    <col min="12" max="13" width="17.125" bestFit="1" customWidth="1"/>
  </cols>
  <sheetData>
    <row r="1" spans="1:12" ht="15" x14ac:dyDescent="0.25">
      <c r="A1" s="7" t="s">
        <v>0</v>
      </c>
    </row>
    <row r="2" spans="1:12" x14ac:dyDescent="0.2">
      <c r="A2" s="29" t="s">
        <v>27</v>
      </c>
    </row>
    <row r="4" spans="1:12" ht="15" thickBot="1" x14ac:dyDescent="0.25">
      <c r="B4" s="1"/>
    </row>
    <row r="5" spans="1:12" ht="15.75" thickBot="1" x14ac:dyDescent="0.3">
      <c r="A5" s="23" t="s">
        <v>1</v>
      </c>
      <c r="B5" s="24">
        <v>1800000000</v>
      </c>
    </row>
    <row r="6" spans="1:12" x14ac:dyDescent="0.2">
      <c r="A6" s="6"/>
    </row>
    <row r="8" spans="1:12" x14ac:dyDescent="0.2">
      <c r="A8" s="16"/>
      <c r="B8" s="16"/>
      <c r="C8" s="17">
        <v>44986</v>
      </c>
      <c r="D8" s="17">
        <v>45017</v>
      </c>
      <c r="E8" s="17">
        <v>45047</v>
      </c>
      <c r="F8" s="17">
        <v>45078</v>
      </c>
      <c r="G8" s="17">
        <v>45108</v>
      </c>
      <c r="H8" s="17">
        <v>45139</v>
      </c>
      <c r="I8" s="17">
        <v>45170</v>
      </c>
      <c r="J8" s="17">
        <v>45200</v>
      </c>
      <c r="K8" s="17">
        <v>45231</v>
      </c>
      <c r="L8" s="6"/>
    </row>
    <row r="9" spans="1:12" x14ac:dyDescent="0.2">
      <c r="A9" s="16" t="s">
        <v>2</v>
      </c>
      <c r="B9" s="16" t="s">
        <v>6</v>
      </c>
      <c r="C9" s="16" t="s">
        <v>3</v>
      </c>
      <c r="D9" s="16" t="s">
        <v>3</v>
      </c>
      <c r="E9" s="16" t="s">
        <v>3</v>
      </c>
      <c r="F9" s="16" t="s">
        <v>3</v>
      </c>
      <c r="G9" s="16" t="s">
        <v>3</v>
      </c>
      <c r="H9" s="16" t="s">
        <v>3</v>
      </c>
      <c r="I9" s="16" t="s">
        <v>3</v>
      </c>
      <c r="J9" s="16" t="s">
        <v>3</v>
      </c>
      <c r="K9" s="16" t="s">
        <v>3</v>
      </c>
      <c r="L9" s="16" t="s">
        <v>8</v>
      </c>
    </row>
    <row r="11" spans="1:12" x14ac:dyDescent="0.2">
      <c r="A11" t="s">
        <v>4</v>
      </c>
      <c r="B11" s="4">
        <f>B5*0.5</f>
        <v>900000000</v>
      </c>
      <c r="C11" s="4">
        <f>B11/3</f>
        <v>300000000</v>
      </c>
      <c r="D11" s="4">
        <f>C11</f>
        <v>300000000</v>
      </c>
      <c r="E11" s="4">
        <f>D11</f>
        <v>300000000</v>
      </c>
      <c r="F11" s="4"/>
      <c r="G11" s="4"/>
      <c r="H11" s="4"/>
      <c r="I11" s="4"/>
      <c r="J11" s="4"/>
      <c r="K11" s="4"/>
      <c r="L11" s="4">
        <f>SUM(C11:K11)</f>
        <v>900000000</v>
      </c>
    </row>
    <row r="12" spans="1:12" x14ac:dyDescent="0.2">
      <c r="A12" t="s">
        <v>5</v>
      </c>
      <c r="B12" s="4">
        <f>B5*0.5</f>
        <v>900000000</v>
      </c>
      <c r="C12" s="4">
        <f>B12/9</f>
        <v>100000000</v>
      </c>
      <c r="D12" s="4">
        <f>C12</f>
        <v>100000000</v>
      </c>
      <c r="E12" s="4">
        <f>D12</f>
        <v>100000000</v>
      </c>
      <c r="F12" s="4">
        <f t="shared" ref="F12:K12" si="0">E12</f>
        <v>100000000</v>
      </c>
      <c r="G12" s="4">
        <f t="shared" si="0"/>
        <v>100000000</v>
      </c>
      <c r="H12" s="4">
        <f t="shared" si="0"/>
        <v>100000000</v>
      </c>
      <c r="I12" s="4">
        <f t="shared" si="0"/>
        <v>100000000</v>
      </c>
      <c r="J12" s="4">
        <f t="shared" si="0"/>
        <v>100000000</v>
      </c>
      <c r="K12" s="4">
        <f t="shared" si="0"/>
        <v>100000000</v>
      </c>
      <c r="L12" s="4">
        <f>SUM(C12:K12)</f>
        <v>900000000</v>
      </c>
    </row>
    <row r="13" spans="1:12" s="8" customFormat="1" ht="16.5" x14ac:dyDescent="0.35">
      <c r="A13" s="18" t="s">
        <v>7</v>
      </c>
      <c r="B13" s="19"/>
      <c r="C13" s="20"/>
      <c r="D13" s="20"/>
      <c r="E13" s="20"/>
      <c r="F13" s="20">
        <f>+'Interest Calculator'!I19</f>
        <v>2904328.7671232875</v>
      </c>
      <c r="G13" s="20">
        <f>+'Interest Calculator'!I20</f>
        <v>2420273.9726027399</v>
      </c>
      <c r="H13" s="20">
        <f>+'Interest Calculator'!I21</f>
        <v>2420273.9726027399</v>
      </c>
      <c r="I13" s="20">
        <f>+'Interest Calculator'!I22</f>
        <v>1452164.3835616438</v>
      </c>
      <c r="J13" s="20">
        <f>+'Interest Calculator'!I23</f>
        <v>1071835.6164383562</v>
      </c>
      <c r="K13" s="20">
        <f>+'Interest Calculator'!I24</f>
        <v>553205.47945205483</v>
      </c>
      <c r="L13" s="20">
        <f>SUM(C13:K13)</f>
        <v>10822082.19178082</v>
      </c>
    </row>
    <row r="14" spans="1:12" s="8" customFormat="1" x14ac:dyDescent="0.2">
      <c r="A14" s="8" t="s">
        <v>14</v>
      </c>
      <c r="B14" s="9"/>
      <c r="C14" s="10">
        <f>C12+(L13/9)</f>
        <v>101202453.57686454</v>
      </c>
      <c r="D14" s="10">
        <f>C14</f>
        <v>101202453.57686454</v>
      </c>
      <c r="E14" s="10">
        <f>D14</f>
        <v>101202453.57686454</v>
      </c>
      <c r="F14" s="10">
        <f t="shared" ref="F14:K14" si="1">E14</f>
        <v>101202453.57686454</v>
      </c>
      <c r="G14" s="10">
        <f t="shared" si="1"/>
        <v>101202453.57686454</v>
      </c>
      <c r="H14" s="10">
        <f t="shared" si="1"/>
        <v>101202453.57686454</v>
      </c>
      <c r="I14" s="10">
        <f t="shared" si="1"/>
        <v>101202453.57686454</v>
      </c>
      <c r="J14" s="10">
        <f t="shared" si="1"/>
        <v>101202453.57686454</v>
      </c>
      <c r="K14" s="10">
        <f t="shared" si="1"/>
        <v>101202453.57686454</v>
      </c>
      <c r="L14" s="10">
        <f>SUM(C14:K14)</f>
        <v>910822082.19178081</v>
      </c>
    </row>
    <row r="16" spans="1:12" s="8" customFormat="1" ht="15" thickBot="1" x14ac:dyDescent="0.25">
      <c r="A16" s="21" t="s">
        <v>16</v>
      </c>
      <c r="B16" s="22">
        <f>SUM(B11:B12)</f>
        <v>1800000000</v>
      </c>
      <c r="C16" s="22">
        <f>C14+C11</f>
        <v>401202453.57686454</v>
      </c>
      <c r="D16" s="22">
        <f t="shared" ref="D16:K16" si="2">D14+D11</f>
        <v>401202453.57686454</v>
      </c>
      <c r="E16" s="22">
        <f t="shared" si="2"/>
        <v>401202453.57686454</v>
      </c>
      <c r="F16" s="22">
        <f t="shared" si="2"/>
        <v>101202453.57686454</v>
      </c>
      <c r="G16" s="22">
        <f t="shared" si="2"/>
        <v>101202453.57686454</v>
      </c>
      <c r="H16" s="22">
        <f t="shared" si="2"/>
        <v>101202453.57686454</v>
      </c>
      <c r="I16" s="22">
        <f t="shared" si="2"/>
        <v>101202453.57686454</v>
      </c>
      <c r="J16" s="22">
        <f t="shared" si="2"/>
        <v>101202453.57686454</v>
      </c>
      <c r="K16" s="22">
        <f t="shared" si="2"/>
        <v>101202453.57686454</v>
      </c>
      <c r="L16" s="22">
        <f>L14+L11</f>
        <v>1810822082.1917808</v>
      </c>
    </row>
    <row r="17" spans="3:13" ht="15" thickTop="1" x14ac:dyDescent="0.2"/>
    <row r="19" spans="3:13" x14ac:dyDescent="0.2">
      <c r="C19" s="5"/>
      <c r="D19" s="5"/>
      <c r="E19" s="5"/>
      <c r="F19" s="5"/>
      <c r="G19" s="5"/>
      <c r="H19" s="5"/>
      <c r="I19" s="5"/>
      <c r="J19" s="5"/>
      <c r="K19" s="5"/>
      <c r="L19" s="4"/>
      <c r="M19" s="5"/>
    </row>
    <row r="20" spans="3:13" x14ac:dyDescent="0.2">
      <c r="C20" s="5"/>
      <c r="D20" s="5"/>
      <c r="E20" s="5"/>
      <c r="F20" s="5"/>
      <c r="G20" s="5"/>
      <c r="H20" s="5"/>
      <c r="I20" s="5"/>
      <c r="J20" s="5"/>
      <c r="K20" s="5"/>
      <c r="L20" s="4"/>
      <c r="M20" s="4"/>
    </row>
    <row r="21" spans="3:13" x14ac:dyDescent="0.2">
      <c r="M21" s="5"/>
    </row>
    <row r="22" spans="3:13" x14ac:dyDescent="0.2">
      <c r="C22" s="4"/>
      <c r="D22" s="4"/>
      <c r="E22" s="4"/>
      <c r="F22" s="4"/>
      <c r="G22" s="4"/>
      <c r="H22" s="4"/>
      <c r="I22" s="4"/>
      <c r="J22" s="4"/>
      <c r="K22" s="4"/>
      <c r="L22" s="4"/>
    </row>
    <row r="29" spans="3:13" x14ac:dyDescent="0.2">
      <c r="F29" s="1"/>
      <c r="G29" s="1"/>
      <c r="H29" s="1"/>
      <c r="I29" s="1"/>
      <c r="J29" s="1"/>
      <c r="K2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/>
  </sheetViews>
  <sheetFormatPr defaultRowHeight="14.25" x14ac:dyDescent="0.2"/>
  <cols>
    <col min="1" max="1" width="43.875" bestFit="1" customWidth="1"/>
    <col min="2" max="2" width="17.125" bestFit="1" customWidth="1"/>
    <col min="3" max="3" width="15.75" bestFit="1" customWidth="1"/>
    <col min="4" max="11" width="15.5" bestFit="1" customWidth="1"/>
    <col min="12" max="13" width="17.125" bestFit="1" customWidth="1"/>
  </cols>
  <sheetData>
    <row r="1" spans="1:12" ht="15" x14ac:dyDescent="0.25">
      <c r="A1" s="7" t="s">
        <v>0</v>
      </c>
    </row>
    <row r="2" spans="1:12" x14ac:dyDescent="0.2">
      <c r="A2" s="29" t="s">
        <v>27</v>
      </c>
    </row>
    <row r="3" spans="1:12" ht="15" thickBot="1" x14ac:dyDescent="0.25">
      <c r="A3" s="29"/>
    </row>
    <row r="4" spans="1:12" ht="15.75" thickBot="1" x14ac:dyDescent="0.3">
      <c r="A4" s="23" t="s">
        <v>1</v>
      </c>
      <c r="B4" s="24">
        <v>1800000000</v>
      </c>
    </row>
    <row r="5" spans="1:12" x14ac:dyDescent="0.2">
      <c r="B5" s="1"/>
    </row>
    <row r="7" spans="1:12" x14ac:dyDescent="0.2">
      <c r="A7" s="6" t="s">
        <v>23</v>
      </c>
    </row>
    <row r="9" spans="1:12" x14ac:dyDescent="0.2">
      <c r="A9" s="3"/>
      <c r="B9" s="3"/>
      <c r="C9" s="2">
        <v>44986</v>
      </c>
      <c r="D9" s="2">
        <v>45017</v>
      </c>
      <c r="E9" s="2">
        <v>45047</v>
      </c>
      <c r="F9" s="2">
        <v>45078</v>
      </c>
      <c r="G9" s="2">
        <v>45108</v>
      </c>
      <c r="H9" s="2">
        <v>45139</v>
      </c>
      <c r="I9" s="2">
        <v>45170</v>
      </c>
      <c r="J9" s="2">
        <v>45200</v>
      </c>
      <c r="K9" s="2">
        <v>45231</v>
      </c>
    </row>
    <row r="10" spans="1:12" x14ac:dyDescent="0.2">
      <c r="A10" s="3" t="s">
        <v>2</v>
      </c>
      <c r="B10" s="3" t="s">
        <v>6</v>
      </c>
      <c r="C10" s="3" t="s">
        <v>3</v>
      </c>
      <c r="D10" s="3" t="s">
        <v>3</v>
      </c>
      <c r="E10" s="3" t="s">
        <v>3</v>
      </c>
      <c r="F10" s="3" t="s">
        <v>3</v>
      </c>
      <c r="G10" s="3" t="s">
        <v>3</v>
      </c>
      <c r="H10" s="3" t="s">
        <v>3</v>
      </c>
      <c r="I10" s="3" t="s">
        <v>3</v>
      </c>
      <c r="J10" s="3" t="s">
        <v>3</v>
      </c>
      <c r="K10" s="3" t="s">
        <v>3</v>
      </c>
      <c r="L10" s="3" t="s">
        <v>8</v>
      </c>
    </row>
    <row r="12" spans="1:12" x14ac:dyDescent="0.2">
      <c r="A12" t="s">
        <v>4</v>
      </c>
      <c r="B12" s="4">
        <f>B4*0.5</f>
        <v>900000000</v>
      </c>
      <c r="C12" s="4">
        <f>B12/3</f>
        <v>300000000</v>
      </c>
      <c r="D12" s="4">
        <f>C12</f>
        <v>300000000</v>
      </c>
      <c r="E12" s="4">
        <f>D12</f>
        <v>300000000</v>
      </c>
      <c r="F12" s="4"/>
      <c r="G12" s="4"/>
      <c r="H12" s="4"/>
      <c r="I12" s="4"/>
      <c r="J12" s="4"/>
      <c r="K12" s="4"/>
      <c r="L12" s="4">
        <f>SUM(C12:K12)</f>
        <v>900000000</v>
      </c>
    </row>
    <row r="13" spans="1:12" x14ac:dyDescent="0.2">
      <c r="A13" t="s">
        <v>5</v>
      </c>
      <c r="B13" s="4">
        <f>B4*0.5</f>
        <v>900000000</v>
      </c>
      <c r="C13" s="4">
        <f>B13/9</f>
        <v>100000000</v>
      </c>
      <c r="D13" s="4">
        <f>C13</f>
        <v>100000000</v>
      </c>
      <c r="E13" s="4">
        <f>D13</f>
        <v>100000000</v>
      </c>
      <c r="F13" s="4">
        <f t="shared" ref="F13:K13" si="0">E13</f>
        <v>100000000</v>
      </c>
      <c r="G13" s="4">
        <f t="shared" si="0"/>
        <v>100000000</v>
      </c>
      <c r="H13" s="4">
        <f t="shared" si="0"/>
        <v>100000000</v>
      </c>
      <c r="I13" s="4">
        <f t="shared" si="0"/>
        <v>100000000</v>
      </c>
      <c r="J13" s="4">
        <f t="shared" si="0"/>
        <v>100000000</v>
      </c>
      <c r="K13" s="4">
        <f t="shared" si="0"/>
        <v>100000000</v>
      </c>
      <c r="L13" s="4">
        <f>SUM(C13:K13)</f>
        <v>900000000</v>
      </c>
    </row>
    <row r="14" spans="1:12" s="8" customFormat="1" ht="16.5" x14ac:dyDescent="0.35">
      <c r="A14" s="8" t="s">
        <v>7</v>
      </c>
      <c r="B14" s="9"/>
      <c r="C14" s="10"/>
      <c r="D14" s="10"/>
      <c r="E14" s="10"/>
      <c r="F14" s="20">
        <f>+'Example 1 Penalty Assessment Ch'!F13</f>
        <v>2904328.7671232875</v>
      </c>
      <c r="G14" s="20">
        <f>+'Example 1 Penalty Assessment Ch'!G13</f>
        <v>2420273.9726027399</v>
      </c>
      <c r="H14" s="20">
        <f>+'Example 1 Penalty Assessment Ch'!H13</f>
        <v>2420273.9726027399</v>
      </c>
      <c r="I14" s="20">
        <f>+'Example 1 Penalty Assessment Ch'!I13</f>
        <v>1452164.3835616438</v>
      </c>
      <c r="J14" s="20">
        <f>+'Example 1 Penalty Assessment Ch'!J13</f>
        <v>1071835.6164383562</v>
      </c>
      <c r="K14" s="20">
        <f>+'Example 1 Penalty Assessment Ch'!K13</f>
        <v>553205.47945205483</v>
      </c>
      <c r="L14" s="20">
        <f>SUM(C14:K14)</f>
        <v>10822082.19178082</v>
      </c>
    </row>
    <row r="15" spans="1:12" s="8" customFormat="1" x14ac:dyDescent="0.2">
      <c r="A15" s="8" t="s">
        <v>14</v>
      </c>
      <c r="B15" s="9"/>
      <c r="C15" s="10">
        <f>C13+($L$14/9)</f>
        <v>101202453.57686454</v>
      </c>
      <c r="D15" s="10">
        <f t="shared" ref="D15:K15" si="1">D13+($L$14/9)</f>
        <v>101202453.57686454</v>
      </c>
      <c r="E15" s="10">
        <f t="shared" si="1"/>
        <v>101202453.57686454</v>
      </c>
      <c r="F15" s="10">
        <f t="shared" si="1"/>
        <v>101202453.57686454</v>
      </c>
      <c r="G15" s="10">
        <f t="shared" si="1"/>
        <v>101202453.57686454</v>
      </c>
      <c r="H15" s="10">
        <f t="shared" si="1"/>
        <v>101202453.57686454</v>
      </c>
      <c r="I15" s="10">
        <f t="shared" si="1"/>
        <v>101202453.57686454</v>
      </c>
      <c r="J15" s="10">
        <f t="shared" si="1"/>
        <v>101202453.57686454</v>
      </c>
      <c r="K15" s="10">
        <f t="shared" si="1"/>
        <v>101202453.57686454</v>
      </c>
      <c r="L15" s="10">
        <f>SUM(C15:K15)</f>
        <v>910822082.19178081</v>
      </c>
    </row>
    <row r="17" spans="1:13" ht="15" thickBot="1" x14ac:dyDescent="0.25">
      <c r="A17" s="21" t="s">
        <v>16</v>
      </c>
      <c r="B17" s="22">
        <f>SUM(B12:B13)</f>
        <v>1800000000</v>
      </c>
      <c r="C17" s="22">
        <f>C15+C12</f>
        <v>401202453.57686454</v>
      </c>
      <c r="D17" s="22">
        <f t="shared" ref="D17:K17" si="2">D15+D12</f>
        <v>401202453.57686454</v>
      </c>
      <c r="E17" s="22">
        <f t="shared" si="2"/>
        <v>401202453.57686454</v>
      </c>
      <c r="F17" s="22">
        <f t="shared" si="2"/>
        <v>101202453.57686454</v>
      </c>
      <c r="G17" s="22">
        <f t="shared" si="2"/>
        <v>101202453.57686454</v>
      </c>
      <c r="H17" s="22">
        <f t="shared" si="2"/>
        <v>101202453.57686454</v>
      </c>
      <c r="I17" s="22">
        <f t="shared" si="2"/>
        <v>101202453.57686454</v>
      </c>
      <c r="J17" s="22">
        <f t="shared" si="2"/>
        <v>101202453.57686454</v>
      </c>
      <c r="K17" s="22">
        <f t="shared" si="2"/>
        <v>101202453.57686454</v>
      </c>
      <c r="L17" s="22">
        <f>L15+L12</f>
        <v>1810822082.1917808</v>
      </c>
    </row>
    <row r="18" spans="1:13" ht="15" thickTop="1" x14ac:dyDescent="0.2"/>
    <row r="19" spans="1:13" x14ac:dyDescent="0.2">
      <c r="A19" s="6" t="s">
        <v>9</v>
      </c>
    </row>
    <row r="20" spans="1:13" x14ac:dyDescent="0.2">
      <c r="A20" t="s">
        <v>10</v>
      </c>
      <c r="C20" s="5">
        <f>L14/9</f>
        <v>1202453.5768645357</v>
      </c>
      <c r="D20" s="5">
        <f>C20</f>
        <v>1202453.5768645357</v>
      </c>
      <c r="E20" s="5">
        <f t="shared" ref="E20:K20" si="3">D20</f>
        <v>1202453.5768645357</v>
      </c>
      <c r="F20" s="5">
        <f t="shared" si="3"/>
        <v>1202453.5768645357</v>
      </c>
      <c r="G20" s="5">
        <f t="shared" si="3"/>
        <v>1202453.5768645357</v>
      </c>
      <c r="H20" s="5">
        <f t="shared" si="3"/>
        <v>1202453.5768645357</v>
      </c>
      <c r="I20" s="5">
        <f t="shared" si="3"/>
        <v>1202453.5768645357</v>
      </c>
      <c r="J20" s="5">
        <f t="shared" si="3"/>
        <v>1202453.5768645357</v>
      </c>
      <c r="K20" s="5">
        <f t="shared" si="3"/>
        <v>1202453.5768645357</v>
      </c>
      <c r="L20" s="4">
        <f t="shared" ref="L20:L25" si="4">SUM(C20:K20)</f>
        <v>10822082.19178082</v>
      </c>
      <c r="M20" s="5"/>
    </row>
    <row r="21" spans="1:13" x14ac:dyDescent="0.2">
      <c r="A21" t="s">
        <v>15</v>
      </c>
      <c r="C21" s="5">
        <f>(C12+C13)*0.8</f>
        <v>320000000</v>
      </c>
      <c r="D21" s="5"/>
      <c r="E21" s="5"/>
      <c r="F21" s="5"/>
      <c r="G21" s="5"/>
      <c r="H21" s="5"/>
      <c r="I21" s="5"/>
      <c r="J21" s="5"/>
      <c r="K21" s="5"/>
      <c r="L21" s="4">
        <f t="shared" si="4"/>
        <v>320000000</v>
      </c>
      <c r="M21" s="4"/>
    </row>
    <row r="22" spans="1:13" x14ac:dyDescent="0.2">
      <c r="A22" s="12" t="s">
        <v>25</v>
      </c>
      <c r="B22" s="12"/>
      <c r="C22" s="25"/>
      <c r="D22" s="25">
        <f>(C12+C13)*0.1</f>
        <v>40000000</v>
      </c>
      <c r="E22" s="5"/>
      <c r="F22" s="5"/>
      <c r="G22" s="5"/>
      <c r="H22" s="5"/>
      <c r="I22" s="5"/>
      <c r="J22" s="5"/>
      <c r="K22" s="5"/>
      <c r="L22" s="4">
        <f t="shared" si="4"/>
        <v>40000000</v>
      </c>
      <c r="M22" s="4"/>
    </row>
    <row r="23" spans="1:13" ht="16.5" x14ac:dyDescent="0.35">
      <c r="A23" t="s">
        <v>12</v>
      </c>
      <c r="C23" s="26">
        <v>0</v>
      </c>
      <c r="D23" s="26">
        <f>(D12+D13)*0.9</f>
        <v>360000000</v>
      </c>
      <c r="E23" s="26">
        <f>(E12+E13)*0.9</f>
        <v>360000000</v>
      </c>
      <c r="F23" s="26">
        <f>F13*0.9</f>
        <v>90000000</v>
      </c>
      <c r="G23" s="26">
        <f t="shared" ref="G23:K23" si="5">G13*0.9</f>
        <v>90000000</v>
      </c>
      <c r="H23" s="26">
        <f t="shared" si="5"/>
        <v>90000000</v>
      </c>
      <c r="I23" s="26">
        <f t="shared" si="5"/>
        <v>90000000</v>
      </c>
      <c r="J23" s="26">
        <f t="shared" si="5"/>
        <v>90000000</v>
      </c>
      <c r="K23" s="26">
        <f t="shared" si="5"/>
        <v>90000000</v>
      </c>
      <c r="L23" s="27">
        <f t="shared" si="4"/>
        <v>1260000000</v>
      </c>
      <c r="M23" s="4"/>
    </row>
    <row r="24" spans="1:13" x14ac:dyDescent="0.2">
      <c r="M24" s="5"/>
    </row>
    <row r="25" spans="1:13" ht="15" thickBot="1" x14ac:dyDescent="0.25">
      <c r="A25" s="21" t="s">
        <v>11</v>
      </c>
      <c r="B25" s="21"/>
      <c r="C25" s="28">
        <f>SUM(C20:C23)</f>
        <v>321202453.57686454</v>
      </c>
      <c r="D25" s="28">
        <f t="shared" ref="D25:K25" si="6">SUM(D20:D23)</f>
        <v>401202453.57686454</v>
      </c>
      <c r="E25" s="28">
        <f t="shared" si="6"/>
        <v>361202453.57686454</v>
      </c>
      <c r="F25" s="28">
        <f t="shared" si="6"/>
        <v>91202453.576864541</v>
      </c>
      <c r="G25" s="28">
        <f t="shared" si="6"/>
        <v>91202453.576864541</v>
      </c>
      <c r="H25" s="28">
        <f t="shared" si="6"/>
        <v>91202453.576864541</v>
      </c>
      <c r="I25" s="28">
        <f t="shared" si="6"/>
        <v>91202453.576864541</v>
      </c>
      <c r="J25" s="28">
        <f t="shared" si="6"/>
        <v>91202453.576864541</v>
      </c>
      <c r="K25" s="28">
        <f t="shared" si="6"/>
        <v>91202453.576864541</v>
      </c>
      <c r="L25" s="28">
        <f t="shared" si="4"/>
        <v>1630822082.1917806</v>
      </c>
      <c r="M25" s="5"/>
    </row>
    <row r="26" spans="1:13" ht="15" thickTop="1" x14ac:dyDescent="0.2"/>
    <row r="32" spans="1:13" x14ac:dyDescent="0.2">
      <c r="F32" s="1"/>
      <c r="G32" s="1"/>
      <c r="H32" s="1"/>
      <c r="I32" s="1"/>
      <c r="J32" s="1"/>
      <c r="K32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/>
  </sheetViews>
  <sheetFormatPr defaultRowHeight="14.25" x14ac:dyDescent="0.2"/>
  <cols>
    <col min="1" max="1" width="43.875" bestFit="1" customWidth="1"/>
    <col min="2" max="2" width="17.125" bestFit="1" customWidth="1"/>
    <col min="3" max="3" width="15.75" bestFit="1" customWidth="1"/>
    <col min="4" max="4" width="15.625" bestFit="1" customWidth="1"/>
    <col min="5" max="11" width="15.5" bestFit="1" customWidth="1"/>
    <col min="12" max="13" width="17.125" bestFit="1" customWidth="1"/>
  </cols>
  <sheetData>
    <row r="1" spans="1:12" ht="15" x14ac:dyDescent="0.25">
      <c r="A1" s="7" t="s">
        <v>0</v>
      </c>
    </row>
    <row r="2" spans="1:12" x14ac:dyDescent="0.2">
      <c r="A2" s="29" t="s">
        <v>27</v>
      </c>
    </row>
    <row r="3" spans="1:12" ht="15" thickBot="1" x14ac:dyDescent="0.25">
      <c r="A3" s="29"/>
    </row>
    <row r="4" spans="1:12" ht="15.75" thickBot="1" x14ac:dyDescent="0.3">
      <c r="A4" s="23" t="s">
        <v>1</v>
      </c>
      <c r="B4" s="24">
        <v>1800000000</v>
      </c>
    </row>
    <row r="5" spans="1:12" x14ac:dyDescent="0.2">
      <c r="B5" s="1"/>
    </row>
    <row r="7" spans="1:12" x14ac:dyDescent="0.2">
      <c r="A7" s="6" t="s">
        <v>24</v>
      </c>
    </row>
    <row r="9" spans="1:12" x14ac:dyDescent="0.2">
      <c r="A9" s="3"/>
      <c r="B9" s="3"/>
      <c r="C9" s="2">
        <v>44986</v>
      </c>
      <c r="D9" s="2">
        <v>45017</v>
      </c>
      <c r="E9" s="2">
        <v>45047</v>
      </c>
      <c r="F9" s="2">
        <v>45078</v>
      </c>
      <c r="G9" s="2">
        <v>45108</v>
      </c>
      <c r="H9" s="2">
        <v>45139</v>
      </c>
      <c r="I9" s="2">
        <v>45170</v>
      </c>
      <c r="J9" s="2">
        <v>45200</v>
      </c>
      <c r="K9" s="2">
        <v>45231</v>
      </c>
    </row>
    <row r="10" spans="1:12" x14ac:dyDescent="0.2">
      <c r="A10" s="3" t="s">
        <v>2</v>
      </c>
      <c r="B10" s="3" t="s">
        <v>6</v>
      </c>
      <c r="C10" s="3" t="s">
        <v>3</v>
      </c>
      <c r="D10" s="3" t="s">
        <v>3</v>
      </c>
      <c r="E10" s="3" t="s">
        <v>3</v>
      </c>
      <c r="F10" s="3" t="s">
        <v>3</v>
      </c>
      <c r="G10" s="3" t="s">
        <v>3</v>
      </c>
      <c r="H10" s="3" t="s">
        <v>3</v>
      </c>
      <c r="I10" s="3" t="s">
        <v>3</v>
      </c>
      <c r="J10" s="3" t="s">
        <v>3</v>
      </c>
      <c r="K10" s="3" t="s">
        <v>3</v>
      </c>
      <c r="L10" s="3" t="s">
        <v>8</v>
      </c>
    </row>
    <row r="12" spans="1:12" x14ac:dyDescent="0.2">
      <c r="A12" t="s">
        <v>4</v>
      </c>
      <c r="B12" s="4">
        <f>B4*0.5</f>
        <v>900000000</v>
      </c>
      <c r="C12" s="4">
        <f>B12/3</f>
        <v>300000000</v>
      </c>
      <c r="D12" s="4">
        <f>C12</f>
        <v>300000000</v>
      </c>
      <c r="E12" s="4">
        <f>D12</f>
        <v>300000000</v>
      </c>
      <c r="F12" s="4"/>
      <c r="G12" s="4"/>
      <c r="H12" s="4"/>
      <c r="I12" s="4"/>
      <c r="J12" s="4"/>
      <c r="K12" s="4"/>
      <c r="L12" s="4">
        <f>SUM(C12:K12)</f>
        <v>900000000</v>
      </c>
    </row>
    <row r="13" spans="1:12" x14ac:dyDescent="0.2">
      <c r="A13" t="s">
        <v>5</v>
      </c>
      <c r="B13" s="4">
        <f>B4*0.5</f>
        <v>900000000</v>
      </c>
      <c r="C13" s="4">
        <f>B13/9</f>
        <v>100000000</v>
      </c>
      <c r="D13" s="4">
        <f>C13</f>
        <v>100000000</v>
      </c>
      <c r="E13" s="4">
        <f>D13</f>
        <v>100000000</v>
      </c>
      <c r="F13" s="4">
        <f t="shared" ref="F13:K13" si="0">E13</f>
        <v>100000000</v>
      </c>
      <c r="G13" s="4">
        <f t="shared" si="0"/>
        <v>100000000</v>
      </c>
      <c r="H13" s="4">
        <f t="shared" si="0"/>
        <v>100000000</v>
      </c>
      <c r="I13" s="4">
        <f t="shared" si="0"/>
        <v>100000000</v>
      </c>
      <c r="J13" s="4">
        <f t="shared" si="0"/>
        <v>100000000</v>
      </c>
      <c r="K13" s="4">
        <f t="shared" si="0"/>
        <v>100000000</v>
      </c>
      <c r="L13" s="4">
        <f>SUM(C13:K13)</f>
        <v>900000000</v>
      </c>
    </row>
    <row r="14" spans="1:12" s="8" customFormat="1" ht="16.5" x14ac:dyDescent="0.35">
      <c r="A14" s="8" t="s">
        <v>7</v>
      </c>
      <c r="B14" s="9"/>
      <c r="C14" s="10"/>
      <c r="D14" s="10"/>
      <c r="E14" s="10"/>
      <c r="F14" s="20">
        <f>+'Example 1 Penalty Assessment Ch'!F13</f>
        <v>2904328.7671232875</v>
      </c>
      <c r="G14" s="20">
        <f>+'Example 1 Penalty Assessment Ch'!G13</f>
        <v>2420273.9726027399</v>
      </c>
      <c r="H14" s="20">
        <f>+'Example 1 Penalty Assessment Ch'!H13</f>
        <v>2420273.9726027399</v>
      </c>
      <c r="I14" s="20">
        <f>+'Example 1 Penalty Assessment Ch'!I13</f>
        <v>1452164.3835616438</v>
      </c>
      <c r="J14" s="20">
        <f>+'Example 1 Penalty Assessment Ch'!J13</f>
        <v>1071835.6164383562</v>
      </c>
      <c r="K14" s="20">
        <f>+'Example 1 Penalty Assessment Ch'!K13</f>
        <v>553205.47945205483</v>
      </c>
      <c r="L14" s="20">
        <f>SUM(C14:K14)</f>
        <v>10822082.19178082</v>
      </c>
    </row>
    <row r="15" spans="1:12" s="8" customFormat="1" x14ac:dyDescent="0.2">
      <c r="A15" s="8" t="s">
        <v>14</v>
      </c>
      <c r="B15" s="9"/>
      <c r="C15" s="10">
        <f>C13+($L$14/9)</f>
        <v>101202453.57686454</v>
      </c>
      <c r="D15" s="10">
        <f t="shared" ref="D15:K15" si="1">D13+($L$14/9)</f>
        <v>101202453.57686454</v>
      </c>
      <c r="E15" s="10">
        <f t="shared" si="1"/>
        <v>101202453.57686454</v>
      </c>
      <c r="F15" s="10">
        <f t="shared" si="1"/>
        <v>101202453.57686454</v>
      </c>
      <c r="G15" s="10">
        <f t="shared" si="1"/>
        <v>101202453.57686454</v>
      </c>
      <c r="H15" s="10">
        <f t="shared" si="1"/>
        <v>101202453.57686454</v>
      </c>
      <c r="I15" s="10">
        <f t="shared" si="1"/>
        <v>101202453.57686454</v>
      </c>
      <c r="J15" s="10">
        <f t="shared" si="1"/>
        <v>101202453.57686454</v>
      </c>
      <c r="K15" s="10">
        <f t="shared" si="1"/>
        <v>101202453.57686454</v>
      </c>
      <c r="L15" s="10">
        <f>SUM(C15:K15)</f>
        <v>910822082.19178081</v>
      </c>
    </row>
    <row r="17" spans="1:13" ht="15" thickBot="1" x14ac:dyDescent="0.25">
      <c r="A17" s="21" t="s">
        <v>16</v>
      </c>
      <c r="B17" s="22">
        <f>SUM(B12:B13)</f>
        <v>1800000000</v>
      </c>
      <c r="C17" s="22">
        <f>C15+C12</f>
        <v>401202453.57686454</v>
      </c>
      <c r="D17" s="22">
        <f t="shared" ref="D17:K17" si="2">D15+D12</f>
        <v>401202453.57686454</v>
      </c>
      <c r="E17" s="22">
        <f t="shared" si="2"/>
        <v>401202453.57686454</v>
      </c>
      <c r="F17" s="22">
        <f t="shared" si="2"/>
        <v>101202453.57686454</v>
      </c>
      <c r="G17" s="22">
        <f t="shared" si="2"/>
        <v>101202453.57686454</v>
      </c>
      <c r="H17" s="22">
        <f t="shared" si="2"/>
        <v>101202453.57686454</v>
      </c>
      <c r="I17" s="22">
        <f t="shared" si="2"/>
        <v>101202453.57686454</v>
      </c>
      <c r="J17" s="22">
        <f t="shared" si="2"/>
        <v>101202453.57686454</v>
      </c>
      <c r="K17" s="22">
        <f t="shared" si="2"/>
        <v>101202453.57686454</v>
      </c>
      <c r="L17" s="22">
        <f>L15+L12</f>
        <v>1810822082.1917808</v>
      </c>
    </row>
    <row r="18" spans="1:13" ht="15" thickTop="1" x14ac:dyDescent="0.2"/>
    <row r="19" spans="1:13" x14ac:dyDescent="0.2">
      <c r="A19" t="s">
        <v>9</v>
      </c>
    </row>
    <row r="20" spans="1:13" x14ac:dyDescent="0.2">
      <c r="A20" t="s">
        <v>10</v>
      </c>
      <c r="C20" s="5">
        <f>$L$14/9</f>
        <v>1202453.5768645357</v>
      </c>
      <c r="D20" s="5">
        <f t="shared" ref="D20:K20" si="3">$L$14/9</f>
        <v>1202453.5768645357</v>
      </c>
      <c r="E20" s="5">
        <f t="shared" si="3"/>
        <v>1202453.5768645357</v>
      </c>
      <c r="F20" s="5">
        <f t="shared" si="3"/>
        <v>1202453.5768645357</v>
      </c>
      <c r="G20" s="5">
        <f t="shared" si="3"/>
        <v>1202453.5768645357</v>
      </c>
      <c r="H20" s="5">
        <f t="shared" si="3"/>
        <v>1202453.5768645357</v>
      </c>
      <c r="I20" s="5">
        <f t="shared" si="3"/>
        <v>1202453.5768645357</v>
      </c>
      <c r="J20" s="5">
        <f t="shared" si="3"/>
        <v>1202453.5768645357</v>
      </c>
      <c r="K20" s="5">
        <f t="shared" si="3"/>
        <v>1202453.5768645357</v>
      </c>
      <c r="L20" s="4">
        <f t="shared" ref="L20:L25" si="4">SUM(C20:K20)</f>
        <v>10822082.19178082</v>
      </c>
      <c r="M20" s="5"/>
    </row>
    <row r="21" spans="1:13" x14ac:dyDescent="0.2">
      <c r="A21" t="s">
        <v>15</v>
      </c>
      <c r="C21" s="5">
        <f>(C12+C13)*0.8</f>
        <v>320000000</v>
      </c>
      <c r="D21" s="5"/>
      <c r="E21" s="5"/>
      <c r="F21" s="5"/>
      <c r="G21" s="5"/>
      <c r="H21" s="5"/>
      <c r="I21" s="5"/>
      <c r="J21" s="5"/>
      <c r="K21" s="5"/>
      <c r="L21" s="4">
        <f t="shared" si="4"/>
        <v>320000000</v>
      </c>
      <c r="M21" s="4"/>
    </row>
    <row r="22" spans="1:13" x14ac:dyDescent="0.2">
      <c r="A22" s="12" t="s">
        <v>26</v>
      </c>
      <c r="B22" s="12"/>
      <c r="C22" s="25"/>
      <c r="D22" s="25">
        <f>-(C12+C13)*0.1</f>
        <v>-40000000</v>
      </c>
      <c r="E22" s="5"/>
      <c r="F22" s="5"/>
      <c r="G22" s="5"/>
      <c r="H22" s="5"/>
      <c r="I22" s="5"/>
      <c r="J22" s="5"/>
      <c r="K22" s="5"/>
      <c r="L22" s="4">
        <f t="shared" si="4"/>
        <v>-40000000</v>
      </c>
      <c r="M22" s="4"/>
    </row>
    <row r="23" spans="1:13" ht="16.5" x14ac:dyDescent="0.35">
      <c r="A23" t="s">
        <v>13</v>
      </c>
      <c r="C23" s="26">
        <v>0</v>
      </c>
      <c r="D23" s="26">
        <f>(D12+D13)*0.7</f>
        <v>280000000</v>
      </c>
      <c r="E23" s="26">
        <f>(E12+E13)*0.7</f>
        <v>280000000</v>
      </c>
      <c r="F23" s="26">
        <f>F13*0.7</f>
        <v>70000000</v>
      </c>
      <c r="G23" s="26">
        <f t="shared" ref="G23:K23" si="5">G13*0.7</f>
        <v>70000000</v>
      </c>
      <c r="H23" s="26">
        <f t="shared" si="5"/>
        <v>70000000</v>
      </c>
      <c r="I23" s="26">
        <f t="shared" si="5"/>
        <v>70000000</v>
      </c>
      <c r="J23" s="26">
        <f t="shared" si="5"/>
        <v>70000000</v>
      </c>
      <c r="K23" s="26">
        <f t="shared" si="5"/>
        <v>70000000</v>
      </c>
      <c r="L23" s="27">
        <f t="shared" si="4"/>
        <v>980000000</v>
      </c>
      <c r="M23" s="4"/>
    </row>
    <row r="24" spans="1:13" x14ac:dyDescent="0.2">
      <c r="M24" s="5"/>
    </row>
    <row r="25" spans="1:13" ht="15" thickBot="1" x14ac:dyDescent="0.25">
      <c r="A25" s="21" t="s">
        <v>11</v>
      </c>
      <c r="B25" s="21"/>
      <c r="C25" s="28">
        <f>SUM(C20:C23)</f>
        <v>321202453.57686454</v>
      </c>
      <c r="D25" s="28">
        <f t="shared" ref="D25:K25" si="6">SUM(D20:D23)</f>
        <v>241202453.57686454</v>
      </c>
      <c r="E25" s="28">
        <f t="shared" si="6"/>
        <v>281202453.57686454</v>
      </c>
      <c r="F25" s="28">
        <f t="shared" si="6"/>
        <v>71202453.576864541</v>
      </c>
      <c r="G25" s="28">
        <f t="shared" si="6"/>
        <v>71202453.576864541</v>
      </c>
      <c r="H25" s="28">
        <f t="shared" si="6"/>
        <v>71202453.576864541</v>
      </c>
      <c r="I25" s="28">
        <f t="shared" si="6"/>
        <v>71202453.576864541</v>
      </c>
      <c r="J25" s="28">
        <f t="shared" si="6"/>
        <v>71202453.576864541</v>
      </c>
      <c r="K25" s="28">
        <f t="shared" si="6"/>
        <v>71202453.576864541</v>
      </c>
      <c r="L25" s="28">
        <f t="shared" si="4"/>
        <v>1270822082.1917806</v>
      </c>
      <c r="M25" s="5"/>
    </row>
    <row r="26" spans="1:13" ht="15" thickTop="1" x14ac:dyDescent="0.2"/>
    <row r="32" spans="1:13" x14ac:dyDescent="0.2">
      <c r="F32" s="1"/>
      <c r="G32" s="1"/>
      <c r="H32" s="1"/>
      <c r="I32" s="1"/>
      <c r="J32" s="1"/>
      <c r="K32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/>
  </sheetViews>
  <sheetFormatPr defaultRowHeight="14.25" x14ac:dyDescent="0.2"/>
  <cols>
    <col min="1" max="1" width="31.375" customWidth="1"/>
    <col min="2" max="2" width="17.375" customWidth="1"/>
    <col min="3" max="7" width="15.625" customWidth="1"/>
    <col min="8" max="8" width="16.375" customWidth="1"/>
    <col min="9" max="11" width="15.625" customWidth="1"/>
    <col min="12" max="12" width="13.625" bestFit="1" customWidth="1"/>
  </cols>
  <sheetData>
    <row r="1" spans="1:12" ht="15.75" x14ac:dyDescent="0.25">
      <c r="A1" s="13" t="s">
        <v>48</v>
      </c>
    </row>
    <row r="3" spans="1:12" x14ac:dyDescent="0.2">
      <c r="A3" t="s">
        <v>17</v>
      </c>
      <c r="B3" s="11">
        <v>900000000</v>
      </c>
      <c r="C3" s="12" t="s">
        <v>18</v>
      </c>
    </row>
    <row r="4" spans="1:12" x14ac:dyDescent="0.2">
      <c r="A4" t="s">
        <v>19</v>
      </c>
      <c r="B4" s="49">
        <v>6.3100000000000003E-2</v>
      </c>
    </row>
    <row r="6" spans="1:12" x14ac:dyDescent="0.2">
      <c r="A6" s="3"/>
      <c r="B6" s="2">
        <v>44986</v>
      </c>
      <c r="C6" s="2">
        <v>45017</v>
      </c>
      <c r="D6" s="2">
        <v>45047</v>
      </c>
      <c r="E6" s="2">
        <v>45078</v>
      </c>
      <c r="F6" s="2">
        <v>45108</v>
      </c>
      <c r="G6" s="2">
        <v>45139</v>
      </c>
      <c r="H6" s="2">
        <v>45170</v>
      </c>
      <c r="I6" s="2">
        <v>45200</v>
      </c>
      <c r="J6" s="2">
        <v>45231</v>
      </c>
    </row>
    <row r="7" spans="1:12" x14ac:dyDescent="0.2">
      <c r="A7" s="3" t="s">
        <v>2</v>
      </c>
      <c r="B7" s="3" t="s">
        <v>3</v>
      </c>
      <c r="C7" s="3" t="s">
        <v>3</v>
      </c>
      <c r="D7" s="3" t="s">
        <v>3</v>
      </c>
      <c r="E7" s="3" t="s">
        <v>3</v>
      </c>
      <c r="F7" s="3" t="s">
        <v>3</v>
      </c>
      <c r="G7" s="3" t="s">
        <v>3</v>
      </c>
      <c r="H7" s="3" t="s">
        <v>3</v>
      </c>
      <c r="I7" s="3" t="s">
        <v>3</v>
      </c>
      <c r="J7" s="3" t="s">
        <v>3</v>
      </c>
      <c r="K7" s="3" t="s">
        <v>8</v>
      </c>
    </row>
    <row r="9" spans="1:12" ht="39.75" x14ac:dyDescent="0.2">
      <c r="A9" s="15" t="s">
        <v>21</v>
      </c>
      <c r="B9" s="4">
        <f>$B$3/9</f>
        <v>100000000</v>
      </c>
      <c r="C9" s="4">
        <f t="shared" ref="C9:J9" si="0">$B$3/9</f>
        <v>100000000</v>
      </c>
      <c r="D9" s="4">
        <f t="shared" si="0"/>
        <v>100000000</v>
      </c>
      <c r="E9" s="4">
        <f t="shared" si="0"/>
        <v>100000000</v>
      </c>
      <c r="F9" s="4">
        <f t="shared" si="0"/>
        <v>100000000</v>
      </c>
      <c r="G9" s="4">
        <f t="shared" si="0"/>
        <v>100000000</v>
      </c>
      <c r="H9" s="4">
        <f t="shared" si="0"/>
        <v>100000000</v>
      </c>
      <c r="I9" s="4">
        <f t="shared" si="0"/>
        <v>100000000</v>
      </c>
      <c r="J9" s="4">
        <f t="shared" si="0"/>
        <v>100000000</v>
      </c>
      <c r="K9" s="4">
        <f>SUM(B9:J9)</f>
        <v>900000000</v>
      </c>
    </row>
    <row r="10" spans="1:12" x14ac:dyDescent="0.2">
      <c r="A10" s="8" t="s">
        <v>7</v>
      </c>
      <c r="B10" s="10">
        <f>+I16</f>
        <v>0</v>
      </c>
      <c r="C10" s="10">
        <f>+I17</f>
        <v>0</v>
      </c>
      <c r="D10" s="10">
        <f>+I18</f>
        <v>0</v>
      </c>
      <c r="E10" s="10">
        <f>+I19</f>
        <v>2904328.7671232875</v>
      </c>
      <c r="F10" s="10">
        <f>+I20</f>
        <v>2420273.9726027399</v>
      </c>
      <c r="G10" s="10">
        <f>+I21</f>
        <v>2420273.9726027399</v>
      </c>
      <c r="H10" s="10">
        <f>+I22</f>
        <v>1452164.3835616438</v>
      </c>
      <c r="I10" s="10">
        <f>+I23</f>
        <v>1071835.6164383562</v>
      </c>
      <c r="J10" s="10">
        <f>+I24</f>
        <v>553205.47945205483</v>
      </c>
      <c r="K10" s="10">
        <f>SUM(B10:J10)</f>
        <v>10822082.19178082</v>
      </c>
    </row>
    <row r="11" spans="1:12" ht="52.5" x14ac:dyDescent="0.2">
      <c r="A11" s="14" t="s">
        <v>20</v>
      </c>
      <c r="B11" s="10">
        <f>$K$10/9</f>
        <v>1202453.5768645357</v>
      </c>
      <c r="C11" s="10">
        <f t="shared" ref="C11:J11" si="1">$K$10/9</f>
        <v>1202453.5768645357</v>
      </c>
      <c r="D11" s="10">
        <f t="shared" si="1"/>
        <v>1202453.5768645357</v>
      </c>
      <c r="E11" s="10">
        <f t="shared" si="1"/>
        <v>1202453.5768645357</v>
      </c>
      <c r="F11" s="10">
        <f t="shared" si="1"/>
        <v>1202453.5768645357</v>
      </c>
      <c r="G11" s="10">
        <f t="shared" si="1"/>
        <v>1202453.5768645357</v>
      </c>
      <c r="H11" s="10">
        <f t="shared" si="1"/>
        <v>1202453.5768645357</v>
      </c>
      <c r="I11" s="10">
        <f t="shared" si="1"/>
        <v>1202453.5768645357</v>
      </c>
      <c r="J11" s="10">
        <f t="shared" si="1"/>
        <v>1202453.5768645357</v>
      </c>
      <c r="K11" s="10">
        <f>SUM(B11:J11)</f>
        <v>10822082.19178082</v>
      </c>
    </row>
    <row r="12" spans="1:12" x14ac:dyDescent="0.2">
      <c r="A12" s="8" t="s">
        <v>22</v>
      </c>
      <c r="B12" s="10">
        <f>B9+B11</f>
        <v>101202453.57686454</v>
      </c>
      <c r="C12" s="10">
        <f t="shared" ref="C12:J12" si="2">C9+C11</f>
        <v>101202453.57686454</v>
      </c>
      <c r="D12" s="10">
        <f t="shared" si="2"/>
        <v>101202453.57686454</v>
      </c>
      <c r="E12" s="10">
        <f t="shared" si="2"/>
        <v>101202453.57686454</v>
      </c>
      <c r="F12" s="10">
        <f t="shared" si="2"/>
        <v>101202453.57686454</v>
      </c>
      <c r="G12" s="10">
        <f t="shared" si="2"/>
        <v>101202453.57686454</v>
      </c>
      <c r="H12" s="10">
        <f t="shared" si="2"/>
        <v>101202453.57686454</v>
      </c>
      <c r="I12" s="10">
        <f t="shared" si="2"/>
        <v>101202453.57686454</v>
      </c>
      <c r="J12" s="10">
        <f t="shared" si="2"/>
        <v>101202453.57686454</v>
      </c>
      <c r="K12" s="10">
        <f>SUM(B12:J12)</f>
        <v>910822082.19178081</v>
      </c>
    </row>
    <row r="15" spans="1:12" ht="15" x14ac:dyDescent="0.25">
      <c r="A15" s="44" t="s">
        <v>35</v>
      </c>
      <c r="B15" s="44" t="s">
        <v>28</v>
      </c>
      <c r="C15" s="44" t="s">
        <v>29</v>
      </c>
      <c r="D15" s="44" t="s">
        <v>30</v>
      </c>
      <c r="E15" s="44" t="s">
        <v>46</v>
      </c>
      <c r="F15" s="44" t="s">
        <v>31</v>
      </c>
      <c r="G15" s="44" t="s">
        <v>32</v>
      </c>
      <c r="H15" s="44" t="s">
        <v>33</v>
      </c>
      <c r="I15" s="46" t="s">
        <v>34</v>
      </c>
      <c r="J15" s="32"/>
      <c r="K15" s="32"/>
      <c r="L15" s="32"/>
    </row>
    <row r="16" spans="1:12" s="32" customFormat="1" x14ac:dyDescent="0.2">
      <c r="A16" s="30" t="s">
        <v>45</v>
      </c>
      <c r="B16" s="32">
        <v>2023</v>
      </c>
      <c r="C16" s="34">
        <v>45023</v>
      </c>
      <c r="D16" s="35">
        <v>45029</v>
      </c>
      <c r="E16" s="31">
        <f t="shared" ref="E16:E25" si="3">+D16-C16+1</f>
        <v>7</v>
      </c>
      <c r="F16" s="32">
        <v>365</v>
      </c>
      <c r="G16" s="33">
        <v>0</v>
      </c>
      <c r="H16" s="36">
        <f>+$B$3</f>
        <v>900000000</v>
      </c>
      <c r="I16" s="47">
        <f>H16*(G16/F16)*E16</f>
        <v>0</v>
      </c>
    </row>
    <row r="17" spans="1:12" x14ac:dyDescent="0.2">
      <c r="A17" s="30" t="s">
        <v>36</v>
      </c>
      <c r="B17" s="32">
        <v>2023</v>
      </c>
      <c r="C17" s="34">
        <v>45030</v>
      </c>
      <c r="D17" s="35">
        <v>45057</v>
      </c>
      <c r="E17" s="31">
        <f t="shared" si="3"/>
        <v>28</v>
      </c>
      <c r="F17" s="32">
        <v>365</v>
      </c>
      <c r="G17" s="33">
        <v>0</v>
      </c>
      <c r="H17" s="36">
        <f>+$B$3-$B$9</f>
        <v>800000000</v>
      </c>
      <c r="I17" s="47">
        <f>H17*(G17/F17)*E17</f>
        <v>0</v>
      </c>
      <c r="J17" s="36"/>
      <c r="K17" s="36"/>
      <c r="L17" s="32"/>
    </row>
    <row r="18" spans="1:12" x14ac:dyDescent="0.2">
      <c r="A18" s="30" t="s">
        <v>37</v>
      </c>
      <c r="B18" s="32">
        <v>2023</v>
      </c>
      <c r="C18" s="34">
        <v>45058</v>
      </c>
      <c r="D18" s="35">
        <v>45092</v>
      </c>
      <c r="E18" s="31">
        <f t="shared" si="3"/>
        <v>35</v>
      </c>
      <c r="F18" s="32">
        <v>365</v>
      </c>
      <c r="G18" s="33">
        <v>0</v>
      </c>
      <c r="H18" s="36">
        <f>+$B$3-$B$9-$C$9</f>
        <v>700000000</v>
      </c>
      <c r="I18" s="47">
        <f t="shared" ref="I18:I24" si="4">H18*(G18/F18)*E18</f>
        <v>0</v>
      </c>
      <c r="J18" s="36"/>
      <c r="K18" s="36"/>
      <c r="L18" s="32"/>
    </row>
    <row r="19" spans="1:12" x14ac:dyDescent="0.2">
      <c r="A19" s="30" t="s">
        <v>38</v>
      </c>
      <c r="B19" s="32">
        <v>2023</v>
      </c>
      <c r="C19" s="34">
        <v>45093</v>
      </c>
      <c r="D19" s="35">
        <v>45120</v>
      </c>
      <c r="E19" s="31">
        <f t="shared" si="3"/>
        <v>28</v>
      </c>
      <c r="F19" s="32">
        <v>365</v>
      </c>
      <c r="G19" s="33">
        <v>6.3100000000000003E-2</v>
      </c>
      <c r="H19" s="36">
        <f>+$B$3-$B$9-$C$9-$D$9</f>
        <v>600000000</v>
      </c>
      <c r="I19" s="47">
        <f t="shared" si="4"/>
        <v>2904328.7671232875</v>
      </c>
      <c r="J19" s="36"/>
      <c r="K19" s="36"/>
      <c r="L19" s="32"/>
    </row>
    <row r="20" spans="1:12" x14ac:dyDescent="0.2">
      <c r="A20" s="30" t="s">
        <v>39</v>
      </c>
      <c r="B20" s="32">
        <v>2023</v>
      </c>
      <c r="C20" s="34">
        <v>45121</v>
      </c>
      <c r="D20" s="35">
        <v>45148</v>
      </c>
      <c r="E20" s="31">
        <f t="shared" si="3"/>
        <v>28</v>
      </c>
      <c r="F20" s="32">
        <v>365</v>
      </c>
      <c r="G20" s="33">
        <v>6.3100000000000003E-2</v>
      </c>
      <c r="H20" s="36">
        <f>+$B$3-$B$9-$C$9-$D$9-$E$9</f>
        <v>500000000</v>
      </c>
      <c r="I20" s="47">
        <f t="shared" si="4"/>
        <v>2420273.9726027399</v>
      </c>
      <c r="J20" s="36"/>
      <c r="K20" s="36"/>
      <c r="L20" s="32"/>
    </row>
    <row r="21" spans="1:12" x14ac:dyDescent="0.2">
      <c r="A21" s="30" t="s">
        <v>40</v>
      </c>
      <c r="B21" s="32">
        <v>2023</v>
      </c>
      <c r="C21" s="34">
        <v>45149</v>
      </c>
      <c r="D21" s="35">
        <v>45183</v>
      </c>
      <c r="E21" s="31">
        <f t="shared" si="3"/>
        <v>35</v>
      </c>
      <c r="F21" s="32">
        <v>365</v>
      </c>
      <c r="G21" s="33">
        <v>6.3100000000000003E-2</v>
      </c>
      <c r="H21" s="36">
        <f>+$B$3-$B$9-$C$9-$D$9-$E$9-$F$9</f>
        <v>400000000</v>
      </c>
      <c r="I21" s="47">
        <f t="shared" si="4"/>
        <v>2420273.9726027399</v>
      </c>
      <c r="J21" s="36"/>
      <c r="K21" s="36"/>
      <c r="L21" s="32"/>
    </row>
    <row r="22" spans="1:12" x14ac:dyDescent="0.2">
      <c r="A22" s="30" t="s">
        <v>41</v>
      </c>
      <c r="B22" s="32">
        <v>2023</v>
      </c>
      <c r="C22" s="34">
        <v>45184</v>
      </c>
      <c r="D22" s="35">
        <v>45211</v>
      </c>
      <c r="E22" s="31">
        <f t="shared" si="3"/>
        <v>28</v>
      </c>
      <c r="F22" s="32">
        <v>365</v>
      </c>
      <c r="G22" s="33">
        <v>6.3100000000000003E-2</v>
      </c>
      <c r="H22" s="36">
        <f>+$B$3-$B$9-$C$9-$D$9-$E$9-$F$9-$G$9</f>
        <v>300000000</v>
      </c>
      <c r="I22" s="47">
        <f t="shared" si="4"/>
        <v>1452164.3835616438</v>
      </c>
      <c r="J22" s="36"/>
      <c r="K22" s="36"/>
      <c r="L22" s="32"/>
    </row>
    <row r="23" spans="1:12" x14ac:dyDescent="0.2">
      <c r="A23" s="30" t="s">
        <v>42</v>
      </c>
      <c r="B23" s="32">
        <v>2023</v>
      </c>
      <c r="C23" s="34">
        <v>45212</v>
      </c>
      <c r="D23" s="35">
        <v>45242</v>
      </c>
      <c r="E23" s="31">
        <f t="shared" si="3"/>
        <v>31</v>
      </c>
      <c r="F23" s="32">
        <v>365</v>
      </c>
      <c r="G23" s="33">
        <v>6.3100000000000003E-2</v>
      </c>
      <c r="H23" s="36">
        <f>+$B$3-$B$9-$C$9-$D$9-$E$9-$F$9-$G$9-$H$9</f>
        <v>200000000</v>
      </c>
      <c r="I23" s="47">
        <f t="shared" si="4"/>
        <v>1071835.6164383562</v>
      </c>
      <c r="J23" s="36"/>
      <c r="K23" s="36"/>
      <c r="L23" s="32"/>
    </row>
    <row r="24" spans="1:12" x14ac:dyDescent="0.2">
      <c r="A24" s="30" t="s">
        <v>43</v>
      </c>
      <c r="B24" s="32">
        <v>2023</v>
      </c>
      <c r="C24" s="34">
        <v>45243</v>
      </c>
      <c r="D24" s="35">
        <v>45274</v>
      </c>
      <c r="E24" s="31">
        <f t="shared" si="3"/>
        <v>32</v>
      </c>
      <c r="F24" s="32">
        <v>365</v>
      </c>
      <c r="G24" s="33">
        <v>6.3100000000000003E-2</v>
      </c>
      <c r="H24" s="36">
        <f>+$B$3-$B$9-$C$9-$D$9-$E$9-$F$9-$G$9-$H$9-$I$9</f>
        <v>100000000</v>
      </c>
      <c r="I24" s="47">
        <f t="shared" si="4"/>
        <v>553205.47945205483</v>
      </c>
      <c r="J24" s="36"/>
      <c r="K24" s="36"/>
      <c r="L24" s="32"/>
    </row>
    <row r="25" spans="1:12" s="32" customFormat="1" x14ac:dyDescent="0.2">
      <c r="A25" s="30" t="s">
        <v>44</v>
      </c>
      <c r="B25" s="32">
        <v>2023</v>
      </c>
      <c r="C25" s="34">
        <v>45275</v>
      </c>
      <c r="D25" s="35">
        <v>45302</v>
      </c>
      <c r="E25" s="31">
        <f t="shared" si="3"/>
        <v>28</v>
      </c>
      <c r="F25" s="32">
        <v>365</v>
      </c>
      <c r="G25" s="33">
        <v>6.3100000000000003E-2</v>
      </c>
      <c r="H25" s="36">
        <f>+$B$3-$B$9-$C$9-$D$9-$E$9-$F$9-$G$9-$H$9-$I$9-$J$9</f>
        <v>0</v>
      </c>
      <c r="I25" s="47">
        <f t="shared" ref="I25" si="5">H25*(G25/F25)*E25</f>
        <v>0</v>
      </c>
      <c r="J25" s="36"/>
      <c r="K25" s="36"/>
    </row>
    <row r="26" spans="1:12" ht="15" x14ac:dyDescent="0.25">
      <c r="A26" s="45" t="s">
        <v>47</v>
      </c>
      <c r="B26" s="32"/>
      <c r="C26" s="34"/>
      <c r="D26" s="34"/>
      <c r="E26" s="31"/>
      <c r="F26" s="32"/>
      <c r="G26" s="42"/>
      <c r="H26" s="37"/>
      <c r="I26" s="48">
        <f>SUM(I16:I25)</f>
        <v>10822082.19178082</v>
      </c>
      <c r="J26" s="37"/>
      <c r="K26" s="43"/>
      <c r="L26" s="32"/>
    </row>
    <row r="27" spans="1:12" x14ac:dyDescent="0.2">
      <c r="A27" s="40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 x14ac:dyDescent="0.2">
      <c r="A28" s="40"/>
      <c r="B28" s="41"/>
      <c r="C28" s="32"/>
      <c r="D28" s="32"/>
      <c r="E28" s="32"/>
      <c r="F28" s="32"/>
      <c r="G28" s="32"/>
      <c r="H28" s="32"/>
      <c r="I28" s="32"/>
      <c r="J28" s="32"/>
      <c r="K28" s="32"/>
      <c r="L28" s="39"/>
    </row>
    <row r="29" spans="1:12" ht="15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8"/>
    </row>
    <row r="30" spans="1:12" x14ac:dyDescent="0.2">
      <c r="A30" s="39"/>
      <c r="E30" s="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1 Penalty Assessment Ch</vt:lpstr>
      <vt:lpstr>Example 2 - 80% 90% HoldBack</vt:lpstr>
      <vt:lpstr>Example 3 - 80%70% HoldBack</vt:lpstr>
      <vt:lpstr>Interest Calculator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Drauschak, Lisa</dc:creator>
  <cp:lastModifiedBy>Flamm, Sean</cp:lastModifiedBy>
  <dcterms:created xsi:type="dcterms:W3CDTF">2019-10-29T21:38:08Z</dcterms:created>
  <dcterms:modified xsi:type="dcterms:W3CDTF">2023-03-14T12:19:43Z</dcterms:modified>
</cp:coreProperties>
</file>