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5488" windowWidth="12120" windowHeight="9120" activeTab="0"/>
  </bookViews>
  <sheets>
    <sheet name="PJM Buy Bids-Sell Offers" sheetId="1" r:id="rId1"/>
    <sheet name="Non-Viable DR" sheetId="2" r:id="rId2"/>
    <sheet name="3rd IA Configuration" sheetId="3" r:id="rId3"/>
    <sheet name="3rd IA Parameters" sheetId="4" r:id="rId4"/>
    <sheet name="2nd IA Parameters" sheetId="5" r:id="rId5"/>
    <sheet name="1st IA Parameters" sheetId="6" r:id="rId6"/>
    <sheet name="1st Net CONE" sheetId="7" r:id="rId7"/>
    <sheet name="BRA Parameters" sheetId="8" r:id="rId8"/>
    <sheet name="Updated Min Res Req'ments" sheetId="9" r:id="rId9"/>
    <sheet name="Credit Rate" sheetId="10" r:id="rId10"/>
  </sheets>
  <definedNames>
    <definedName name="_xlnm.Print_Area" localSheetId="5">'1st IA Parameters'!$A$1:$J$34</definedName>
    <definedName name="_xlnm.Print_Area" localSheetId="6">'1st Net CONE'!$A$1:$H$23</definedName>
    <definedName name="_xlnm.Print_Area" localSheetId="4">'2nd IA Parameters'!$A$1:$J$34</definedName>
    <definedName name="_xlnm.Print_Area" localSheetId="2">'3rd IA Configuration'!$A$1:$J$13</definedName>
    <definedName name="_xlnm.Print_Area" localSheetId="3">'3rd IA Parameters'!$A$1:$J$34</definedName>
    <definedName name="_xlnm.Print_Area" localSheetId="7">'BRA Parameters'!$A$1:$J$81</definedName>
    <definedName name="_xlnm.Print_Area" localSheetId="9">'Credit Rate'!$A$1:$J$13</definedName>
    <definedName name="_xlnm.Print_Area" localSheetId="1">'Non-Viable DR'!$A$1:$H$34</definedName>
    <definedName name="_xlnm.Print_Area" localSheetId="0">'PJM Buy Bids-Sell Offers'!$A$1:$P$21</definedName>
    <definedName name="_xlnm.Print_Area" localSheetId="8">'Updated Min Res Req''ments'!$A$1:$J$30</definedName>
  </definedNames>
  <calcPr fullCalcOnLoad="1"/>
</workbook>
</file>

<file path=xl/sharedStrings.xml><?xml version="1.0" encoding="utf-8"?>
<sst xmlns="http://schemas.openxmlformats.org/spreadsheetml/2006/main" count="937" uniqueCount="246">
  <si>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</si>
  <si>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</si>
  <si>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</si>
  <si>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</si>
  <si>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</si>
  <si>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</si>
  <si>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</si>
  <si>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</si>
  <si>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</si>
  <si>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</si>
  <si>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</si>
  <si>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</si>
  <si>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</si>
  <si>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</si>
  <si>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</si>
  <si>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</si>
  <si>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</si>
  <si>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</si>
  <si>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</si>
  <si>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</si>
  <si>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</si>
  <si>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</si>
  <si>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</si>
  <si>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</si>
  <si>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</si>
  <si>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</si>
  <si>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</si>
  <si>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</si>
  <si>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</si>
  <si>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</si>
  <si>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</si>
  <si>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</si>
  <si>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</si>
  <si>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</si>
  <si>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</si>
  <si>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t>
  </si>
  <si>
    <t xml:space="preserve">Installed Reserve Margin (IRM) </t>
  </si>
  <si>
    <t>Pool-Wide Average EFORd</t>
  </si>
  <si>
    <t>Forecast Pool Requirement (FPR)</t>
  </si>
  <si>
    <t>Preliminary Forecast Peak Load</t>
  </si>
  <si>
    <t>LDA/Zone</t>
  </si>
  <si>
    <t>RECO</t>
  </si>
  <si>
    <t>Pre-Clearing BRA Credit Rate, $/MW</t>
  </si>
  <si>
    <t xml:space="preserve">  </t>
  </si>
  <si>
    <t>Notes:</t>
  </si>
  <si>
    <t>Demand Resource (DR) Factor</t>
  </si>
  <si>
    <t>LDA</t>
  </si>
  <si>
    <t>Limiting Facility</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</si>
  <si>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</si>
  <si>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</si>
  <si>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</si>
  <si>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</si>
  <si>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</si>
  <si>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</si>
  <si>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</si>
  <si>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</si>
  <si>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</si>
  <si>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</si>
  <si>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</si>
  <si>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Participant-Funded ICTRs Awarded</t>
  </si>
  <si>
    <t>LDA CETO/CETL Data; Zonal Peak Loads, Base Zonal FRR Scaling Factors, and Zonal Short-Term Resource Procurement Target.</t>
  </si>
  <si>
    <t>ATSI</t>
  </si>
  <si>
    <t>LOCATIONAL DELIVERABILITY AREA (LDA)</t>
  </si>
  <si>
    <t>2. See "Net CONE" worksheet for Net CONE calculations.</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</si>
  <si>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</si>
  <si>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</si>
  <si>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</si>
  <si>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</si>
  <si>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</si>
  <si>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</si>
  <si>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</si>
  <si>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</si>
  <si>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</si>
  <si>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</si>
  <si>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Unforced Capacity, MW</t>
  </si>
  <si>
    <t>Minimum Annual Resource Requirement</t>
  </si>
  <si>
    <t>** Used to allocate Short-Term Resource Procurement Target to Zones.</t>
  </si>
  <si>
    <t xml:space="preserve">DPL and PS Zonal peak loads and Short-Term Resource Procurement Targets include the corresponding DPL SOUTH and PS NORTH values. </t>
  </si>
  <si>
    <t>FRR Load Requirements:</t>
  </si>
  <si>
    <t>Min % Internal Resource Req'ment</t>
  </si>
  <si>
    <t>Min % Ext Summer Resource Req'ment</t>
  </si>
  <si>
    <t>Min % Annual Resource Req'ment</t>
  </si>
  <si>
    <t>2011 Zonal W/N Coincident Peak Loads</t>
  </si>
  <si>
    <t>DEOK</t>
  </si>
  <si>
    <t>1. Load data: from 2012 Load Report.</t>
  </si>
  <si>
    <t>&gt; 4174.5</t>
  </si>
  <si>
    <t>Minimum Resource Requirements for RPM, MW</t>
  </si>
  <si>
    <t>2015-2016 RPM Base Residual Auction Planning Parameters</t>
  </si>
  <si>
    <t>Limiting conditions at the CETL for modeled LDAs:</t>
  </si>
  <si>
    <t>3. Fixed Resource Requrement (FRR) load still in 5-year commitment period is included.</t>
  </si>
  <si>
    <t>CETL (Changes shown in red)</t>
  </si>
  <si>
    <t>Additional FRR load elected by FRR entities on 3-7-12.</t>
  </si>
  <si>
    <t xml:space="preserve">   South Canton 765/345 kV transformer.</t>
  </si>
  <si>
    <t>&gt; 874.0</t>
  </si>
  <si>
    <t>&gt; 966.0</t>
  </si>
  <si>
    <t>&gt; 667.0</t>
  </si>
  <si>
    <t>&gt; 2001.0</t>
  </si>
  <si>
    <t>&gt; 506.0</t>
  </si>
  <si>
    <t>&gt; 1414.5</t>
  </si>
  <si>
    <t>&gt; 4059.5</t>
  </si>
  <si>
    <t>&gt; 1230.5</t>
  </si>
  <si>
    <t>&gt; 2863.5</t>
  </si>
  <si>
    <t>&gt; 575.0</t>
  </si>
  <si>
    <t xml:space="preserve">Changes in CETO/CETL/Reliability Requirements in LDAs. </t>
  </si>
  <si>
    <t>&gt; 3266.0</t>
  </si>
  <si>
    <t>&gt; 1575.5</t>
  </si>
  <si>
    <t xml:space="preserve">Changes in Min Annual Resource and Min Extended Resource Requirements. </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</si>
  <si>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</si>
  <si>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</si>
  <si>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</si>
  <si>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</si>
  <si>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</si>
  <si>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 xml:space="preserve"> &gt; 1012.0</t>
  </si>
  <si>
    <t>&gt; 5106.0</t>
  </si>
  <si>
    <t>PSNORTH</t>
  </si>
  <si>
    <t xml:space="preserve">   Cedar Grove F - Clifton K 230 kV line.</t>
  </si>
  <si>
    <t xml:space="preserve">   Loudoun - Brambleton 500 kV line.</t>
  </si>
  <si>
    <t xml:space="preserve">   Peach Bottom - Limerick 500 kV line.</t>
  </si>
  <si>
    <t xml:space="preserve">   Wye Mill - Long Wood 69 kV line.</t>
  </si>
  <si>
    <t>4-6-12 update includes (changes in input data are shown in red):</t>
  </si>
  <si>
    <t>680092-v5</t>
  </si>
  <si>
    <t xml:space="preserve">   Voltage drop at Brighton 500 kV.</t>
  </si>
  <si>
    <t>See note below on 4-17-12 update.</t>
  </si>
  <si>
    <t xml:space="preserve">4-17-12 Update: SWMAAC and PEPCO CETL values and limiting facility were updated based on corrected rating on Pleasant View - Edwards Ferry 230 kV line. </t>
  </si>
  <si>
    <t>Limited DR</t>
  </si>
  <si>
    <t>Point 1 x-axis (MW)</t>
  </si>
  <si>
    <t>Point 2 x-axis (MW)</t>
  </si>
  <si>
    <t>Point 3 x-axis (MW)</t>
  </si>
  <si>
    <t>Point 4 x-axis (MW)</t>
  </si>
  <si>
    <t>Total</t>
  </si>
  <si>
    <t>Annual Resources</t>
  </si>
  <si>
    <t>Total Resources</t>
  </si>
  <si>
    <t>Rest of LDA</t>
  </si>
  <si>
    <t>Limited Resources</t>
  </si>
  <si>
    <t>BRA Limited Resource Clearing Price, $/MW-Day</t>
  </si>
  <si>
    <t>Extended Summer Resources</t>
  </si>
  <si>
    <t>BRA Ext Summer Resource Clearing Price, $/MW-Day</t>
  </si>
  <si>
    <t>BRA Annual Resource Clearing Price, $/MW-Day</t>
  </si>
  <si>
    <t>Change in Reliability Requirement *</t>
  </si>
  <si>
    <t>Short-Term Resource Procurement Target Applicable Share</t>
  </si>
  <si>
    <t>Change in CETL</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</si>
  <si>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</si>
  <si>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</si>
  <si>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Location</t>
  </si>
  <si>
    <t>Change in Reliability Requirement (MW)</t>
  </si>
  <si>
    <t>Short-Term Resource Procurement Target Applicable Share (MW)</t>
  </si>
  <si>
    <t>Uncleared PJM Buy Bids from Prior IA</t>
  </si>
  <si>
    <t>Capacity Type</t>
  </si>
  <si>
    <t>Point 1 y-axis ($/MW-Day)</t>
  </si>
  <si>
    <t>Point 2 y-axis ($/MW-Day)</t>
  </si>
  <si>
    <t>Point 3 y-axis ($/MW-Day)</t>
  </si>
  <si>
    <t>Point 4 y-axis ($/MW-Day)</t>
  </si>
  <si>
    <t>RTO (Rest of)</t>
  </si>
  <si>
    <t>Limited</t>
  </si>
  <si>
    <t xml:space="preserve"> --</t>
  </si>
  <si>
    <t>MAAC (Rest of)</t>
  </si>
  <si>
    <t>EMAAC (Rest of)</t>
  </si>
  <si>
    <t>SWMAAC (Rest of)</t>
  </si>
  <si>
    <t>PS (Rest of)</t>
  </si>
  <si>
    <t>TOTAL</t>
  </si>
  <si>
    <t>2015-2016 First Incremental Auction Planning Parameters</t>
  </si>
  <si>
    <t>2. No delays in backbone transmission upgrades; no changes in CETL values.</t>
  </si>
  <si>
    <t>Updated Forecast Peak Load</t>
  </si>
  <si>
    <t>Extended Summer Resources + Annual Resources</t>
  </si>
  <si>
    <t>ICAP to UCAP Conversion Factor:</t>
  </si>
  <si>
    <t>UCAP Price = ICAP Price/(1 - Pool-Wide Average EFORd)</t>
  </si>
  <si>
    <t>CONE Area 1: AE, DPL, JCPL, PECO, PS, RECO</t>
  </si>
  <si>
    <t>CONE Area 2: BGE, PEPCO</t>
  </si>
  <si>
    <t>CONE Area 3: AEP, APS, ATSI, ComEd, Dayton, DEOK, Duquesne (DLCo)</t>
  </si>
  <si>
    <t>CONE Area 4: MetEd, Penelec, PPL</t>
  </si>
  <si>
    <t>CONE Area 5: Dominion</t>
  </si>
  <si>
    <t>MAAC CONE used is the lowest of the three CONE Areas 1, 2, and 4.</t>
  </si>
  <si>
    <t>CONE Area 1</t>
  </si>
  <si>
    <t>CONE Area 2</t>
  </si>
  <si>
    <t>CONE Area 3</t>
  </si>
  <si>
    <t>CONE Area 4</t>
  </si>
  <si>
    <t>CONE Area 5</t>
  </si>
  <si>
    <t>MAAC: Used   Area 2 CONE</t>
  </si>
  <si>
    <t>Region basis for the Handy Whitman Index</t>
  </si>
  <si>
    <t>2015/2016 BRA CONE, escalated by Handy Whitman Index, $/MW-Year</t>
  </si>
  <si>
    <t>Historic (2009-2011) Net Energy Revenue Offset, $/MW-Year for the Zone in the CONE Area Specified</t>
  </si>
  <si>
    <t>Zonal LMP used for Net Energy Offset Calculation</t>
  </si>
  <si>
    <t>AE Zonal LMP</t>
  </si>
  <si>
    <t>BGE Zonal LMP</t>
  </si>
  <si>
    <t>ComEd Zonal LMP</t>
  </si>
  <si>
    <t>MetEd Zonal LMP</t>
  </si>
  <si>
    <t>Dominion Zonal LMP</t>
  </si>
  <si>
    <t>PJM Average LMP</t>
  </si>
  <si>
    <t>Ancillary Services Offset, $/MW-Year per Tariff</t>
  </si>
  <si>
    <t>Net CONE, $/MW-Day, ICAP Price</t>
  </si>
  <si>
    <t>Net CONE, $/MW-Day, UCAP Price</t>
  </si>
  <si>
    <t xml:space="preserve">Benchmark CONE (2015/2016 BRA Value): Levelized Revenue Requirement, $/MW-Year </t>
  </si>
  <si>
    <t>12 Months Handy Whitman Index (Not Applicable for 2015/2016)</t>
  </si>
  <si>
    <t>BRA Gross CONE Values are replaced by the Settlement values filed on November 21, 2012 in Docket ER-12-513-000 and approved by FERC on January 31, 2013.</t>
  </si>
  <si>
    <t>RPM CONE and E&amp;AS Values for 2015/2016 - CONE Values Updated for Incremental Auctions</t>
  </si>
  <si>
    <t>Not Applicable</t>
  </si>
  <si>
    <t>1. Load data: from 2013 Load Report without EKPC.</t>
  </si>
  <si>
    <t>PJM Buy Bids &amp; Sell Offers</t>
  </si>
  <si>
    <t>0.8 * BRA STRPT</t>
  </si>
  <si>
    <t xml:space="preserve">Pool-Wide Average EFORd for 2015/2016 1st IA  </t>
  </si>
  <si>
    <t>2015/2016 BRA CONE, escalated by Handy Whitman Index, $/MW-Day</t>
  </si>
  <si>
    <t>Updated 2015/2016 Minimum Resource Requirements</t>
  </si>
  <si>
    <t>2015-2016 Second Incremental Auction Planning Parameters</t>
  </si>
  <si>
    <t>0.6 * BRA STRPT</t>
  </si>
  <si>
    <t>1. Load data: from 2014 Load Report with EKPC and Non-Zone Load.</t>
  </si>
  <si>
    <t>Capacity Import Limit Margin **</t>
  </si>
  <si>
    <t>** Capacity Import Limit Margin indicates the capacity import capability remaining into the LDA.</t>
  </si>
  <si>
    <t>Additional Buy Bids *</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</si>
  <si>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</si>
  <si>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</si>
  <si>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0 * BRA STRPT</t>
  </si>
  <si>
    <t>2015-2016 Third Incremental Auction Planning Parameters</t>
  </si>
  <si>
    <t>1. Load data: from 2015 Load Report with EKPC and Non-Zone Load.</t>
  </si>
  <si>
    <t>Updated Peak Load Forecast</t>
  </si>
  <si>
    <t>Percent of Updated Peak Load Forecast</t>
  </si>
  <si>
    <t>2015-2016 RPM 3rd Incremental Auction Configuration</t>
  </si>
  <si>
    <t xml:space="preserve">Configuration of 3rd Incremental Auction for 2015/2016 Delivery Year </t>
  </si>
  <si>
    <t>2015-2016 Pre-Clearing Third Incremental Auction Credit Rates</t>
  </si>
  <si>
    <t>Previously Committed Capacity (Cleared in BRA, 1st IA. 2nd IA) *</t>
  </si>
  <si>
    <t>* Reduced by Non-Viable DR commitments related to DR Operational Resource Flexibility Transition Provision.</t>
  </si>
  <si>
    <t>Zone/Sub Zone</t>
  </si>
  <si>
    <t>Extended Summer</t>
  </si>
  <si>
    <t>PPL</t>
  </si>
  <si>
    <t>Total-Rest of LDA</t>
  </si>
  <si>
    <t>Total-Cumulative</t>
  </si>
  <si>
    <t>PENELEC</t>
  </si>
  <si>
    <t>Cumulative-Extended Summer</t>
  </si>
  <si>
    <t>Cumulative-Limited DR</t>
  </si>
  <si>
    <t>Pre-Clearing 3rd IA Credit Rate (LMT), $/MW</t>
  </si>
  <si>
    <t>Pre-Clearing 3rd IA Credit Rate (ES), $/MW</t>
  </si>
  <si>
    <t>Pre-Clearing 3rd IA Credit Rate (ANL), $/MW</t>
  </si>
  <si>
    <t>#4349511</t>
  </si>
  <si>
    <t xml:space="preserve">   * Additional Buy Bids to account for Non-Viable DR commitments related to DR Operational Resource Flexibility Transition Provision.</t>
  </si>
  <si>
    <t>2015/2016 Non-Viable DR Commitments Related to DR Operational Resource Flexibility Transition Provision</t>
  </si>
  <si>
    <t>PJM Buy Bid (MW)</t>
  </si>
  <si>
    <t>Revised PJM Buy Bid    (MW) **</t>
  </si>
  <si>
    <r>
      <t>In Docket No. ER15-738-000, PJM filed with the FERC a request for a one-time waiver of the provisions that would require PJM to offer to release previously committed capacity in the 3</t>
    </r>
    <r>
      <rPr>
        <vertAlign val="superscript"/>
        <sz val="11"/>
        <color indexed="10"/>
        <rFont val="Arial"/>
        <family val="2"/>
      </rPr>
      <t>rd</t>
    </r>
    <r>
      <rPr>
        <sz val="11"/>
        <color indexed="10"/>
        <rFont val="Arial"/>
        <family val="2"/>
      </rPr>
      <t xml:space="preserve"> IA for the 2015/2016 Delivery Year.  The Commission granted the waiver on 2/20/2015 with an effective date of 2/23/2015. The “Revised PJM Buy Bid” column of the table below reflects PJM’s participation in the 3</t>
    </r>
    <r>
      <rPr>
        <vertAlign val="superscript"/>
        <sz val="11"/>
        <color indexed="10"/>
        <rFont val="Arial"/>
        <family val="2"/>
      </rPr>
      <t>rd</t>
    </r>
    <r>
      <rPr>
        <sz val="11"/>
        <color indexed="10"/>
        <rFont val="Arial"/>
        <family val="2"/>
      </rPr>
      <t xml:space="preserve"> IA with the accepted waiver in place.   </t>
    </r>
  </si>
  <si>
    <t>Updated on 2/23/15</t>
  </si>
  <si>
    <r>
      <t>** PJM participation in the 2015/16 3</t>
    </r>
    <r>
      <rPr>
        <vertAlign val="superscript"/>
        <sz val="11"/>
        <color indexed="10"/>
        <rFont val="Arial"/>
        <family val="2"/>
      </rPr>
      <t>rd</t>
    </r>
    <r>
      <rPr>
        <sz val="11"/>
        <color indexed="10"/>
        <rFont val="Arial"/>
        <family val="2"/>
      </rPr>
      <t xml:space="preserve"> IA is restricted to only procurement of additional capacity, if needed, in the case where the original PJM Buy Bid quantity across an entire LDA is a positive value. The PS NORTH LDA is the only LDA where the original PJM Buy Bid quantity is positive across the entire LDA. </t>
    </r>
  </si>
  <si>
    <t>3rd IA Limited Resource Clearing Price, $/MW-Day</t>
  </si>
  <si>
    <t>Post-Clearing 3rd IA Credit Rate (LMT), $/MW</t>
  </si>
  <si>
    <t>3rd IA Ext Summer Resource Clearing Price, $/MW-Day</t>
  </si>
  <si>
    <t>Post-Clearing 3rd IA Credit Rate (ES), $/MW</t>
  </si>
  <si>
    <t>3rd IA Annual Resource Clearing Price, $/MW-Day</t>
  </si>
  <si>
    <t>Post-Clearing 3rd IA Credit Rate (ANL), $/MW</t>
  </si>
  <si>
    <t>2015-2016 Post-Clearing Third Incremental Auction Credit Rates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</si>
</sst>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quot;$&quot;#,##0.000"/>
    <numFmt numFmtId="197" formatCode="&quot;$&quot;#,##0.0000"/>
    <numFmt numFmtId="198" formatCode="0.00000000"/>
  </numFmts>
  <fonts count="6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b/>
      <i/>
      <sz val="12"/>
      <name val="Arial"/>
      <family val="2"/>
    </font>
    <font>
      <sz val="11"/>
      <color indexed="10"/>
      <name val="Arial"/>
      <family val="2"/>
    </font>
    <font>
      <vertAlign val="superscript"/>
      <sz val="11"/>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2"/>
      <color indexed="10"/>
      <name val="Arial"/>
      <family val="2"/>
    </font>
    <font>
      <b/>
      <sz val="12"/>
      <color indexed="10"/>
      <name val="Arial"/>
      <family val="2"/>
    </font>
    <font>
      <sz val="12"/>
      <color indexed="56"/>
      <name val="Arial"/>
      <family val="2"/>
    </font>
    <font>
      <sz val="14"/>
      <color indexed="56"/>
      <name val="Arial"/>
      <family val="2"/>
    </font>
    <font>
      <sz val="12"/>
      <color indexed="8"/>
      <name val="Arial"/>
      <family val="2"/>
    </font>
    <font>
      <b/>
      <sz val="11"/>
      <color indexed="8"/>
      <name val="Calibri"/>
      <family val="2"/>
    </font>
    <font>
      <sz val="11"/>
      <color indexed="8"/>
      <name val="Calibri"/>
      <family val="2"/>
    </font>
    <font>
      <b/>
      <sz val="14"/>
      <color indexed="10"/>
      <name val="Arial"/>
      <family val="2"/>
    </font>
    <font>
      <sz val="10"/>
      <color indexed="5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sz val="12"/>
      <color rgb="FFFF0000"/>
      <name val="Arial"/>
      <family val="2"/>
    </font>
    <font>
      <b/>
      <sz val="12"/>
      <color rgb="FFFF0000"/>
      <name val="Arial"/>
      <family val="2"/>
    </font>
    <font>
      <sz val="12"/>
      <color rgb="FF002060"/>
      <name val="Arial"/>
      <family val="2"/>
    </font>
    <font>
      <sz val="14"/>
      <color rgb="FF002060"/>
      <name val="Arial"/>
      <family val="2"/>
    </font>
    <font>
      <sz val="12"/>
      <color theme="1"/>
      <name val="Arial"/>
      <family val="2"/>
    </font>
    <font>
      <b/>
      <sz val="11"/>
      <color theme="1"/>
      <name val="Calibri"/>
      <family val="2"/>
    </font>
    <font>
      <sz val="11"/>
      <color theme="1"/>
      <name val="Calibri"/>
      <family val="2"/>
    </font>
    <font>
      <sz val="11"/>
      <color rgb="FFFF0000"/>
      <name val="Arial"/>
      <family val="2"/>
    </font>
    <font>
      <b/>
      <sz val="14"/>
      <color rgb="FFFF0000"/>
      <name val="Arial"/>
      <family val="2"/>
    </font>
    <font>
      <sz val="10"/>
      <color rgb="FF00206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style="medium"/>
      <bottom style="hair"/>
    </border>
    <border>
      <left style="hair"/>
      <right style="hair"/>
      <top style="medium"/>
      <bottom style="hair"/>
    </border>
    <border>
      <left style="medium"/>
      <right>
        <color indexed="63"/>
      </right>
      <top>
        <color indexed="63"/>
      </top>
      <bottom style="hair"/>
    </border>
    <border>
      <left style="medium"/>
      <right style="hair"/>
      <top style="hair"/>
      <bottom style="hair"/>
    </border>
    <border>
      <left style="hair"/>
      <right style="medium"/>
      <top style="hair"/>
      <bottom style="hair"/>
    </border>
    <border>
      <left style="medium"/>
      <right style="hair"/>
      <top style="medium"/>
      <bottom style="hair"/>
    </border>
    <border>
      <left style="hair"/>
      <right style="medium"/>
      <top style="medium"/>
      <bottom style="hair"/>
    </border>
    <border>
      <left style="medium"/>
      <right style="medium"/>
      <top style="hair"/>
      <bottom style="hair"/>
    </border>
    <border>
      <left style="hair"/>
      <right style="hair"/>
      <top style="hair"/>
      <bottom style="hair"/>
    </border>
    <border>
      <left style="medium"/>
      <right>
        <color indexed="63"/>
      </right>
      <top style="hair"/>
      <bottom style="hair"/>
    </border>
    <border>
      <left style="medium"/>
      <right style="medium"/>
      <top style="hair"/>
      <bottom style="medium"/>
    </border>
    <border>
      <left style="medium"/>
      <right style="hair"/>
      <top style="hair"/>
      <bottom style="medium"/>
    </border>
    <border>
      <left style="hair"/>
      <right style="hair"/>
      <top style="hair"/>
      <bottom style="medium"/>
    </border>
    <border>
      <left style="medium"/>
      <right>
        <color indexed="63"/>
      </right>
      <top style="hair"/>
      <bottom style="medium"/>
    </border>
    <border>
      <left style="hair"/>
      <right style="medium"/>
      <top style="hair"/>
      <bottom style="mediu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medium"/>
      <bottom>
        <color indexed="63"/>
      </bottom>
    </border>
    <border>
      <left style="medium"/>
      <right style="hair"/>
      <top>
        <color indexed="63"/>
      </top>
      <bottom style="hair"/>
    </border>
    <border>
      <left style="medium"/>
      <right>
        <color indexed="63"/>
      </right>
      <top>
        <color indexed="63"/>
      </top>
      <bottom>
        <color indexed="63"/>
      </bottom>
    </border>
    <border>
      <left style="hair"/>
      <right style="medium"/>
      <top style="hair"/>
      <bottom>
        <color indexed="63"/>
      </bottom>
    </border>
    <border>
      <left>
        <color indexed="63"/>
      </left>
      <right style="medium"/>
      <top style="medium"/>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hair"/>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9">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174" fontId="2" fillId="0" borderId="0" xfId="0" applyNumberFormat="1" applyFont="1" applyAlignment="1">
      <alignment wrapText="1"/>
    </xf>
    <xf numFmtId="174" fontId="7" fillId="0" borderId="0" xfId="0" applyNumberFormat="1" applyFont="1" applyBorder="1" applyAlignment="1">
      <alignment/>
    </xf>
    <xf numFmtId="174" fontId="0" fillId="0" borderId="0" xfId="0" applyNumberFormat="1" applyFont="1" applyAlignment="1">
      <alignment/>
    </xf>
    <xf numFmtId="174" fontId="0" fillId="0" borderId="0" xfId="0" applyNumberFormat="1" applyAlignment="1">
      <alignment/>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0"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0" fillId="0" borderId="0" xfId="0" applyFont="1" applyBorder="1" applyAlignment="1">
      <alignment/>
    </xf>
    <xf numFmtId="0" fontId="56" fillId="0" borderId="0" xfId="0" applyFont="1" applyAlignment="1">
      <alignment/>
    </xf>
    <xf numFmtId="182" fontId="7" fillId="0" borderId="10" xfId="42" applyNumberFormat="1" applyFont="1" applyBorder="1" applyAlignment="1">
      <alignment horizontal="center" vertical="center" wrapText="1"/>
    </xf>
    <xf numFmtId="171" fontId="7" fillId="0" borderId="10" xfId="60" applyNumberFormat="1" applyFont="1" applyBorder="1" applyAlignment="1">
      <alignment vertical="center" wrapText="1"/>
    </xf>
    <xf numFmtId="172" fontId="7" fillId="0" borderId="10" xfId="0" applyNumberFormat="1" applyFont="1" applyBorder="1" applyAlignment="1">
      <alignment horizontal="center" vertical="center" wrapText="1"/>
    </xf>
    <xf numFmtId="175" fontId="7" fillId="0" borderId="10" xfId="60" applyNumberFormat="1" applyFont="1" applyBorder="1" applyAlignment="1">
      <alignment horizontal="center" vertical="center"/>
    </xf>
    <xf numFmtId="172" fontId="7" fillId="0" borderId="10" xfId="60" applyNumberFormat="1" applyFont="1" applyBorder="1" applyAlignment="1">
      <alignment horizontal="center" vertical="center"/>
    </xf>
    <xf numFmtId="171" fontId="7" fillId="0" borderId="10" xfId="60"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174" fontId="7" fillId="0" borderId="10" xfId="0" applyNumberFormat="1" applyFont="1" applyFill="1" applyBorder="1" applyAlignment="1">
      <alignment horizontal="center" vertical="center"/>
    </xf>
    <xf numFmtId="0" fontId="7" fillId="0" borderId="10" xfId="0" applyFont="1" applyBorder="1" applyAlignment="1">
      <alignment horizontal="center" vertical="center" wrapText="1"/>
    </xf>
    <xf numFmtId="174" fontId="7" fillId="0" borderId="10" xfId="60" applyNumberFormat="1" applyFont="1" applyFill="1" applyBorder="1" applyAlignment="1">
      <alignment horizontal="center" vertical="center"/>
    </xf>
    <xf numFmtId="9" fontId="7" fillId="0" borderId="10" xfId="60" applyFont="1" applyBorder="1" applyAlignment="1">
      <alignment horizontal="center" vertical="center"/>
    </xf>
    <xf numFmtId="9" fontId="7" fillId="0" borderId="10" xfId="60" applyNumberFormat="1" applyFont="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0"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4" xfId="0" applyFont="1" applyBorder="1" applyAlignment="1">
      <alignment horizontal="left" vertical="center" wrapText="1"/>
    </xf>
    <xf numFmtId="1" fontId="7" fillId="0" borderId="14" xfId="0" applyNumberFormat="1" applyFont="1" applyBorder="1" applyAlignment="1">
      <alignment horizontal="left" vertical="center" wrapText="1"/>
    </xf>
    <xf numFmtId="1" fontId="6" fillId="0" borderId="1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7" fillId="0" borderId="14" xfId="0" applyFont="1" applyFill="1" applyBorder="1" applyAlignment="1">
      <alignment/>
    </xf>
    <xf numFmtId="174" fontId="57" fillId="0" borderId="10" xfId="0" applyNumberFormat="1" applyFont="1" applyBorder="1" applyAlignment="1">
      <alignment horizontal="center" vertical="center" wrapText="1"/>
    </xf>
    <xf numFmtId="174" fontId="58" fillId="0" borderId="10" xfId="0" applyNumberFormat="1" applyFont="1" applyBorder="1" applyAlignment="1">
      <alignment horizontal="right" vertical="center"/>
    </xf>
    <xf numFmtId="174" fontId="57" fillId="0" borderId="10" xfId="0" applyNumberFormat="1" applyFont="1" applyBorder="1" applyAlignment="1">
      <alignment horizontal="center" vertical="center"/>
    </xf>
    <xf numFmtId="3" fontId="57" fillId="0" borderId="10" xfId="0" applyNumberFormat="1" applyFont="1" applyFill="1" applyBorder="1" applyAlignment="1">
      <alignment horizontal="center" vertical="center"/>
    </xf>
    <xf numFmtId="174" fontId="57" fillId="0" borderId="10" xfId="0" applyNumberFormat="1" applyFont="1" applyFill="1" applyBorder="1" applyAlignment="1">
      <alignment horizontal="center" vertical="center"/>
    </xf>
    <xf numFmtId="3" fontId="57" fillId="0" borderId="10" xfId="0" applyNumberFormat="1" applyFont="1" applyBorder="1" applyAlignment="1">
      <alignment horizontal="center" vertical="center"/>
    </xf>
    <xf numFmtId="174" fontId="57" fillId="0" borderId="10" xfId="0" applyNumberFormat="1" applyFont="1" applyBorder="1" applyAlignment="1">
      <alignment horizontal="right" vertical="center" wrapText="1"/>
    </xf>
    <xf numFmtId="174" fontId="57" fillId="0" borderId="10" xfId="60" applyNumberFormat="1" applyFont="1" applyBorder="1" applyAlignment="1">
      <alignment horizontal="right" vertical="center"/>
    </xf>
    <xf numFmtId="174" fontId="57" fillId="0" borderId="10" xfId="0" applyNumberFormat="1" applyFont="1" applyBorder="1" applyAlignment="1">
      <alignment horizontal="right" vertical="center"/>
    </xf>
    <xf numFmtId="0" fontId="6" fillId="0" borderId="10" xfId="0" applyFont="1" applyBorder="1" applyAlignment="1">
      <alignment vertical="center"/>
    </xf>
    <xf numFmtId="0" fontId="2" fillId="0" borderId="15" xfId="0" applyFont="1" applyBorder="1" applyAlignment="1">
      <alignment horizontal="center" vertical="center" wrapText="1"/>
    </xf>
    <xf numFmtId="173" fontId="6" fillId="0" borderId="10" xfId="0" applyNumberFormat="1" applyFont="1" applyBorder="1" applyAlignment="1">
      <alignment horizontal="center" vertical="center"/>
    </xf>
    <xf numFmtId="176" fontId="58"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6" xfId="0" applyFont="1" applyFill="1" applyBorder="1" applyAlignment="1">
      <alignment/>
    </xf>
    <xf numFmtId="171" fontId="7" fillId="0" borderId="17" xfId="60" applyNumberFormat="1" applyFont="1" applyBorder="1" applyAlignment="1">
      <alignment vertical="center" wrapText="1"/>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0" fontId="56" fillId="0" borderId="0" xfId="0" applyFont="1" applyAlignment="1">
      <alignment horizontal="right" wrapText="1"/>
    </xf>
    <xf numFmtId="3" fontId="7" fillId="0" borderId="10" xfId="0" applyNumberFormat="1" applyFont="1" applyFill="1" applyBorder="1" applyAlignment="1">
      <alignment horizontal="center" vertical="center"/>
    </xf>
    <xf numFmtId="0" fontId="7" fillId="0" borderId="17" xfId="0" applyFont="1" applyBorder="1" applyAlignment="1">
      <alignment horizontal="left" vertical="center"/>
    </xf>
    <xf numFmtId="0" fontId="7" fillId="0" borderId="17"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71" fontId="6" fillId="0" borderId="10" xfId="0"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72" fontId="0" fillId="0" borderId="0" xfId="0" applyNumberFormat="1" applyFont="1" applyAlignment="1">
      <alignment wrapText="1"/>
    </xf>
    <xf numFmtId="182" fontId="57" fillId="0" borderId="10" xfId="42" applyNumberFormat="1" applyFont="1" applyBorder="1" applyAlignment="1">
      <alignment vertical="center" wrapText="1"/>
    </xf>
    <xf numFmtId="174" fontId="59" fillId="0" borderId="10" xfId="0" applyNumberFormat="1" applyFont="1" applyBorder="1" applyAlignment="1">
      <alignment horizontal="right" vertical="center"/>
    </xf>
    <xf numFmtId="0" fontId="60" fillId="0" borderId="0" xfId="0" applyFont="1" applyBorder="1" applyAlignment="1">
      <alignment horizontal="left"/>
    </xf>
    <xf numFmtId="182" fontId="59" fillId="0" borderId="10" xfId="42" applyNumberFormat="1" applyFont="1" applyBorder="1" applyAlignment="1">
      <alignment vertical="center" wrapText="1"/>
    </xf>
    <xf numFmtId="174" fontId="59" fillId="0" borderId="10" xfId="0" applyNumberFormat="1" applyFont="1" applyBorder="1" applyAlignment="1">
      <alignment horizontal="center" vertical="center"/>
    </xf>
    <xf numFmtId="0" fontId="7" fillId="0" borderId="10" xfId="0" applyFont="1" applyFill="1" applyBorder="1" applyAlignment="1">
      <alignment horizontal="left" vertical="center"/>
    </xf>
    <xf numFmtId="0" fontId="55" fillId="0" borderId="0" xfId="0" applyFont="1" applyAlignment="1">
      <alignment/>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7" fillId="0" borderId="10" xfId="0" applyFont="1" applyBorder="1" applyAlignment="1">
      <alignment horizontal="left" vertical="center" wrapText="1"/>
    </xf>
    <xf numFmtId="173" fontId="61" fillId="0" borderId="10" xfId="44" applyNumberFormat="1" applyFont="1" applyBorder="1" applyAlignment="1">
      <alignment horizontal="center" vertical="center" wrapText="1"/>
    </xf>
    <xf numFmtId="44" fontId="61" fillId="0" borderId="10" xfId="44" applyFont="1" applyBorder="1" applyAlignment="1">
      <alignment horizontal="center" vertical="center" wrapText="1"/>
    </xf>
    <xf numFmtId="0" fontId="6" fillId="0" borderId="0" xfId="0" applyFont="1" applyBorder="1" applyAlignment="1">
      <alignment horizontal="left"/>
    </xf>
    <xf numFmtId="0" fontId="7" fillId="0" borderId="0" xfId="0" applyFont="1" applyAlignment="1">
      <alignment/>
    </xf>
    <xf numFmtId="14" fontId="6" fillId="0" borderId="0" xfId="0" applyNumberFormat="1" applyFont="1" applyBorder="1" applyAlignment="1">
      <alignment horizontal="left"/>
    </xf>
    <xf numFmtId="0" fontId="7" fillId="0" borderId="0" xfId="0" applyFont="1" applyFill="1" applyBorder="1" applyAlignment="1">
      <alignment horizontal="left" vertical="center"/>
    </xf>
    <xf numFmtId="176" fontId="58"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0" fontId="7" fillId="0" borderId="0" xfId="0" applyFont="1" applyAlignment="1">
      <alignment horizontal="center"/>
    </xf>
    <xf numFmtId="174" fontId="7" fillId="0" borderId="0" xfId="0" applyNumberFormat="1" applyFont="1" applyAlignment="1">
      <alignment horizontal="center"/>
    </xf>
    <xf numFmtId="0" fontId="58" fillId="0" borderId="0" xfId="0" applyFont="1" applyAlignment="1">
      <alignment/>
    </xf>
    <xf numFmtId="0" fontId="7" fillId="0" borderId="0" xfId="0" applyFont="1" applyFill="1" applyBorder="1" applyAlignment="1">
      <alignment/>
    </xf>
    <xf numFmtId="14" fontId="58" fillId="0" borderId="0" xfId="0" applyNumberFormat="1" applyFont="1" applyAlignment="1">
      <alignment horizontal="left"/>
    </xf>
    <xf numFmtId="0" fontId="5" fillId="0" borderId="18" xfId="0" applyFont="1" applyBorder="1" applyAlignment="1">
      <alignment horizontal="center"/>
    </xf>
    <xf numFmtId="0" fontId="6" fillId="0" borderId="19" xfId="0" applyFont="1" applyBorder="1" applyAlignment="1">
      <alignment horizontal="center" vertical="center" wrapText="1"/>
    </xf>
    <xf numFmtId="174" fontId="6" fillId="0" borderId="20" xfId="0" applyNumberFormat="1" applyFont="1" applyBorder="1" applyAlignment="1">
      <alignment horizontal="center" vertical="center" wrapText="1"/>
    </xf>
    <xf numFmtId="174" fontId="6" fillId="0" borderId="21"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wrapText="1"/>
    </xf>
    <xf numFmtId="0" fontId="6" fillId="0" borderId="21" xfId="0" applyFont="1" applyBorder="1" applyAlignment="1">
      <alignment horizontal="center" wrapText="1"/>
    </xf>
    <xf numFmtId="4" fontId="7" fillId="0" borderId="23" xfId="0" applyNumberFormat="1" applyFont="1" applyBorder="1" applyAlignment="1">
      <alignment horizontal="right"/>
    </xf>
    <xf numFmtId="174" fontId="7" fillId="0" borderId="24" xfId="0" applyNumberFormat="1" applyFont="1" applyFill="1" applyBorder="1" applyAlignment="1">
      <alignment horizontal="center"/>
    </xf>
    <xf numFmtId="174" fontId="6" fillId="0" borderId="23" xfId="0" applyNumberFormat="1" applyFont="1" applyFill="1" applyBorder="1" applyAlignment="1">
      <alignment horizontal="center"/>
    </xf>
    <xf numFmtId="174" fontId="6" fillId="0" borderId="25" xfId="0" applyNumberFormat="1" applyFont="1" applyFill="1" applyBorder="1" applyAlignment="1">
      <alignment horizontal="center"/>
    </xf>
    <xf numFmtId="172" fontId="6" fillId="0" borderId="26" xfId="0" applyNumberFormat="1" applyFont="1" applyBorder="1" applyAlignment="1">
      <alignment horizontal="center"/>
    </xf>
    <xf numFmtId="173" fontId="6" fillId="0" borderId="27" xfId="0" applyNumberFormat="1" applyFont="1" applyBorder="1" applyAlignment="1">
      <alignment horizontal="center"/>
    </xf>
    <xf numFmtId="172" fontId="6" fillId="0" borderId="28" xfId="0" applyNumberFormat="1" applyFont="1" applyBorder="1" applyAlignment="1">
      <alignment horizontal="center"/>
    </xf>
    <xf numFmtId="173" fontId="6" fillId="0" borderId="29" xfId="0" applyNumberFormat="1" applyFont="1" applyBorder="1" applyAlignment="1">
      <alignment horizontal="center"/>
    </xf>
    <xf numFmtId="4" fontId="7" fillId="0" borderId="30" xfId="0" applyNumberFormat="1" applyFont="1" applyBorder="1" applyAlignment="1">
      <alignment horizontal="right"/>
    </xf>
    <xf numFmtId="174" fontId="7" fillId="0" borderId="31" xfId="0" applyNumberFormat="1" applyFont="1" applyFill="1" applyBorder="1" applyAlignment="1">
      <alignment horizontal="center"/>
    </xf>
    <xf numFmtId="174" fontId="6" fillId="0" borderId="30" xfId="0" applyNumberFormat="1" applyFont="1" applyFill="1" applyBorder="1" applyAlignment="1">
      <alignment horizontal="center"/>
    </xf>
    <xf numFmtId="174" fontId="6" fillId="0" borderId="32" xfId="0" applyNumberFormat="1" applyFont="1" applyFill="1" applyBorder="1" applyAlignment="1">
      <alignment horizontal="center"/>
    </xf>
    <xf numFmtId="4" fontId="7" fillId="0" borderId="33" xfId="0" applyNumberFormat="1" applyFont="1" applyBorder="1" applyAlignment="1">
      <alignment horizontal="right"/>
    </xf>
    <xf numFmtId="174" fontId="7" fillId="0" borderId="34" xfId="60" applyNumberFormat="1" applyFont="1" applyBorder="1" applyAlignment="1">
      <alignment horizontal="center"/>
    </xf>
    <xf numFmtId="174" fontId="7" fillId="0" borderId="35" xfId="0" applyNumberFormat="1" applyFont="1" applyFill="1" applyBorder="1" applyAlignment="1">
      <alignment horizontal="center"/>
    </xf>
    <xf numFmtId="174" fontId="6" fillId="0" borderId="33" xfId="0" applyNumberFormat="1" applyFont="1" applyFill="1" applyBorder="1" applyAlignment="1">
      <alignment horizontal="center"/>
    </xf>
    <xf numFmtId="174" fontId="6" fillId="0" borderId="36" xfId="0" applyNumberFormat="1" applyFont="1" applyFill="1" applyBorder="1" applyAlignment="1">
      <alignment horizontal="center"/>
    </xf>
    <xf numFmtId="172" fontId="6" fillId="0" borderId="34" xfId="0" applyNumberFormat="1" applyFont="1" applyBorder="1" applyAlignment="1">
      <alignment horizontal="center"/>
    </xf>
    <xf numFmtId="173" fontId="6" fillId="0" borderId="37" xfId="0" applyNumberFormat="1" applyFont="1" applyBorder="1" applyAlignment="1">
      <alignment horizontal="center"/>
    </xf>
    <xf numFmtId="4" fontId="6" fillId="0" borderId="0" xfId="0" applyNumberFormat="1" applyFont="1" applyBorder="1" applyAlignment="1">
      <alignment horizontal="right"/>
    </xf>
    <xf numFmtId="174" fontId="6" fillId="0" borderId="0" xfId="60" applyNumberFormat="1" applyFont="1" applyBorder="1" applyAlignment="1">
      <alignment horizontal="center"/>
    </xf>
    <xf numFmtId="174" fontId="6" fillId="0" borderId="0" xfId="0" applyNumberFormat="1" applyFont="1" applyBorder="1" applyAlignment="1">
      <alignment horizontal="center"/>
    </xf>
    <xf numFmtId="0" fontId="5" fillId="0" borderId="0" xfId="0" applyFont="1" applyFill="1" applyAlignment="1">
      <alignment horizontal="center"/>
    </xf>
    <xf numFmtId="14" fontId="6" fillId="0" borderId="0" xfId="0" applyNumberFormat="1" applyFont="1" applyAlignment="1">
      <alignment horizontal="center"/>
    </xf>
    <xf numFmtId="174" fontId="7" fillId="0" borderId="10" xfId="60" applyNumberFormat="1" applyFont="1" applyBorder="1" applyAlignment="1">
      <alignment horizontal="right" vertical="center"/>
    </xf>
    <xf numFmtId="182" fontId="7" fillId="0" borderId="10" xfId="42" applyNumberFormat="1" applyFont="1" applyBorder="1" applyAlignment="1">
      <alignment vertical="center" wrapText="1"/>
    </xf>
    <xf numFmtId="0" fontId="7" fillId="0" borderId="13" xfId="0" applyFont="1" applyBorder="1" applyAlignment="1">
      <alignment horizontal="left" vertical="center"/>
    </xf>
    <xf numFmtId="176" fontId="58" fillId="0" borderId="13" xfId="0" applyNumberFormat="1" applyFont="1" applyBorder="1" applyAlignment="1">
      <alignment horizontal="center" vertical="center"/>
    </xf>
    <xf numFmtId="171" fontId="7" fillId="0" borderId="10" xfId="60" applyNumberFormat="1" applyFont="1" applyFill="1" applyBorder="1" applyAlignment="1">
      <alignment horizontal="right" vertical="center"/>
    </xf>
    <xf numFmtId="182" fontId="7" fillId="0" borderId="10" xfId="42" applyNumberFormat="1" applyFont="1" applyBorder="1" applyAlignment="1">
      <alignment horizontal="right" vertical="center"/>
    </xf>
    <xf numFmtId="0" fontId="7" fillId="0" borderId="10" xfId="0" applyFont="1" applyBorder="1" applyAlignment="1">
      <alignment vertical="center"/>
    </xf>
    <xf numFmtId="174" fontId="7" fillId="0" borderId="0" xfId="0" applyNumberFormat="1" applyFont="1" applyBorder="1" applyAlignment="1">
      <alignment horizontal="center" vertical="center" wrapText="1"/>
    </xf>
    <xf numFmtId="4" fontId="7" fillId="0" borderId="38" xfId="0" applyNumberFormat="1" applyFont="1" applyBorder="1" applyAlignment="1">
      <alignment horizontal="right"/>
    </xf>
    <xf numFmtId="174" fontId="7" fillId="0" borderId="39" xfId="0" applyNumberFormat="1" applyFont="1" applyBorder="1" applyAlignment="1">
      <alignment horizontal="center" wrapText="1"/>
    </xf>
    <xf numFmtId="174" fontId="7" fillId="0" borderId="40" xfId="0" applyNumberFormat="1" applyFont="1" applyFill="1" applyBorder="1" applyAlignment="1">
      <alignment horizontal="center"/>
    </xf>
    <xf numFmtId="4" fontId="7" fillId="0" borderId="32" xfId="0" applyNumberFormat="1" applyFont="1" applyBorder="1" applyAlignment="1">
      <alignment horizontal="right"/>
    </xf>
    <xf numFmtId="174" fontId="7" fillId="0" borderId="41" xfId="0" applyNumberFormat="1" applyFont="1" applyBorder="1" applyAlignment="1">
      <alignment horizontal="center" wrapText="1"/>
    </xf>
    <xf numFmtId="174" fontId="7" fillId="0" borderId="42" xfId="0" applyNumberFormat="1" applyFont="1" applyBorder="1" applyAlignment="1">
      <alignment horizontal="center" wrapText="1"/>
    </xf>
    <xf numFmtId="174" fontId="7" fillId="0" borderId="32" xfId="0" applyNumberFormat="1" applyFont="1" applyBorder="1" applyAlignment="1">
      <alignment horizontal="center" wrapText="1"/>
    </xf>
    <xf numFmtId="174" fontId="7" fillId="0" borderId="43" xfId="0" applyNumberFormat="1" applyFont="1" applyBorder="1" applyAlignment="1">
      <alignment horizontal="center" wrapText="1"/>
    </xf>
    <xf numFmtId="0" fontId="7" fillId="0" borderId="0" xfId="0" applyFont="1" applyAlignment="1">
      <alignment wrapText="1"/>
    </xf>
    <xf numFmtId="0" fontId="0" fillId="0" borderId="0" xfId="0" applyAlignment="1">
      <alignment wrapText="1"/>
    </xf>
    <xf numFmtId="0" fontId="57" fillId="0" borderId="0" xfId="0" applyFont="1" applyAlignment="1">
      <alignment wrapText="1"/>
    </xf>
    <xf numFmtId="0" fontId="7" fillId="0" borderId="10" xfId="0" applyFont="1" applyBorder="1" applyAlignment="1">
      <alignment vertical="center" wrapText="1"/>
    </xf>
    <xf numFmtId="0" fontId="57" fillId="0" borderId="0" xfId="0" applyFont="1" applyAlignment="1">
      <alignment/>
    </xf>
    <xf numFmtId="10" fontId="6" fillId="0" borderId="10"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6" fillId="12" borderId="10" xfId="0" applyFont="1" applyFill="1" applyBorder="1" applyAlignment="1">
      <alignment wrapText="1"/>
    </xf>
    <xf numFmtId="0" fontId="6" fillId="12" borderId="10" xfId="0" applyFont="1" applyFill="1" applyBorder="1" applyAlignment="1">
      <alignment horizontal="center" vertical="center" wrapText="1"/>
    </xf>
    <xf numFmtId="6" fontId="7" fillId="0" borderId="10"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7" fillId="0" borderId="14" xfId="0" applyFont="1" applyFill="1" applyBorder="1" applyAlignment="1">
      <alignment vertical="center"/>
    </xf>
    <xf numFmtId="0" fontId="5" fillId="0" borderId="0" xfId="0" applyFont="1" applyFill="1" applyBorder="1" applyAlignment="1">
      <alignment horizontal="left" vertical="center"/>
    </xf>
    <xf numFmtId="8" fontId="7" fillId="0" borderId="10" xfId="0" applyNumberFormat="1" applyFont="1" applyBorder="1" applyAlignment="1">
      <alignment horizontal="center" vertical="center" wrapText="1"/>
    </xf>
    <xf numFmtId="173" fontId="0" fillId="0" borderId="0" xfId="0" applyNumberFormat="1" applyAlignment="1">
      <alignment/>
    </xf>
    <xf numFmtId="0" fontId="0" fillId="0" borderId="14" xfId="0" applyFont="1" applyBorder="1" applyAlignment="1">
      <alignment/>
    </xf>
    <xf numFmtId="174" fontId="7" fillId="0" borderId="29" xfId="0" applyNumberFormat="1" applyFont="1" applyFill="1" applyBorder="1" applyAlignment="1">
      <alignment horizontal="center"/>
    </xf>
    <xf numFmtId="174" fontId="7" fillId="0" borderId="27" xfId="0" applyNumberFormat="1" applyFont="1" applyFill="1" applyBorder="1" applyAlignment="1">
      <alignment horizontal="center"/>
    </xf>
    <xf numFmtId="174" fontId="7" fillId="0" borderId="44" xfId="0" applyNumberFormat="1" applyFont="1" applyFill="1" applyBorder="1" applyAlignment="1">
      <alignment horizontal="center"/>
    </xf>
    <xf numFmtId="174" fontId="7" fillId="0" borderId="37" xfId="0" applyNumberFormat="1" applyFont="1" applyFill="1" applyBorder="1" applyAlignment="1">
      <alignment horizontal="center"/>
    </xf>
    <xf numFmtId="166" fontId="7" fillId="0" borderId="10" xfId="0" applyNumberFormat="1" applyFont="1" applyBorder="1" applyAlignment="1">
      <alignment horizontal="righ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82" fontId="2" fillId="0" borderId="0" xfId="0" applyNumberFormat="1" applyFont="1" applyFill="1" applyBorder="1" applyAlignment="1">
      <alignment horizontal="right" vertical="center"/>
    </xf>
    <xf numFmtId="174" fontId="6" fillId="0" borderId="12" xfId="0" applyNumberFormat="1" applyFont="1" applyBorder="1" applyAlignment="1">
      <alignment horizontal="center" vertical="center" wrapText="1"/>
    </xf>
    <xf numFmtId="174" fontId="7" fillId="0" borderId="45" xfId="0" applyNumberFormat="1" applyFont="1" applyFill="1" applyBorder="1" applyAlignment="1">
      <alignment horizontal="center"/>
    </xf>
    <xf numFmtId="174" fontId="7" fillId="0" borderId="46" xfId="0" applyNumberFormat="1" applyFont="1" applyFill="1" applyBorder="1" applyAlignment="1">
      <alignment horizontal="center"/>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0" fontId="58" fillId="0" borderId="0" xfId="0" applyFont="1" applyBorder="1" applyAlignment="1">
      <alignment horizontal="left"/>
    </xf>
    <xf numFmtId="180" fontId="58" fillId="0" borderId="10" xfId="0" applyNumberFormat="1" applyFont="1" applyBorder="1" applyAlignment="1">
      <alignment horizontal="center" vertical="center"/>
    </xf>
    <xf numFmtId="172" fontId="7" fillId="0" borderId="10" xfId="42" applyNumberFormat="1" applyFont="1" applyBorder="1" applyAlignment="1">
      <alignment horizontal="right" vertical="center"/>
    </xf>
    <xf numFmtId="0" fontId="56" fillId="0" borderId="0" xfId="0" applyFont="1" applyAlignment="1">
      <alignment horizontal="center"/>
    </xf>
    <xf numFmtId="14" fontId="2"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xf>
    <xf numFmtId="0" fontId="62" fillId="0" borderId="0" xfId="0" applyFont="1" applyBorder="1" applyAlignment="1">
      <alignment/>
    </xf>
    <xf numFmtId="187" fontId="62" fillId="0" borderId="0" xfId="0" applyNumberFormat="1" applyFont="1" applyBorder="1" applyAlignment="1">
      <alignment/>
    </xf>
    <xf numFmtId="172" fontId="0" fillId="0" borderId="10" xfId="0" applyNumberFormat="1" applyBorder="1" applyAlignment="1">
      <alignment horizontal="center"/>
    </xf>
    <xf numFmtId="0" fontId="62" fillId="0" borderId="0" xfId="0" applyFont="1" applyBorder="1" applyAlignment="1">
      <alignment wrapText="1"/>
    </xf>
    <xf numFmtId="0" fontId="62" fillId="0" borderId="0" xfId="0" applyFont="1" applyBorder="1" applyAlignment="1">
      <alignment vertical="center" wrapText="1"/>
    </xf>
    <xf numFmtId="0" fontId="62" fillId="0" borderId="49" xfId="0" applyFont="1" applyBorder="1" applyAlignment="1">
      <alignment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xf>
    <xf numFmtId="0" fontId="39" fillId="0" borderId="14" xfId="0" applyFont="1" applyBorder="1" applyAlignment="1">
      <alignment vertical="center" wrapText="1"/>
    </xf>
    <xf numFmtId="0" fontId="0" fillId="0" borderId="14" xfId="0" applyFont="1" applyBorder="1" applyAlignment="1">
      <alignment/>
    </xf>
    <xf numFmtId="0" fontId="62" fillId="0" borderId="52" xfId="0" applyFont="1" applyBorder="1" applyAlignment="1">
      <alignment/>
    </xf>
    <xf numFmtId="0" fontId="62" fillId="0" borderId="50" xfId="0" applyFont="1" applyBorder="1" applyAlignment="1">
      <alignment horizontal="center" vertical="center"/>
    </xf>
    <xf numFmtId="0" fontId="62" fillId="0" borderId="50"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62" fillId="0" borderId="49" xfId="0" applyFont="1" applyFill="1" applyBorder="1" applyAlignment="1">
      <alignment horizontal="left" vertical="center"/>
    </xf>
    <xf numFmtId="0" fontId="62" fillId="0" borderId="50" xfId="0" applyFont="1" applyFill="1" applyBorder="1" applyAlignment="1">
      <alignment horizontal="center" wrapText="1"/>
    </xf>
    <xf numFmtId="0" fontId="62" fillId="0" borderId="14" xfId="0" applyFont="1" applyFill="1" applyBorder="1" applyAlignment="1">
      <alignment horizontal="left" wrapText="1"/>
    </xf>
    <xf numFmtId="0" fontId="62" fillId="0" borderId="52" xfId="0" applyFont="1" applyFill="1" applyBorder="1" applyAlignment="1">
      <alignment horizontal="left" wrapText="1"/>
    </xf>
    <xf numFmtId="4" fontId="7" fillId="0" borderId="0" xfId="0" applyNumberFormat="1" applyFont="1" applyFill="1" applyBorder="1" applyAlignment="1">
      <alignment horizontal="left"/>
    </xf>
    <xf numFmtId="4" fontId="6" fillId="0" borderId="0" xfId="0" applyNumberFormat="1" applyFont="1" applyFill="1" applyBorder="1" applyAlignment="1">
      <alignment horizontal="left"/>
    </xf>
    <xf numFmtId="172" fontId="0" fillId="0" borderId="53" xfId="0" applyNumberFormat="1" applyBorder="1" applyAlignment="1">
      <alignment horizontal="center"/>
    </xf>
    <xf numFmtId="172" fontId="0" fillId="0" borderId="54" xfId="0" applyNumberFormat="1" applyBorder="1" applyAlignment="1">
      <alignment horizontal="center"/>
    </xf>
    <xf numFmtId="172" fontId="0" fillId="0" borderId="55" xfId="0" applyNumberFormat="1" applyBorder="1" applyAlignment="1">
      <alignment horizontal="center"/>
    </xf>
    <xf numFmtId="172" fontId="0" fillId="0" borderId="10" xfId="0" applyNumberFormat="1" applyFont="1" applyBorder="1" applyAlignment="1">
      <alignment horizontal="center"/>
    </xf>
    <xf numFmtId="172" fontId="63" fillId="0" borderId="53" xfId="0" applyNumberFormat="1" applyFont="1" applyBorder="1" applyAlignment="1">
      <alignment horizontal="center" vertical="center"/>
    </xf>
    <xf numFmtId="172" fontId="0" fillId="0" borderId="10" xfId="0" applyNumberFormat="1" applyFont="1" applyBorder="1" applyAlignment="1">
      <alignment horizontal="center"/>
    </xf>
    <xf numFmtId="172" fontId="0" fillId="0" borderId="53" xfId="0" applyNumberFormat="1" applyFont="1" applyBorder="1" applyAlignment="1">
      <alignment horizontal="center"/>
    </xf>
    <xf numFmtId="172" fontId="62" fillId="0" borderId="54" xfId="0" applyNumberFormat="1" applyFont="1" applyBorder="1" applyAlignment="1">
      <alignment horizontal="center"/>
    </xf>
    <xf numFmtId="172" fontId="62" fillId="0" borderId="55" xfId="0" applyNumberFormat="1" applyFont="1" applyBorder="1" applyAlignment="1">
      <alignment horizontal="center"/>
    </xf>
    <xf numFmtId="0" fontId="64" fillId="0" borderId="0" xfId="0" applyFont="1" applyBorder="1" applyAlignment="1">
      <alignment horizontal="left" vertical="center" wrapText="1"/>
    </xf>
    <xf numFmtId="0" fontId="65" fillId="0" borderId="0" xfId="0" applyFont="1" applyFill="1" applyBorder="1" applyAlignment="1">
      <alignment horizontal="left" vertical="center"/>
    </xf>
    <xf numFmtId="0" fontId="58" fillId="0" borderId="22" xfId="0" applyFont="1" applyBorder="1" applyAlignment="1">
      <alignment horizontal="center" vertical="center" wrapText="1"/>
    </xf>
    <xf numFmtId="174" fontId="58" fillId="0" borderId="25" xfId="0" applyNumberFormat="1" applyFont="1" applyFill="1" applyBorder="1" applyAlignment="1">
      <alignment horizontal="center"/>
    </xf>
    <xf numFmtId="174" fontId="58" fillId="0" borderId="32" xfId="0" applyNumberFormat="1" applyFont="1" applyFill="1" applyBorder="1" applyAlignment="1">
      <alignment horizontal="center"/>
    </xf>
    <xf numFmtId="174" fontId="58" fillId="0" borderId="56" xfId="0" applyNumberFormat="1" applyFont="1" applyFill="1" applyBorder="1" applyAlignment="1">
      <alignment horizontal="center"/>
    </xf>
    <xf numFmtId="174" fontId="58" fillId="0" borderId="36" xfId="0" applyNumberFormat="1" applyFont="1" applyFill="1" applyBorder="1" applyAlignment="1">
      <alignment horizontal="center"/>
    </xf>
    <xf numFmtId="174" fontId="58" fillId="0" borderId="0" xfId="0" applyNumberFormat="1" applyFont="1" applyBorder="1" applyAlignment="1">
      <alignment horizontal="center"/>
    </xf>
    <xf numFmtId="0" fontId="64" fillId="0" borderId="0" xfId="0" applyFont="1" applyAlignment="1">
      <alignment vertical="center"/>
    </xf>
    <xf numFmtId="0" fontId="5" fillId="0" borderId="0" xfId="0" applyFont="1" applyFill="1" applyBorder="1" applyAlignment="1">
      <alignment horizontal="left" vertical="center"/>
    </xf>
    <xf numFmtId="0" fontId="7" fillId="0" borderId="10" xfId="0" applyFont="1" applyBorder="1" applyAlignment="1">
      <alignment vertical="top" wrapText="1"/>
    </xf>
    <xf numFmtId="14" fontId="2" fillId="0" borderId="0" xfId="0" applyNumberFormat="1" applyFont="1" applyBorder="1" applyAlignment="1">
      <alignment horizontal="left"/>
    </xf>
    <xf numFmtId="0" fontId="5" fillId="0" borderId="18" xfId="0" applyFont="1" applyBorder="1" applyAlignment="1">
      <alignment horizontal="center"/>
    </xf>
    <xf numFmtId="0" fontId="5" fillId="0" borderId="11" xfId="0" applyFont="1" applyBorder="1" applyAlignment="1">
      <alignment horizontal="center"/>
    </xf>
    <xf numFmtId="0" fontId="5" fillId="0" borderId="57" xfId="0" applyFont="1" applyBorder="1" applyAlignment="1">
      <alignment horizontal="center"/>
    </xf>
    <xf numFmtId="0" fontId="5" fillId="0" borderId="12" xfId="0" applyFont="1" applyBorder="1" applyAlignment="1">
      <alignment horizontal="center"/>
    </xf>
    <xf numFmtId="4" fontId="7" fillId="0" borderId="10" xfId="0" applyNumberFormat="1" applyFont="1" applyFill="1" applyBorder="1" applyAlignment="1">
      <alignment horizontal="left"/>
    </xf>
    <xf numFmtId="0" fontId="64" fillId="0" borderId="58" xfId="0" applyFont="1" applyBorder="1" applyAlignment="1">
      <alignment wrapText="1"/>
    </xf>
    <xf numFmtId="0" fontId="64" fillId="0" borderId="59" xfId="0" applyFont="1" applyBorder="1" applyAlignment="1">
      <alignment wrapText="1"/>
    </xf>
    <xf numFmtId="0" fontId="64" fillId="0" borderId="10" xfId="0" applyFont="1" applyBorder="1" applyAlignment="1">
      <alignment vertical="center" wrapText="1"/>
    </xf>
    <xf numFmtId="4" fontId="6" fillId="0" borderId="10" xfId="0" applyNumberFormat="1" applyFont="1" applyFill="1" applyBorder="1" applyAlignment="1">
      <alignment horizontal="left"/>
    </xf>
    <xf numFmtId="0" fontId="6" fillId="0" borderId="10" xfId="0" applyFont="1" applyBorder="1" applyAlignment="1">
      <alignment horizontal="center" wrapText="1"/>
    </xf>
    <xf numFmtId="0" fontId="5" fillId="0" borderId="11" xfId="0" applyFont="1" applyBorder="1" applyAlignment="1">
      <alignment horizontal="left"/>
    </xf>
    <xf numFmtId="0" fontId="5" fillId="0" borderId="57" xfId="0" applyFont="1" applyBorder="1" applyAlignment="1">
      <alignment horizontal="left"/>
    </xf>
    <xf numFmtId="0" fontId="5" fillId="0" borderId="12" xfId="0" applyFont="1" applyBorder="1" applyAlignment="1">
      <alignment horizontal="left"/>
    </xf>
    <xf numFmtId="0" fontId="57" fillId="0" borderId="10" xfId="0" applyFont="1" applyBorder="1" applyAlignment="1">
      <alignment vertical="center"/>
    </xf>
    <xf numFmtId="0" fontId="7" fillId="0" borderId="60"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6" fillId="0" borderId="10" xfId="0" applyFont="1" applyBorder="1" applyAlignment="1">
      <alignment horizontal="center" vertical="center" wrapText="1"/>
    </xf>
    <xf numFmtId="0" fontId="5" fillId="0" borderId="11" xfId="0" applyFont="1" applyBorder="1" applyAlignment="1">
      <alignment horizontal="left" vertical="center"/>
    </xf>
    <xf numFmtId="0" fontId="5" fillId="0" borderId="57" xfId="0" applyFont="1" applyBorder="1" applyAlignment="1">
      <alignment horizontal="left" vertical="center"/>
    </xf>
    <xf numFmtId="0" fontId="5" fillId="0" borderId="12" xfId="0" applyFont="1" applyBorder="1" applyAlignment="1">
      <alignment horizontal="left" vertical="center"/>
    </xf>
    <xf numFmtId="0" fontId="6" fillId="0" borderId="10" xfId="0" applyFont="1" applyBorder="1" applyAlignment="1">
      <alignment horizontal="left"/>
    </xf>
    <xf numFmtId="0" fontId="7" fillId="0" borderId="10" xfId="0" applyFont="1" applyBorder="1" applyAlignment="1">
      <alignmen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9" fillId="0" borderId="10" xfId="0" applyFont="1" applyBorder="1" applyAlignment="1">
      <alignment vertical="center"/>
    </xf>
    <xf numFmtId="0" fontId="7" fillId="0" borderId="60" xfId="0" applyFont="1" applyFill="1" applyBorder="1" applyAlignment="1">
      <alignment horizontal="left" vertical="center"/>
    </xf>
    <xf numFmtId="0" fontId="7" fillId="0" borderId="59" xfId="0" applyFont="1" applyFill="1" applyBorder="1" applyAlignment="1">
      <alignment horizontal="left" vertical="center"/>
    </xf>
    <xf numFmtId="0" fontId="7" fillId="0" borderId="13" xfId="0" applyFont="1" applyBorder="1" applyAlignment="1">
      <alignment vertical="center"/>
    </xf>
    <xf numFmtId="0" fontId="7" fillId="0" borderId="60" xfId="0" applyFont="1" applyBorder="1" applyAlignment="1">
      <alignment vertical="center"/>
    </xf>
    <xf numFmtId="0" fontId="7" fillId="0" borderId="58" xfId="0" applyFont="1" applyBorder="1" applyAlignment="1">
      <alignment vertical="center"/>
    </xf>
    <xf numFmtId="174" fontId="8" fillId="0" borderId="10" xfId="60" applyNumberFormat="1" applyFont="1" applyBorder="1" applyAlignment="1">
      <alignment horizontal="center" vertical="center" wrapText="1"/>
    </xf>
    <xf numFmtId="0" fontId="8" fillId="0" borderId="10" xfId="0" applyFont="1" applyBorder="1" applyAlignment="1">
      <alignment horizontal="center" vertical="center" wrapText="1"/>
    </xf>
    <xf numFmtId="174" fontId="57" fillId="0" borderId="10" xfId="0" applyNumberFormat="1" applyFont="1" applyFill="1" applyBorder="1" applyAlignment="1">
      <alignment horizontal="left" vertical="center"/>
    </xf>
    <xf numFmtId="0" fontId="55" fillId="0" borderId="10" xfId="0" applyFont="1" applyBorder="1" applyAlignment="1">
      <alignment vertical="center"/>
    </xf>
    <xf numFmtId="0" fontId="6" fillId="0" borderId="10" xfId="0" applyFont="1" applyBorder="1" applyAlignment="1">
      <alignment horizontal="center" vertical="center"/>
    </xf>
    <xf numFmtId="0" fontId="0" fillId="0" borderId="10" xfId="0" applyBorder="1" applyAlignment="1">
      <alignment/>
    </xf>
    <xf numFmtId="0" fontId="6" fillId="0" borderId="10" xfId="0" applyFont="1" applyBorder="1" applyAlignment="1">
      <alignment vertical="center"/>
    </xf>
    <xf numFmtId="0" fontId="59" fillId="0" borderId="0" xfId="0" applyFont="1" applyBorder="1" applyAlignment="1">
      <alignment horizontal="left" vertical="top" wrapText="1"/>
    </xf>
    <xf numFmtId="174" fontId="59" fillId="0" borderId="10" xfId="0" applyNumberFormat="1" applyFont="1" applyFill="1" applyBorder="1" applyAlignment="1">
      <alignment horizontal="left" vertical="center"/>
    </xf>
    <xf numFmtId="0" fontId="66" fillId="0" borderId="10" xfId="0" applyFont="1" applyBorder="1" applyAlignment="1">
      <alignment vertical="center"/>
    </xf>
    <xf numFmtId="0" fontId="6" fillId="0" borderId="10" xfId="0" applyFont="1" applyBorder="1" applyAlignment="1">
      <alignment horizontal="center"/>
    </xf>
    <xf numFmtId="0" fontId="5" fillId="0" borderId="10" xfId="0" applyFont="1" applyBorder="1" applyAlignment="1">
      <alignment horizontal="center" vertical="center"/>
    </xf>
    <xf numFmtId="0" fontId="7" fillId="0" borderId="10" xfId="0" applyFont="1" applyFill="1" applyBorder="1" applyAlignment="1">
      <alignment horizontal="left" vertical="center"/>
    </xf>
    <xf numFmtId="0" fontId="5" fillId="0" borderId="0" xfId="0" applyFont="1" applyBorder="1" applyAlignment="1">
      <alignment horizontal="left"/>
    </xf>
    <xf numFmtId="0" fontId="5" fillId="0" borderId="10"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2"/>
  <sheetViews>
    <sheetView tabSelected="1" zoomScalePageLayoutView="0" workbookViewId="0" topLeftCell="A1">
      <selection activeCell="A1" sqref="A1:H1"/>
    </sheetView>
  </sheetViews>
  <sheetFormatPr defaultColWidth="9.140625" defaultRowHeight="12.75"/>
  <cols>
    <col min="1" max="1" width="20.7109375" style="0" customWidth="1"/>
    <col min="2" max="16" width="15.7109375" style="0" customWidth="1"/>
  </cols>
  <sheetData>
    <row r="1" spans="1:12" ht="17.25">
      <c r="A1" s="250" t="s">
        <v>216</v>
      </c>
      <c r="B1" s="250"/>
      <c r="C1" s="250"/>
      <c r="D1" s="250"/>
      <c r="E1" s="250"/>
      <c r="F1" s="250"/>
      <c r="G1" s="250"/>
      <c r="H1" s="250"/>
      <c r="I1" s="187"/>
      <c r="J1" s="187"/>
      <c r="K1" s="124" t="s">
        <v>12</v>
      </c>
      <c r="L1" s="1"/>
    </row>
    <row r="2" spans="1:12" ht="17.25">
      <c r="A2" s="187" t="s">
        <v>197</v>
      </c>
      <c r="B2" s="187"/>
      <c r="C2" s="187"/>
      <c r="D2" s="242" t="s">
        <v>237</v>
      </c>
      <c r="E2" s="187"/>
      <c r="F2" s="187"/>
      <c r="G2" s="187"/>
      <c r="H2" s="187"/>
      <c r="I2" s="187"/>
      <c r="J2" s="187"/>
      <c r="K2" s="124"/>
      <c r="L2" s="1"/>
    </row>
    <row r="3" spans="1:12" ht="12.75">
      <c r="A3" s="252" t="s">
        <v>231</v>
      </c>
      <c r="B3" s="252"/>
      <c r="C3" s="1"/>
      <c r="D3" s="1"/>
      <c r="E3" s="208" t="s">
        <v>12</v>
      </c>
      <c r="F3" s="1"/>
      <c r="G3" s="1"/>
      <c r="H3" s="1"/>
      <c r="I3" s="1"/>
      <c r="J3" s="1"/>
      <c r="K3" s="1"/>
      <c r="L3" s="1"/>
    </row>
    <row r="4" spans="1:14" ht="49.5" customHeight="1">
      <c r="A4" s="260" t="s">
        <v>236</v>
      </c>
      <c r="B4" s="260"/>
      <c r="C4" s="260"/>
      <c r="D4" s="260"/>
      <c r="E4" s="260"/>
      <c r="F4" s="260"/>
      <c r="G4" s="260"/>
      <c r="H4" s="260"/>
      <c r="I4" s="260"/>
      <c r="J4" s="260"/>
      <c r="K4" s="260"/>
      <c r="L4" s="260"/>
      <c r="M4" s="241"/>
      <c r="N4" s="241"/>
    </row>
    <row r="5" spans="1:12" ht="14.25" thickBot="1">
      <c r="A5" s="249"/>
      <c r="B5" s="209"/>
      <c r="C5" s="1"/>
      <c r="D5" s="1"/>
      <c r="E5" s="208"/>
      <c r="F5" s="1"/>
      <c r="G5" s="1"/>
      <c r="H5" s="1"/>
      <c r="I5" s="1"/>
      <c r="J5" s="1"/>
      <c r="K5" s="1"/>
      <c r="L5" s="1"/>
    </row>
    <row r="6" spans="1:16" ht="18" thickBot="1">
      <c r="A6" s="41"/>
      <c r="B6" s="253"/>
      <c r="C6" s="253"/>
      <c r="D6" s="253"/>
      <c r="E6" s="253"/>
      <c r="F6" s="253"/>
      <c r="G6" s="125"/>
      <c r="H6" s="125"/>
      <c r="I6" s="254" t="s">
        <v>208</v>
      </c>
      <c r="J6" s="255"/>
      <c r="K6" s="255"/>
      <c r="L6" s="255"/>
      <c r="M6" s="255"/>
      <c r="N6" s="255"/>
      <c r="O6" s="255"/>
      <c r="P6" s="256"/>
    </row>
    <row r="7" spans="1:16" ht="99.75" customHeight="1" thickBot="1">
      <c r="A7" s="129" t="s">
        <v>143</v>
      </c>
      <c r="B7" s="126" t="s">
        <v>144</v>
      </c>
      <c r="C7" s="127" t="s">
        <v>145</v>
      </c>
      <c r="D7" s="128" t="s">
        <v>146</v>
      </c>
      <c r="E7" s="200" t="s">
        <v>207</v>
      </c>
      <c r="F7" s="129" t="s">
        <v>234</v>
      </c>
      <c r="G7" s="243" t="s">
        <v>235</v>
      </c>
      <c r="H7" s="130" t="s">
        <v>147</v>
      </c>
      <c r="I7" s="131" t="s">
        <v>125</v>
      </c>
      <c r="J7" s="132" t="s">
        <v>148</v>
      </c>
      <c r="K7" s="131" t="s">
        <v>126</v>
      </c>
      <c r="L7" s="132" t="s">
        <v>149</v>
      </c>
      <c r="M7" s="131" t="s">
        <v>127</v>
      </c>
      <c r="N7" s="132" t="s">
        <v>150</v>
      </c>
      <c r="O7" s="131" t="s">
        <v>128</v>
      </c>
      <c r="P7" s="132" t="s">
        <v>151</v>
      </c>
    </row>
    <row r="8" spans="1:16" ht="15">
      <c r="A8" s="133" t="s">
        <v>152</v>
      </c>
      <c r="B8" s="169">
        <f>'3rd IA Configuration'!B6-'3rd IA Configuration'!C6-'3rd IA Configuration'!J6</f>
        <v>-3243.7000000000116</v>
      </c>
      <c r="C8" s="134">
        <f>'3rd IA Configuration'!B7-'3rd IA Configuration'!C7-'3rd IA Configuration'!J7</f>
        <v>1229.9813887441637</v>
      </c>
      <c r="D8" s="191">
        <f>584.9</f>
        <v>584.9</v>
      </c>
      <c r="E8" s="201">
        <v>234.2</v>
      </c>
      <c r="F8" s="135">
        <f>ROUND(SUM(B8:E8),1)</f>
        <v>-1194.6</v>
      </c>
      <c r="G8" s="244">
        <v>0</v>
      </c>
      <c r="H8" s="136" t="s">
        <v>24</v>
      </c>
      <c r="I8" s="139" t="s">
        <v>24</v>
      </c>
      <c r="J8" s="140" t="s">
        <v>24</v>
      </c>
      <c r="K8" s="139" t="s">
        <v>24</v>
      </c>
      <c r="L8" s="140" t="s">
        <v>24</v>
      </c>
      <c r="M8" s="139" t="s">
        <v>24</v>
      </c>
      <c r="N8" s="140" t="s">
        <v>24</v>
      </c>
      <c r="O8" s="139" t="s">
        <v>24</v>
      </c>
      <c r="P8" s="140" t="s">
        <v>24</v>
      </c>
    </row>
    <row r="9" spans="1:16" ht="15">
      <c r="A9" s="168" t="s">
        <v>155</v>
      </c>
      <c r="B9" s="171">
        <f>'3rd IA Configuration'!C6-'3rd IA Configuration'!D6-'3rd IA Configuration'!E6</f>
        <v>-196</v>
      </c>
      <c r="C9" s="142">
        <f>'3rd IA Configuration'!C7-'3rd IA Configuration'!D7-'3rd IA Configuration'!E7</f>
        <v>222.7270507381877</v>
      </c>
      <c r="D9" s="192">
        <f>63.2</f>
        <v>63.2</v>
      </c>
      <c r="E9" s="202">
        <v>29.8</v>
      </c>
      <c r="F9" s="143">
        <f>ROUND(SUM(B9:E9),1)</f>
        <v>119.7</v>
      </c>
      <c r="G9" s="245">
        <v>0</v>
      </c>
      <c r="H9" s="144" t="s">
        <v>24</v>
      </c>
      <c r="I9" s="137" t="s">
        <v>24</v>
      </c>
      <c r="J9" s="138" t="s">
        <v>24</v>
      </c>
      <c r="K9" s="137" t="s">
        <v>24</v>
      </c>
      <c r="L9" s="138" t="s">
        <v>24</v>
      </c>
      <c r="M9" s="137" t="s">
        <v>24</v>
      </c>
      <c r="N9" s="138" t="s">
        <v>24</v>
      </c>
      <c r="O9" s="137" t="s">
        <v>24</v>
      </c>
      <c r="P9" s="138" t="s">
        <v>24</v>
      </c>
    </row>
    <row r="10" spans="1:16" ht="15">
      <c r="A10" s="168" t="s">
        <v>156</v>
      </c>
      <c r="B10" s="172">
        <f>'3rd IA Configuration'!D6-'3rd IA Configuration'!F6-'3rd IA Configuration'!H6</f>
        <v>-620</v>
      </c>
      <c r="C10" s="142">
        <f>'3rd IA Configuration'!D7-'3rd IA Configuration'!F7-'3rd IA Configuration'!H7</f>
        <v>329.6813167365906</v>
      </c>
      <c r="D10" s="192">
        <v>0</v>
      </c>
      <c r="E10" s="202">
        <v>28.1</v>
      </c>
      <c r="F10" s="143">
        <f aca="true" t="shared" si="0" ref="F10:F15">ROUND(SUM(B10:E10),1)</f>
        <v>-262.2</v>
      </c>
      <c r="G10" s="245">
        <v>0</v>
      </c>
      <c r="H10" s="144" t="s">
        <v>24</v>
      </c>
      <c r="I10" s="137" t="s">
        <v>24</v>
      </c>
      <c r="J10" s="138" t="s">
        <v>24</v>
      </c>
      <c r="K10" s="137" t="s">
        <v>24</v>
      </c>
      <c r="L10" s="138" t="s">
        <v>24</v>
      </c>
      <c r="M10" s="137" t="s">
        <v>24</v>
      </c>
      <c r="N10" s="138" t="s">
        <v>24</v>
      </c>
      <c r="O10" s="137" t="s">
        <v>24</v>
      </c>
      <c r="P10" s="138" t="s">
        <v>24</v>
      </c>
    </row>
    <row r="11" spans="1:16" ht="15">
      <c r="A11" s="168" t="s">
        <v>157</v>
      </c>
      <c r="B11" s="171">
        <f>'3rd IA Configuration'!E6-'3rd IA Configuration'!I6</f>
        <v>-215</v>
      </c>
      <c r="C11" s="142">
        <f>'3rd IA Configuration'!E7-'3rd IA Configuration'!I7</f>
        <v>118.87245987182197</v>
      </c>
      <c r="D11" s="192">
        <v>0</v>
      </c>
      <c r="E11" s="202">
        <v>7</v>
      </c>
      <c r="F11" s="143">
        <f t="shared" si="0"/>
        <v>-89.1</v>
      </c>
      <c r="G11" s="245">
        <v>0</v>
      </c>
      <c r="H11" s="144" t="s">
        <v>24</v>
      </c>
      <c r="I11" s="137" t="s">
        <v>24</v>
      </c>
      <c r="J11" s="138" t="s">
        <v>24</v>
      </c>
      <c r="K11" s="137" t="s">
        <v>24</v>
      </c>
      <c r="L11" s="138" t="s">
        <v>24</v>
      </c>
      <c r="M11" s="137" t="s">
        <v>24</v>
      </c>
      <c r="N11" s="138" t="s">
        <v>24</v>
      </c>
      <c r="O11" s="137" t="s">
        <v>24</v>
      </c>
      <c r="P11" s="138" t="s">
        <v>24</v>
      </c>
    </row>
    <row r="12" spans="1:16" ht="15">
      <c r="A12" s="168" t="s">
        <v>158</v>
      </c>
      <c r="B12" s="172">
        <f>'3rd IA Configuration'!F6-'3rd IA Configuration'!G6</f>
        <v>-246</v>
      </c>
      <c r="C12" s="142">
        <f>'3rd IA Configuration'!F7-'3rd IA Configuration'!G7</f>
        <v>90.07137963814759</v>
      </c>
      <c r="D12" s="192">
        <f>39</f>
        <v>39</v>
      </c>
      <c r="E12" s="202">
        <v>11.8</v>
      </c>
      <c r="F12" s="143">
        <f t="shared" si="0"/>
        <v>-105.1</v>
      </c>
      <c r="G12" s="245">
        <v>0</v>
      </c>
      <c r="H12" s="144" t="s">
        <v>24</v>
      </c>
      <c r="I12" s="137" t="s">
        <v>24</v>
      </c>
      <c r="J12" s="138" t="s">
        <v>24</v>
      </c>
      <c r="K12" s="137" t="s">
        <v>24</v>
      </c>
      <c r="L12" s="138" t="s">
        <v>24</v>
      </c>
      <c r="M12" s="137" t="s">
        <v>24</v>
      </c>
      <c r="N12" s="138" t="s">
        <v>24</v>
      </c>
      <c r="O12" s="137" t="s">
        <v>24</v>
      </c>
      <c r="P12" s="138" t="s">
        <v>24</v>
      </c>
    </row>
    <row r="13" spans="1:16" ht="15">
      <c r="A13" s="168" t="s">
        <v>49</v>
      </c>
      <c r="B13" s="171">
        <f>'3rd IA Configuration'!G6</f>
        <v>-85</v>
      </c>
      <c r="C13" s="142">
        <f>'3rd IA Configuration'!G7</f>
        <v>82.97616950932249</v>
      </c>
      <c r="D13" s="192">
        <v>0</v>
      </c>
      <c r="E13" s="202">
        <v>4</v>
      </c>
      <c r="F13" s="143">
        <f t="shared" si="0"/>
        <v>2</v>
      </c>
      <c r="G13" s="245">
        <f>F13</f>
        <v>2</v>
      </c>
      <c r="H13" s="144" t="s">
        <v>153</v>
      </c>
      <c r="I13" s="137">
        <v>0</v>
      </c>
      <c r="J13" s="138">
        <v>136.5</v>
      </c>
      <c r="K13" s="137">
        <f>F13</f>
        <v>2</v>
      </c>
      <c r="L13" s="138">
        <v>134.23</v>
      </c>
      <c r="M13" s="137" t="s">
        <v>154</v>
      </c>
      <c r="N13" s="138" t="s">
        <v>154</v>
      </c>
      <c r="O13" s="137" t="s">
        <v>154</v>
      </c>
      <c r="P13" s="138" t="s">
        <v>154</v>
      </c>
    </row>
    <row r="14" spans="1:16" ht="15">
      <c r="A14" s="141" t="s">
        <v>50</v>
      </c>
      <c r="B14" s="170">
        <f>'3rd IA Configuration'!H6</f>
        <v>-80</v>
      </c>
      <c r="C14" s="142">
        <f>'3rd IA Configuration'!H7</f>
        <v>39.38037081832062</v>
      </c>
      <c r="D14" s="192">
        <v>0</v>
      </c>
      <c r="E14" s="202">
        <v>0</v>
      </c>
      <c r="F14" s="143">
        <f t="shared" si="0"/>
        <v>-40.6</v>
      </c>
      <c r="G14" s="245">
        <v>0</v>
      </c>
      <c r="H14" s="144" t="s">
        <v>24</v>
      </c>
      <c r="I14" s="137" t="s">
        <v>24</v>
      </c>
      <c r="J14" s="138" t="s">
        <v>24</v>
      </c>
      <c r="K14" s="137" t="s">
        <v>24</v>
      </c>
      <c r="L14" s="138" t="s">
        <v>24</v>
      </c>
      <c r="M14" s="137" t="s">
        <v>24</v>
      </c>
      <c r="N14" s="138" t="s">
        <v>24</v>
      </c>
      <c r="O14" s="137" t="s">
        <v>24</v>
      </c>
      <c r="P14" s="138" t="s">
        <v>24</v>
      </c>
    </row>
    <row r="15" spans="1:16" ht="15">
      <c r="A15" s="165" t="s">
        <v>7</v>
      </c>
      <c r="B15" s="166">
        <f>'3rd IA Configuration'!I6</f>
        <v>-345</v>
      </c>
      <c r="C15" s="167">
        <f>'3rd IA Configuration'!I7</f>
        <v>111.62413914793038</v>
      </c>
      <c r="D15" s="193">
        <v>0</v>
      </c>
      <c r="E15" s="203">
        <v>6.2</v>
      </c>
      <c r="F15" s="143">
        <f t="shared" si="0"/>
        <v>-227.2</v>
      </c>
      <c r="G15" s="246">
        <v>0</v>
      </c>
      <c r="H15" s="144" t="s">
        <v>24</v>
      </c>
      <c r="I15" s="137" t="s">
        <v>24</v>
      </c>
      <c r="J15" s="138" t="s">
        <v>24</v>
      </c>
      <c r="K15" s="137" t="s">
        <v>24</v>
      </c>
      <c r="L15" s="138" t="s">
        <v>24</v>
      </c>
      <c r="M15" s="137" t="s">
        <v>24</v>
      </c>
      <c r="N15" s="138" t="s">
        <v>24</v>
      </c>
      <c r="O15" s="137" t="s">
        <v>24</v>
      </c>
      <c r="P15" s="138" t="s">
        <v>24</v>
      </c>
    </row>
    <row r="16" spans="1:16" ht="15.75" thickBot="1">
      <c r="A16" s="145" t="s">
        <v>61</v>
      </c>
      <c r="B16" s="146">
        <f>'3rd IA Configuration'!J6</f>
        <v>-136</v>
      </c>
      <c r="C16" s="147">
        <f>'3rd IA Configuration'!J7</f>
        <v>216.32572479551487</v>
      </c>
      <c r="D16" s="194">
        <v>-135.9</v>
      </c>
      <c r="E16" s="204">
        <v>0</v>
      </c>
      <c r="F16" s="148">
        <f>ROUND(SUM(B16:E16),1)</f>
        <v>-55.6</v>
      </c>
      <c r="G16" s="247">
        <v>0</v>
      </c>
      <c r="H16" s="149" t="s">
        <v>24</v>
      </c>
      <c r="I16" s="150" t="s">
        <v>24</v>
      </c>
      <c r="J16" s="151" t="s">
        <v>24</v>
      </c>
      <c r="K16" s="150" t="s">
        <v>24</v>
      </c>
      <c r="L16" s="151" t="s">
        <v>24</v>
      </c>
      <c r="M16" s="150" t="s">
        <v>24</v>
      </c>
      <c r="N16" s="151" t="s">
        <v>24</v>
      </c>
      <c r="O16" s="150" t="s">
        <v>24</v>
      </c>
      <c r="P16" s="151" t="s">
        <v>24</v>
      </c>
    </row>
    <row r="17" spans="1:11" ht="15">
      <c r="A17" s="152" t="s">
        <v>159</v>
      </c>
      <c r="B17" s="153">
        <f aca="true" t="shared" si="1" ref="B17:G17">SUM(B8:B16)</f>
        <v>-5166.700000000012</v>
      </c>
      <c r="C17" s="154">
        <f t="shared" si="1"/>
        <v>2441.6399999999994</v>
      </c>
      <c r="D17" s="154">
        <f t="shared" si="1"/>
        <v>551.2</v>
      </c>
      <c r="E17" s="154">
        <f t="shared" si="1"/>
        <v>321.1</v>
      </c>
      <c r="F17" s="154">
        <f t="shared" si="1"/>
        <v>-1852.6999999999996</v>
      </c>
      <c r="G17" s="248">
        <f t="shared" si="1"/>
        <v>2</v>
      </c>
      <c r="H17" s="154"/>
      <c r="I17" s="1"/>
      <c r="J17" s="1"/>
      <c r="K17" s="1"/>
    </row>
    <row r="18" spans="1:11" ht="15">
      <c r="A18" s="152"/>
      <c r="B18" s="153"/>
      <c r="C18" s="154"/>
      <c r="D18" s="154"/>
      <c r="E18" s="154"/>
      <c r="F18" s="154" t="s">
        <v>12</v>
      </c>
      <c r="G18" s="154"/>
      <c r="H18" s="154"/>
      <c r="I18" s="1"/>
      <c r="J18" s="1"/>
      <c r="K18" s="1"/>
    </row>
    <row r="19" spans="1:12" ht="15">
      <c r="A19" s="257" t="s">
        <v>232</v>
      </c>
      <c r="B19" s="257"/>
      <c r="C19" s="257"/>
      <c r="D19" s="257"/>
      <c r="E19" s="257"/>
      <c r="F19" s="257"/>
      <c r="G19" s="257"/>
      <c r="H19" s="257"/>
      <c r="I19" s="257"/>
      <c r="J19" s="257"/>
      <c r="K19" s="257"/>
      <c r="L19" s="257"/>
    </row>
    <row r="20" spans="1:12" ht="30" customHeight="1">
      <c r="A20" s="258" t="s">
        <v>238</v>
      </c>
      <c r="B20" s="258"/>
      <c r="C20" s="258"/>
      <c r="D20" s="258"/>
      <c r="E20" s="258"/>
      <c r="F20" s="258"/>
      <c r="G20" s="258"/>
      <c r="H20" s="258"/>
      <c r="I20" s="258"/>
      <c r="J20" s="258"/>
      <c r="K20" s="258"/>
      <c r="L20" s="259"/>
    </row>
    <row r="21" spans="1:12" ht="49.5" customHeight="1">
      <c r="A21" s="251" t="s">
        <v>209</v>
      </c>
      <c r="B21" s="251"/>
      <c r="C21" s="251"/>
      <c r="D21" s="251"/>
      <c r="E21" s="251"/>
      <c r="F21" s="251"/>
      <c r="G21" s="251"/>
      <c r="H21" s="251"/>
      <c r="I21" s="251"/>
      <c r="J21" s="251"/>
      <c r="K21" s="251"/>
      <c r="L21" s="251"/>
    </row>
    <row r="22" spans="1:12" ht="17.25">
      <c r="A22" s="115" t="s">
        <v>12</v>
      </c>
      <c r="B22" s="155"/>
      <c r="C22" s="155"/>
      <c r="D22" s="155"/>
      <c r="E22" s="155"/>
      <c r="F22" s="155"/>
      <c r="G22" s="155"/>
      <c r="H22" s="155"/>
      <c r="I22" s="155"/>
      <c r="J22" s="1"/>
      <c r="K22" s="156"/>
      <c r="L22" s="1"/>
    </row>
  </sheetData>
  <sheetProtection/>
  <mergeCells count="8">
    <mergeCell ref="A1:H1"/>
    <mergeCell ref="A21:L21"/>
    <mergeCell ref="A3:B3"/>
    <mergeCell ref="B6:F6"/>
    <mergeCell ref="I6:P6"/>
    <mergeCell ref="A19:L19"/>
    <mergeCell ref="A20:L20"/>
    <mergeCell ref="A4:L4"/>
  </mergeCells>
  <printOptions/>
  <pageMargins left="0.7" right="0.7" top="0.75" bottom="0.75" header="0.3" footer="0.3"/>
  <pageSetup fitToHeight="1" fitToWidth="1" horizontalDpi="600" verticalDpi="600" orientation="landscape" scale="50" r:id="rId1"/>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J1"/>
    </sheetView>
  </sheetViews>
  <sheetFormatPr defaultColWidth="9.140625" defaultRowHeight="12.75"/>
  <cols>
    <col min="1" max="1" width="57.00390625" style="0" customWidth="1"/>
    <col min="2" max="9" width="16.7109375" style="0" customWidth="1"/>
    <col min="10" max="10" width="15.7109375" style="0" customWidth="1"/>
  </cols>
  <sheetData>
    <row r="1" spans="1:10" ht="17.25">
      <c r="A1" s="298" t="s">
        <v>217</v>
      </c>
      <c r="B1" s="298"/>
      <c r="C1" s="298"/>
      <c r="D1" s="298"/>
      <c r="E1" s="298"/>
      <c r="F1" s="298"/>
      <c r="G1" s="298"/>
      <c r="H1" s="298"/>
      <c r="I1" s="298"/>
      <c r="J1" s="298"/>
    </row>
    <row r="2" spans="1:10" ht="15.75" customHeight="1">
      <c r="A2" s="159"/>
      <c r="B2" s="160" t="s">
        <v>12</v>
      </c>
      <c r="C2" s="262" t="s">
        <v>62</v>
      </c>
      <c r="D2" s="262"/>
      <c r="E2" s="262"/>
      <c r="F2" s="262"/>
      <c r="G2" s="262"/>
      <c r="H2" s="262"/>
      <c r="I2" s="262"/>
      <c r="J2" s="262"/>
    </row>
    <row r="3" spans="1:10" ht="15">
      <c r="A3" s="108" t="s">
        <v>12</v>
      </c>
      <c r="B3" s="51" t="s">
        <v>13</v>
      </c>
      <c r="C3" s="51" t="s">
        <v>17</v>
      </c>
      <c r="D3" s="51" t="s">
        <v>16</v>
      </c>
      <c r="E3" s="51" t="s">
        <v>14</v>
      </c>
      <c r="F3" s="51" t="s">
        <v>8</v>
      </c>
      <c r="G3" s="51" t="s">
        <v>49</v>
      </c>
      <c r="H3" s="51" t="s">
        <v>50</v>
      </c>
      <c r="I3" s="51" t="s">
        <v>7</v>
      </c>
      <c r="J3" s="51" t="s">
        <v>61</v>
      </c>
    </row>
    <row r="4" spans="1:10" ht="19.5" customHeight="1">
      <c r="A4" s="111" t="s">
        <v>54</v>
      </c>
      <c r="B4" s="14">
        <f>'3rd IA Parameters'!B20</f>
        <v>310.0484777542373</v>
      </c>
      <c r="C4" s="13" t="s">
        <v>12</v>
      </c>
      <c r="D4" s="13" t="s">
        <v>12</v>
      </c>
      <c r="E4" s="13" t="s">
        <v>12</v>
      </c>
      <c r="F4" s="13" t="s">
        <v>12</v>
      </c>
      <c r="G4" s="13" t="s">
        <v>12</v>
      </c>
      <c r="H4" s="13" t="s">
        <v>12</v>
      </c>
      <c r="I4" s="13" t="s">
        <v>12</v>
      </c>
      <c r="J4" s="13" t="s">
        <v>12</v>
      </c>
    </row>
    <row r="5" spans="1:10" ht="19.5" customHeight="1">
      <c r="A5" s="75" t="s">
        <v>133</v>
      </c>
      <c r="B5" s="14"/>
      <c r="C5" s="14"/>
      <c r="D5" s="14"/>
      <c r="E5" s="14"/>
      <c r="F5" s="14"/>
      <c r="G5" s="14"/>
      <c r="H5" s="14"/>
      <c r="I5" s="14"/>
      <c r="J5" s="14"/>
    </row>
    <row r="6" spans="1:10" ht="19.5" customHeight="1">
      <c r="A6" s="111" t="s">
        <v>134</v>
      </c>
      <c r="B6" s="13">
        <v>118.54</v>
      </c>
      <c r="C6" s="13">
        <v>150</v>
      </c>
      <c r="D6" s="13">
        <v>150</v>
      </c>
      <c r="E6" s="13">
        <v>150</v>
      </c>
      <c r="F6" s="13">
        <v>150</v>
      </c>
      <c r="G6" s="13">
        <v>150</v>
      </c>
      <c r="H6" s="13">
        <v>150</v>
      </c>
      <c r="I6" s="13">
        <v>150</v>
      </c>
      <c r="J6" s="13">
        <v>304.62</v>
      </c>
    </row>
    <row r="7" spans="1:10" ht="19.5" customHeight="1">
      <c r="A7" s="111" t="s">
        <v>228</v>
      </c>
      <c r="B7" s="112">
        <f>MAX(0.3*$B$4,0.24*B6,20)*366</f>
        <v>34043.32285741525</v>
      </c>
      <c r="C7" s="112">
        <f aca="true" t="shared" si="0" ref="C7:J7">MAX(0.3*$B$4,0.24*C6,20)*366</f>
        <v>34043.32285741525</v>
      </c>
      <c r="D7" s="112">
        <f t="shared" si="0"/>
        <v>34043.32285741525</v>
      </c>
      <c r="E7" s="112">
        <f t="shared" si="0"/>
        <v>34043.32285741525</v>
      </c>
      <c r="F7" s="112">
        <f t="shared" si="0"/>
        <v>34043.32285741525</v>
      </c>
      <c r="G7" s="112">
        <f t="shared" si="0"/>
        <v>34043.32285741525</v>
      </c>
      <c r="H7" s="112">
        <f t="shared" si="0"/>
        <v>34043.32285741525</v>
      </c>
      <c r="I7" s="112">
        <f t="shared" si="0"/>
        <v>34043.32285741525</v>
      </c>
      <c r="J7" s="112">
        <f t="shared" si="0"/>
        <v>34043.32285741525</v>
      </c>
    </row>
    <row r="8" spans="1:10" ht="19.5" customHeight="1">
      <c r="A8" s="75" t="s">
        <v>135</v>
      </c>
      <c r="B8" s="113"/>
      <c r="C8" s="113"/>
      <c r="D8" s="113"/>
      <c r="E8" s="113"/>
      <c r="F8" s="113"/>
      <c r="G8" s="113"/>
      <c r="H8" s="113"/>
      <c r="I8" s="113"/>
      <c r="J8" s="113"/>
    </row>
    <row r="9" spans="1:10" ht="19.5" customHeight="1">
      <c r="A9" s="111" t="s">
        <v>136</v>
      </c>
      <c r="B9" s="112">
        <v>136</v>
      </c>
      <c r="C9" s="112">
        <v>167.46</v>
      </c>
      <c r="D9" s="112">
        <v>0</v>
      </c>
      <c r="E9" s="112">
        <v>167.46</v>
      </c>
      <c r="F9" s="112">
        <v>167.46</v>
      </c>
      <c r="G9" s="112">
        <v>167.46</v>
      </c>
      <c r="H9" s="112">
        <v>167.46</v>
      </c>
      <c r="I9" s="112">
        <v>167.46</v>
      </c>
      <c r="J9" s="112">
        <v>322.08</v>
      </c>
    </row>
    <row r="10" spans="1:10" ht="19.5" customHeight="1">
      <c r="A10" s="111" t="s">
        <v>229</v>
      </c>
      <c r="B10" s="112">
        <f>MAX(0.3*$B$4,0.24*B9,20)*366</f>
        <v>34043.32285741525</v>
      </c>
      <c r="C10" s="112">
        <f aca="true" t="shared" si="1" ref="C10:I10">MAX(0.3*$B$4,0.24*C9,20)*366</f>
        <v>34043.32285741525</v>
      </c>
      <c r="D10" s="112">
        <f t="shared" si="1"/>
        <v>34043.32285741525</v>
      </c>
      <c r="E10" s="112">
        <f t="shared" si="1"/>
        <v>34043.32285741525</v>
      </c>
      <c r="F10" s="112">
        <f t="shared" si="1"/>
        <v>34043.32285741525</v>
      </c>
      <c r="G10" s="112">
        <f t="shared" si="1"/>
        <v>34043.32285741525</v>
      </c>
      <c r="H10" s="112">
        <f t="shared" si="1"/>
        <v>34043.32285741525</v>
      </c>
      <c r="I10" s="112">
        <f t="shared" si="1"/>
        <v>34043.32285741525</v>
      </c>
      <c r="J10" s="112">
        <f>MAX(0.3*$B$4,0.24*J9,20)*366</f>
        <v>34043.32285741525</v>
      </c>
    </row>
    <row r="11" spans="1:10" ht="19.5" customHeight="1">
      <c r="A11" s="75" t="s">
        <v>130</v>
      </c>
      <c r="B11" s="113"/>
      <c r="C11" s="113"/>
      <c r="D11" s="113"/>
      <c r="E11" s="113"/>
      <c r="F11" s="113"/>
      <c r="G11" s="113"/>
      <c r="H11" s="113"/>
      <c r="I11" s="113"/>
      <c r="J11" s="113"/>
    </row>
    <row r="12" spans="1:10" ht="19.5" customHeight="1">
      <c r="A12" s="111" t="s">
        <v>137</v>
      </c>
      <c r="B12" s="112">
        <v>136</v>
      </c>
      <c r="C12" s="112">
        <v>167.46</v>
      </c>
      <c r="D12" s="112">
        <v>167.46</v>
      </c>
      <c r="E12" s="112">
        <v>167.46</v>
      </c>
      <c r="F12" s="112">
        <v>167.46</v>
      </c>
      <c r="G12" s="112">
        <v>167.46</v>
      </c>
      <c r="H12" s="112">
        <v>167.46</v>
      </c>
      <c r="I12" s="112">
        <v>167.46</v>
      </c>
      <c r="J12" s="112">
        <v>357</v>
      </c>
    </row>
    <row r="13" spans="1:10" ht="19.5" customHeight="1">
      <c r="A13" s="111" t="s">
        <v>230</v>
      </c>
      <c r="B13" s="112">
        <f>MAX(0.3*$B$4,0.24*B12,20)*366</f>
        <v>34043.32285741525</v>
      </c>
      <c r="C13" s="112">
        <f aca="true" t="shared" si="2" ref="C13:J13">MAX(0.3*$B$4,0.24*C12,20)*366</f>
        <v>34043.32285741525</v>
      </c>
      <c r="D13" s="112">
        <f t="shared" si="2"/>
        <v>34043.32285741525</v>
      </c>
      <c r="E13" s="112">
        <f t="shared" si="2"/>
        <v>34043.32285741525</v>
      </c>
      <c r="F13" s="112">
        <f t="shared" si="2"/>
        <v>34043.32285741525</v>
      </c>
      <c r="G13" s="112">
        <f t="shared" si="2"/>
        <v>34043.32285741525</v>
      </c>
      <c r="H13" s="112">
        <f t="shared" si="2"/>
        <v>34043.32285741525</v>
      </c>
      <c r="I13" s="112">
        <f t="shared" si="2"/>
        <v>34043.32285741525</v>
      </c>
      <c r="J13" s="112">
        <f t="shared" si="2"/>
        <v>34043.32285741525</v>
      </c>
    </row>
    <row r="17" spans="1:9" ht="19.5" customHeight="1">
      <c r="A17" s="297" t="s">
        <v>245</v>
      </c>
      <c r="B17" s="297"/>
      <c r="C17" s="297"/>
      <c r="D17" s="297"/>
      <c r="E17" s="297"/>
      <c r="F17" s="297"/>
      <c r="G17" s="297"/>
      <c r="H17" s="297"/>
      <c r="I17" s="297"/>
    </row>
    <row r="18" spans="1:10" ht="19.5" customHeight="1">
      <c r="A18" s="45"/>
      <c r="B18" s="74" t="s">
        <v>12</v>
      </c>
      <c r="C18" s="262" t="s">
        <v>62</v>
      </c>
      <c r="D18" s="262"/>
      <c r="E18" s="262"/>
      <c r="F18" s="262"/>
      <c r="G18" s="262"/>
      <c r="H18" s="262"/>
      <c r="I18" s="262"/>
      <c r="J18" s="262"/>
    </row>
    <row r="19" spans="1:10" ht="19.5" customHeight="1">
      <c r="A19" s="108" t="s">
        <v>12</v>
      </c>
      <c r="B19" s="51" t="s">
        <v>13</v>
      </c>
      <c r="C19" s="51" t="s">
        <v>17</v>
      </c>
      <c r="D19" s="51" t="s">
        <v>16</v>
      </c>
      <c r="E19" s="51" t="s">
        <v>14</v>
      </c>
      <c r="F19" s="51" t="s">
        <v>8</v>
      </c>
      <c r="G19" s="51" t="s">
        <v>49</v>
      </c>
      <c r="H19" s="51" t="s">
        <v>50</v>
      </c>
      <c r="I19" s="51" t="s">
        <v>7</v>
      </c>
      <c r="J19" s="51" t="s">
        <v>61</v>
      </c>
    </row>
    <row r="20" spans="1:10" ht="19.5" customHeight="1">
      <c r="A20" s="111" t="s">
        <v>54</v>
      </c>
      <c r="B20" s="14">
        <f>B4</f>
        <v>310.0484777542373</v>
      </c>
      <c r="C20" s="13" t="s">
        <v>12</v>
      </c>
      <c r="D20" s="13" t="s">
        <v>12</v>
      </c>
      <c r="E20" s="13" t="s">
        <v>12</v>
      </c>
      <c r="F20" s="13" t="s">
        <v>12</v>
      </c>
      <c r="G20" s="13" t="s">
        <v>12</v>
      </c>
      <c r="H20" s="13" t="s">
        <v>12</v>
      </c>
      <c r="I20" s="13" t="s">
        <v>12</v>
      </c>
      <c r="J20" s="13" t="s">
        <v>12</v>
      </c>
    </row>
    <row r="21" spans="1:10" ht="19.5" customHeight="1">
      <c r="A21" s="75" t="s">
        <v>133</v>
      </c>
      <c r="B21" s="14"/>
      <c r="C21" s="14"/>
      <c r="D21" s="14"/>
      <c r="E21" s="14"/>
      <c r="F21" s="14"/>
      <c r="G21" s="14"/>
      <c r="H21" s="14"/>
      <c r="I21" s="14"/>
      <c r="J21" s="14"/>
    </row>
    <row r="22" spans="1:10" ht="19.5" customHeight="1">
      <c r="A22" s="111" t="s">
        <v>239</v>
      </c>
      <c r="B22" s="112">
        <v>100.76</v>
      </c>
      <c r="C22" s="112">
        <v>122.33000000000001</v>
      </c>
      <c r="D22" s="112">
        <v>122.33000000000001</v>
      </c>
      <c r="E22" s="112">
        <v>122.33000000000001</v>
      </c>
      <c r="F22" s="112">
        <v>122.56000000000002</v>
      </c>
      <c r="G22" s="112">
        <v>122.56000000000002</v>
      </c>
      <c r="H22" s="112">
        <v>122.33000000000001</v>
      </c>
      <c r="I22" s="112">
        <v>122.33000000000001</v>
      </c>
      <c r="J22" s="112">
        <v>100.76</v>
      </c>
    </row>
    <row r="23" spans="1:10" ht="19.5" customHeight="1">
      <c r="A23" s="111" t="s">
        <v>240</v>
      </c>
      <c r="B23" s="112">
        <f>MAX(0.2*B22,20)*366</f>
        <v>7375.6320000000005</v>
      </c>
      <c r="C23" s="112">
        <f aca="true" t="shared" si="3" ref="C23:I23">MAX(0.2*C22,20)*366</f>
        <v>8954.556000000002</v>
      </c>
      <c r="D23" s="112">
        <f t="shared" si="3"/>
        <v>8954.556000000002</v>
      </c>
      <c r="E23" s="112">
        <f t="shared" si="3"/>
        <v>8954.556000000002</v>
      </c>
      <c r="F23" s="112">
        <f t="shared" si="3"/>
        <v>8971.392000000002</v>
      </c>
      <c r="G23" s="112">
        <f t="shared" si="3"/>
        <v>8971.392000000002</v>
      </c>
      <c r="H23" s="112">
        <f t="shared" si="3"/>
        <v>8954.556000000002</v>
      </c>
      <c r="I23" s="112">
        <f t="shared" si="3"/>
        <v>8954.556000000002</v>
      </c>
      <c r="J23" s="112">
        <f>MAX(0.2*J22,20)*366</f>
        <v>7375.6320000000005</v>
      </c>
    </row>
    <row r="24" spans="1:10" ht="19.5" customHeight="1">
      <c r="A24" s="75" t="s">
        <v>135</v>
      </c>
      <c r="B24" s="113"/>
      <c r="C24" s="113"/>
      <c r="D24" s="113"/>
      <c r="E24" s="113"/>
      <c r="F24" s="113"/>
      <c r="G24" s="113"/>
      <c r="H24" s="113"/>
      <c r="I24" s="113"/>
      <c r="J24" s="113"/>
    </row>
    <row r="25" spans="1:10" ht="19.5" customHeight="1">
      <c r="A25" s="111" t="s">
        <v>241</v>
      </c>
      <c r="B25" s="112">
        <v>163.2</v>
      </c>
      <c r="C25" s="112">
        <v>184.77</v>
      </c>
      <c r="D25" s="112">
        <v>184.77</v>
      </c>
      <c r="E25" s="112">
        <v>184.77</v>
      </c>
      <c r="F25" s="112">
        <v>185</v>
      </c>
      <c r="G25" s="112">
        <v>185</v>
      </c>
      <c r="H25" s="112">
        <v>184.77</v>
      </c>
      <c r="I25" s="112">
        <v>184.77</v>
      </c>
      <c r="J25" s="112">
        <v>163.2</v>
      </c>
    </row>
    <row r="26" spans="1:10" ht="19.5" customHeight="1">
      <c r="A26" s="111" t="s">
        <v>242</v>
      </c>
      <c r="B26" s="112">
        <f aca="true" t="shared" si="4" ref="B26:I26">MAX(0.2*B25,20)*366</f>
        <v>11946.24</v>
      </c>
      <c r="C26" s="112">
        <f t="shared" si="4"/>
        <v>13525.164</v>
      </c>
      <c r="D26" s="112">
        <f t="shared" si="4"/>
        <v>13525.164</v>
      </c>
      <c r="E26" s="112">
        <f t="shared" si="4"/>
        <v>13525.164</v>
      </c>
      <c r="F26" s="112">
        <f t="shared" si="4"/>
        <v>13542</v>
      </c>
      <c r="G26" s="112">
        <f t="shared" si="4"/>
        <v>13542</v>
      </c>
      <c r="H26" s="112">
        <f t="shared" si="4"/>
        <v>13525.164</v>
      </c>
      <c r="I26" s="112">
        <f t="shared" si="4"/>
        <v>13525.164</v>
      </c>
      <c r="J26" s="112">
        <f>MAX(0.2*J25,20)*366</f>
        <v>11946.24</v>
      </c>
    </row>
    <row r="27" spans="1:10" ht="19.5" customHeight="1">
      <c r="A27" s="75" t="s">
        <v>130</v>
      </c>
      <c r="B27" s="113"/>
      <c r="C27" s="113"/>
      <c r="D27" s="113"/>
      <c r="E27" s="113"/>
      <c r="F27" s="113"/>
      <c r="G27" s="113"/>
      <c r="H27" s="113"/>
      <c r="I27" s="113"/>
      <c r="J27" s="113"/>
    </row>
    <row r="28" spans="1:10" ht="19.5" customHeight="1">
      <c r="A28" s="111" t="s">
        <v>243</v>
      </c>
      <c r="B28" s="112">
        <v>163.2</v>
      </c>
      <c r="C28" s="112">
        <v>184.77</v>
      </c>
      <c r="D28" s="112">
        <v>184.77</v>
      </c>
      <c r="E28" s="112">
        <v>184.77</v>
      </c>
      <c r="F28" s="112">
        <v>185</v>
      </c>
      <c r="G28" s="112">
        <v>185</v>
      </c>
      <c r="H28" s="112">
        <v>184.77</v>
      </c>
      <c r="I28" s="112">
        <v>184.77</v>
      </c>
      <c r="J28" s="112">
        <v>163.2</v>
      </c>
    </row>
    <row r="29" spans="1:10" ht="19.5" customHeight="1">
      <c r="A29" s="111" t="s">
        <v>244</v>
      </c>
      <c r="B29" s="112">
        <f>MAX(0.2*B28,20)*366</f>
        <v>11946.24</v>
      </c>
      <c r="C29" s="112">
        <f aca="true" t="shared" si="5" ref="C29:J29">MAX(0.2*C28,20)*366</f>
        <v>13525.164</v>
      </c>
      <c r="D29" s="112">
        <f t="shared" si="5"/>
        <v>13525.164</v>
      </c>
      <c r="E29" s="112">
        <f t="shared" si="5"/>
        <v>13525.164</v>
      </c>
      <c r="F29" s="112">
        <f t="shared" si="5"/>
        <v>13542</v>
      </c>
      <c r="G29" s="112">
        <f t="shared" si="5"/>
        <v>13542</v>
      </c>
      <c r="H29" s="112">
        <f t="shared" si="5"/>
        <v>13525.164</v>
      </c>
      <c r="I29" s="112">
        <f t="shared" si="5"/>
        <v>13525.164</v>
      </c>
      <c r="J29" s="112">
        <f t="shared" si="5"/>
        <v>11946.24</v>
      </c>
    </row>
  </sheetData>
  <sheetProtection/>
  <mergeCells count="4">
    <mergeCell ref="A17:I17"/>
    <mergeCell ref="A1:J1"/>
    <mergeCell ref="C2:J2"/>
    <mergeCell ref="C18:J18"/>
  </mergeCells>
  <printOptions/>
  <pageMargins left="0.7" right="0.7" top="0.75" bottom="0.75" header="0.3" footer="0.3"/>
  <pageSetup fitToHeight="1" fitToWidth="1" horizontalDpi="600" verticalDpi="600" orientation="landscape" scale="59"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H1"/>
    </sheetView>
  </sheetViews>
  <sheetFormatPr defaultColWidth="9.140625" defaultRowHeight="12.75"/>
  <cols>
    <col min="1" max="7" width="15.7109375" style="0" customWidth="1"/>
  </cols>
  <sheetData>
    <row r="1" spans="1:11" ht="15">
      <c r="A1" s="261" t="s">
        <v>233</v>
      </c>
      <c r="B1" s="261"/>
      <c r="C1" s="261"/>
      <c r="D1" s="261"/>
      <c r="E1" s="261"/>
      <c r="F1" s="261"/>
      <c r="G1" s="261"/>
      <c r="H1" s="261"/>
      <c r="I1" s="230"/>
      <c r="J1" s="230"/>
      <c r="K1" s="230"/>
    </row>
    <row r="2" spans="1:11" ht="15.75" thickBot="1">
      <c r="A2" s="231"/>
      <c r="B2" s="230"/>
      <c r="C2" s="230"/>
      <c r="D2" s="230"/>
      <c r="E2" s="230"/>
      <c r="F2" s="230"/>
      <c r="G2" s="230"/>
      <c r="H2" s="230"/>
      <c r="I2" s="230"/>
      <c r="J2" s="230"/>
      <c r="K2" s="230"/>
    </row>
    <row r="3" spans="1:6" ht="28.5">
      <c r="A3" s="217" t="s">
        <v>220</v>
      </c>
      <c r="B3" s="218" t="s">
        <v>221</v>
      </c>
      <c r="C3" s="219" t="s">
        <v>124</v>
      </c>
      <c r="D3" s="212" t="s">
        <v>12</v>
      </c>
      <c r="E3" s="215" t="s">
        <v>12</v>
      </c>
      <c r="F3" s="216" t="s">
        <v>12</v>
      </c>
    </row>
    <row r="4" spans="1:6" ht="14.25">
      <c r="A4" s="220" t="s">
        <v>2</v>
      </c>
      <c r="B4" s="235">
        <v>3.5</v>
      </c>
      <c r="C4" s="236" t="s">
        <v>12</v>
      </c>
      <c r="D4" s="212"/>
      <c r="E4" s="215"/>
      <c r="F4" s="216"/>
    </row>
    <row r="5" spans="1:6" ht="12.75">
      <c r="A5" s="221" t="s">
        <v>65</v>
      </c>
      <c r="B5" s="237" t="s">
        <v>12</v>
      </c>
      <c r="C5" s="238">
        <v>26.5</v>
      </c>
      <c r="D5" s="17" t="s">
        <v>12</v>
      </c>
      <c r="E5" s="41"/>
      <c r="F5" s="210"/>
    </row>
    <row r="6" spans="1:6" ht="12.75">
      <c r="A6" s="221" t="s">
        <v>0</v>
      </c>
      <c r="B6" s="235">
        <v>107.2</v>
      </c>
      <c r="C6" s="238">
        <v>14.6</v>
      </c>
      <c r="D6" s="17" t="s">
        <v>12</v>
      </c>
      <c r="E6" s="41"/>
      <c r="F6" s="210"/>
    </row>
    <row r="7" spans="1:6" ht="12.75">
      <c r="A7" s="221" t="s">
        <v>18</v>
      </c>
      <c r="B7" s="235"/>
      <c r="C7" s="238">
        <v>32.8</v>
      </c>
      <c r="D7" s="17" t="s">
        <v>12</v>
      </c>
      <c r="E7" s="41"/>
      <c r="F7" s="210"/>
    </row>
    <row r="8" spans="1:6" ht="12.75">
      <c r="A8" s="190" t="s">
        <v>3</v>
      </c>
      <c r="B8" s="235">
        <v>7</v>
      </c>
      <c r="C8" s="238"/>
      <c r="D8" s="210"/>
      <c r="E8" s="210"/>
      <c r="F8" s="210"/>
    </row>
    <row r="9" spans="1:6" ht="12.75">
      <c r="A9" s="221" t="s">
        <v>19</v>
      </c>
      <c r="B9" s="235"/>
      <c r="C9" s="238">
        <v>3.6</v>
      </c>
      <c r="D9" s="17" t="s">
        <v>12</v>
      </c>
      <c r="E9" s="41"/>
      <c r="F9" s="210"/>
    </row>
    <row r="10" spans="1:6" ht="12.75">
      <c r="A10" s="190" t="s">
        <v>83</v>
      </c>
      <c r="B10" s="235"/>
      <c r="C10" s="238">
        <v>2.5</v>
      </c>
      <c r="D10" s="210" t="s">
        <v>12</v>
      </c>
      <c r="E10" s="41"/>
      <c r="F10" s="210"/>
    </row>
    <row r="11" spans="1:6" ht="12.75">
      <c r="A11" s="221" t="s">
        <v>4</v>
      </c>
      <c r="B11" s="235">
        <v>27</v>
      </c>
      <c r="C11" s="238">
        <v>2</v>
      </c>
      <c r="D11" s="17" t="s">
        <v>12</v>
      </c>
      <c r="E11" s="41"/>
      <c r="F11" s="210"/>
    </row>
    <row r="12" spans="1:6" ht="12.75">
      <c r="A12" s="221" t="s">
        <v>20</v>
      </c>
      <c r="B12" s="235"/>
      <c r="C12" s="238">
        <v>18</v>
      </c>
      <c r="D12" s="17" t="s">
        <v>12</v>
      </c>
      <c r="E12" s="41"/>
      <c r="F12" s="210"/>
    </row>
    <row r="13" spans="1:6" ht="12.75">
      <c r="A13" s="190" t="s">
        <v>1</v>
      </c>
      <c r="B13" s="235">
        <v>2.4</v>
      </c>
      <c r="C13" s="238"/>
      <c r="D13" s="17" t="s">
        <v>12</v>
      </c>
      <c r="E13" s="41"/>
      <c r="F13" s="210"/>
    </row>
    <row r="14" spans="1:6" ht="12.75">
      <c r="A14" s="190" t="s">
        <v>23</v>
      </c>
      <c r="B14" s="235" t="s">
        <v>12</v>
      </c>
      <c r="C14" s="238"/>
      <c r="D14" s="17" t="s">
        <v>12</v>
      </c>
      <c r="E14" s="41"/>
      <c r="F14" s="210"/>
    </row>
    <row r="15" spans="1:6" ht="12.75">
      <c r="A15" s="190" t="s">
        <v>5</v>
      </c>
      <c r="B15" s="235">
        <v>9</v>
      </c>
      <c r="C15" s="238">
        <v>0</v>
      </c>
      <c r="D15" s="17" t="s">
        <v>12</v>
      </c>
      <c r="E15" s="41"/>
      <c r="F15" s="210"/>
    </row>
    <row r="16" spans="1:6" ht="12.75">
      <c r="A16" s="190" t="s">
        <v>21</v>
      </c>
      <c r="B16" s="235">
        <v>4.4</v>
      </c>
      <c r="C16" s="238">
        <v>1.9</v>
      </c>
      <c r="D16" s="17"/>
      <c r="E16" s="41"/>
      <c r="F16" s="210"/>
    </row>
    <row r="17" spans="1:6" ht="12.75">
      <c r="A17" s="190" t="s">
        <v>6</v>
      </c>
      <c r="B17" s="235">
        <v>13.2</v>
      </c>
      <c r="C17" s="238"/>
      <c r="D17" s="17"/>
      <c r="E17" s="41"/>
      <c r="F17" s="210"/>
    </row>
    <row r="18" spans="1:6" ht="12.75">
      <c r="A18" s="190" t="s">
        <v>225</v>
      </c>
      <c r="B18" s="235">
        <v>11.8</v>
      </c>
      <c r="C18" s="238"/>
      <c r="D18" s="17"/>
      <c r="E18" s="41"/>
      <c r="F18" s="210"/>
    </row>
    <row r="19" spans="1:6" ht="12.75">
      <c r="A19" s="221" t="s">
        <v>7</v>
      </c>
      <c r="B19" s="235">
        <v>5.6</v>
      </c>
      <c r="C19" s="238">
        <v>0.6</v>
      </c>
      <c r="D19" s="17" t="s">
        <v>12</v>
      </c>
      <c r="E19" s="41"/>
      <c r="F19" s="210"/>
    </row>
    <row r="20" spans="1:6" ht="12.75">
      <c r="A20" s="221" t="s">
        <v>222</v>
      </c>
      <c r="B20" s="235">
        <v>9.5</v>
      </c>
      <c r="C20" s="238">
        <v>2.2</v>
      </c>
      <c r="D20" s="17" t="s">
        <v>12</v>
      </c>
      <c r="E20" s="41"/>
      <c r="F20" s="210"/>
    </row>
    <row r="21" spans="1:6" ht="12.75">
      <c r="A21" s="190" t="s">
        <v>8</v>
      </c>
      <c r="B21" s="235">
        <v>8.7</v>
      </c>
      <c r="C21" s="238">
        <v>3.1</v>
      </c>
      <c r="D21" s="17" t="s">
        <v>12</v>
      </c>
      <c r="E21" s="41"/>
      <c r="F21" s="210"/>
    </row>
    <row r="22" spans="1:6" ht="12.75">
      <c r="A22" s="190" t="s">
        <v>114</v>
      </c>
      <c r="B22" s="235">
        <f>4</f>
        <v>4</v>
      </c>
      <c r="C22" s="238"/>
      <c r="D22" s="17" t="s">
        <v>12</v>
      </c>
      <c r="E22" s="41"/>
      <c r="F22" s="210"/>
    </row>
    <row r="23" spans="1:6" ht="15" thickBot="1">
      <c r="A23" s="222" t="s">
        <v>129</v>
      </c>
      <c r="B23" s="239">
        <f>SUM(B4:B22)</f>
        <v>213.29999999999998</v>
      </c>
      <c r="C23" s="240">
        <f>SUM(C4:C22)</f>
        <v>107.8</v>
      </c>
      <c r="D23" s="210"/>
      <c r="E23" s="213" t="s">
        <v>12</v>
      </c>
      <c r="F23" s="210"/>
    </row>
    <row r="24" spans="1:4" ht="15" thickBot="1">
      <c r="A24" s="212"/>
      <c r="B24" s="212"/>
      <c r="C24" s="213"/>
      <c r="D24" s="211"/>
    </row>
    <row r="25" spans="1:7" ht="42.75">
      <c r="A25" s="226" t="s">
        <v>132</v>
      </c>
      <c r="B25" s="218" t="s">
        <v>221</v>
      </c>
      <c r="C25" s="223" t="s">
        <v>124</v>
      </c>
      <c r="D25" s="227" t="s">
        <v>226</v>
      </c>
      <c r="E25" s="224" t="s">
        <v>227</v>
      </c>
      <c r="F25" s="224" t="s">
        <v>223</v>
      </c>
      <c r="G25" s="225" t="s">
        <v>224</v>
      </c>
    </row>
    <row r="26" spans="1:7" ht="19.5" customHeight="1">
      <c r="A26" s="228" t="s">
        <v>13</v>
      </c>
      <c r="B26" s="214">
        <f>B6+B11</f>
        <v>134.2</v>
      </c>
      <c r="C26" s="214">
        <f>C5+C6+C7+C9+C11+C12+C10</f>
        <v>100</v>
      </c>
      <c r="D26" s="214">
        <f>B26+D27+D34</f>
        <v>213.29999999999998</v>
      </c>
      <c r="E26" s="214">
        <f>C26+E27+E34</f>
        <v>107.8</v>
      </c>
      <c r="F26" s="214">
        <f>B26+C26</f>
        <v>234.2</v>
      </c>
      <c r="G26" s="232">
        <f>D26+E26</f>
        <v>321.09999999999997</v>
      </c>
    </row>
    <row r="27" spans="1:7" ht="19.5" customHeight="1">
      <c r="A27" s="228" t="s">
        <v>17</v>
      </c>
      <c r="B27" s="214">
        <f>B16+B18+B20</f>
        <v>25.700000000000003</v>
      </c>
      <c r="C27" s="214">
        <f>C20+C16</f>
        <v>4.1</v>
      </c>
      <c r="D27" s="214">
        <f>B27+D28+D29</f>
        <v>79.1</v>
      </c>
      <c r="E27" s="214">
        <f>C27+E28+E29</f>
        <v>7.799999999999999</v>
      </c>
      <c r="F27" s="214">
        <f aca="true" t="shared" si="0" ref="F27:F34">B27+C27</f>
        <v>29.800000000000004</v>
      </c>
      <c r="G27" s="232">
        <f aca="true" t="shared" si="1" ref="G27:G34">D27+E27</f>
        <v>86.89999999999999</v>
      </c>
    </row>
    <row r="28" spans="1:7" ht="19.5" customHeight="1">
      <c r="A28" s="228" t="s">
        <v>16</v>
      </c>
      <c r="B28" s="214">
        <f>B4+B13+B15+B17</f>
        <v>28.1</v>
      </c>
      <c r="C28" s="214">
        <v>0</v>
      </c>
      <c r="D28" s="214">
        <f>B28+D30+D32</f>
        <v>40.8</v>
      </c>
      <c r="E28" s="214">
        <f>C28+E30+E32</f>
        <v>3.1</v>
      </c>
      <c r="F28" s="214">
        <f t="shared" si="0"/>
        <v>28.1</v>
      </c>
      <c r="G28" s="232">
        <f t="shared" si="1"/>
        <v>43.9</v>
      </c>
    </row>
    <row r="29" spans="1:7" ht="19.5" customHeight="1">
      <c r="A29" s="228" t="s">
        <v>14</v>
      </c>
      <c r="B29" s="214">
        <f>B8</f>
        <v>7</v>
      </c>
      <c r="C29" s="214">
        <v>0</v>
      </c>
      <c r="D29" s="214">
        <f>B29+D33</f>
        <v>12.6</v>
      </c>
      <c r="E29" s="214">
        <f>C29+E33</f>
        <v>0.6</v>
      </c>
      <c r="F29" s="214">
        <f t="shared" si="0"/>
        <v>7</v>
      </c>
      <c r="G29" s="232">
        <f t="shared" si="1"/>
        <v>13.2</v>
      </c>
    </row>
    <row r="30" spans="1:7" ht="19.5" customHeight="1">
      <c r="A30" s="228" t="s">
        <v>8</v>
      </c>
      <c r="B30" s="214">
        <f>B21</f>
        <v>8.7</v>
      </c>
      <c r="C30" s="214">
        <f>C21</f>
        <v>3.1</v>
      </c>
      <c r="D30" s="214">
        <f>B30+D31</f>
        <v>12.7</v>
      </c>
      <c r="E30" s="214">
        <f>C30+E31</f>
        <v>3.1</v>
      </c>
      <c r="F30" s="214">
        <f t="shared" si="0"/>
        <v>11.799999999999999</v>
      </c>
      <c r="G30" s="232">
        <f t="shared" si="1"/>
        <v>15.799999999999999</v>
      </c>
    </row>
    <row r="31" spans="1:7" ht="19.5" customHeight="1">
      <c r="A31" s="228" t="s">
        <v>114</v>
      </c>
      <c r="B31" s="214">
        <f>B22</f>
        <v>4</v>
      </c>
      <c r="C31" s="214">
        <v>0</v>
      </c>
      <c r="D31" s="214">
        <f aca="true" t="shared" si="2" ref="D31:E34">B31</f>
        <v>4</v>
      </c>
      <c r="E31" s="214">
        <f t="shared" si="2"/>
        <v>0</v>
      </c>
      <c r="F31" s="214">
        <f t="shared" si="0"/>
        <v>4</v>
      </c>
      <c r="G31" s="232">
        <f t="shared" si="1"/>
        <v>4</v>
      </c>
    </row>
    <row r="32" spans="1:7" ht="19.5" customHeight="1">
      <c r="A32" s="228" t="s">
        <v>23</v>
      </c>
      <c r="B32" s="214">
        <v>0</v>
      </c>
      <c r="C32" s="214">
        <v>0</v>
      </c>
      <c r="D32" s="214">
        <f t="shared" si="2"/>
        <v>0</v>
      </c>
      <c r="E32" s="214">
        <f t="shared" si="2"/>
        <v>0</v>
      </c>
      <c r="F32" s="214">
        <f t="shared" si="0"/>
        <v>0</v>
      </c>
      <c r="G32" s="232">
        <f t="shared" si="1"/>
        <v>0</v>
      </c>
    </row>
    <row r="33" spans="1:7" ht="19.5" customHeight="1">
      <c r="A33" s="228" t="s">
        <v>7</v>
      </c>
      <c r="B33" s="214">
        <f>B19</f>
        <v>5.6</v>
      </c>
      <c r="C33" s="214">
        <f>C19</f>
        <v>0.6</v>
      </c>
      <c r="D33" s="214">
        <f t="shared" si="2"/>
        <v>5.6</v>
      </c>
      <c r="E33" s="214">
        <f t="shared" si="2"/>
        <v>0.6</v>
      </c>
      <c r="F33" s="214">
        <f t="shared" si="0"/>
        <v>6.199999999999999</v>
      </c>
      <c r="G33" s="232">
        <f t="shared" si="1"/>
        <v>6.199999999999999</v>
      </c>
    </row>
    <row r="34" spans="1:7" ht="19.5" customHeight="1" thickBot="1">
      <c r="A34" s="229" t="s">
        <v>61</v>
      </c>
      <c r="B34" s="233">
        <f>0</f>
        <v>0</v>
      </c>
      <c r="C34" s="233">
        <v>0</v>
      </c>
      <c r="D34" s="233">
        <f t="shared" si="2"/>
        <v>0</v>
      </c>
      <c r="E34" s="233">
        <f t="shared" si="2"/>
        <v>0</v>
      </c>
      <c r="F34" s="233">
        <f t="shared" si="0"/>
        <v>0</v>
      </c>
      <c r="G34" s="234">
        <f t="shared" si="1"/>
        <v>0</v>
      </c>
    </row>
  </sheetData>
  <sheetProtection/>
  <mergeCells count="1">
    <mergeCell ref="A1:H1"/>
  </mergeCells>
  <printOptions/>
  <pageMargins left="0.45" right="0.45" top="0.5" bottom="0.5" header="0.3" footer="0.3"/>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A1" sqref="A1:J1"/>
    </sheetView>
  </sheetViews>
  <sheetFormatPr defaultColWidth="9.140625" defaultRowHeight="12.75"/>
  <cols>
    <col min="1" max="1" width="62.28125" style="0" customWidth="1"/>
    <col min="2" max="10" width="15.7109375" style="0" customWidth="1"/>
  </cols>
  <sheetData>
    <row r="1" spans="1:10" ht="18" thickBot="1">
      <c r="A1" s="263" t="s">
        <v>215</v>
      </c>
      <c r="B1" s="264"/>
      <c r="C1" s="264"/>
      <c r="D1" s="264"/>
      <c r="E1" s="264"/>
      <c r="F1" s="264"/>
      <c r="G1" s="264"/>
      <c r="H1" s="264"/>
      <c r="I1" s="264"/>
      <c r="J1" s="265"/>
    </row>
    <row r="2" spans="1:10" ht="15">
      <c r="A2" s="114" t="s">
        <v>12</v>
      </c>
      <c r="B2" s="114"/>
      <c r="C2" s="114"/>
      <c r="D2" s="114"/>
      <c r="E2" s="116"/>
      <c r="F2" s="114"/>
      <c r="G2" s="39"/>
      <c r="H2" s="2"/>
      <c r="I2" s="2"/>
      <c r="J2" s="115"/>
    </row>
    <row r="3" spans="1:10" ht="15">
      <c r="A3" s="114"/>
      <c r="B3" s="114"/>
      <c r="C3" s="205" t="s">
        <v>12</v>
      </c>
      <c r="D3" s="114"/>
      <c r="E3" s="116"/>
      <c r="F3" s="114"/>
      <c r="G3" s="39"/>
      <c r="H3" s="2"/>
      <c r="I3" s="2"/>
      <c r="J3" s="115"/>
    </row>
    <row r="4" spans="1:10" ht="15">
      <c r="A4" s="117"/>
      <c r="B4" s="118" t="s">
        <v>12</v>
      </c>
      <c r="C4" s="262" t="s">
        <v>46</v>
      </c>
      <c r="D4" s="262"/>
      <c r="E4" s="262"/>
      <c r="F4" s="262"/>
      <c r="G4" s="262"/>
      <c r="H4" s="262"/>
      <c r="I4" s="262"/>
      <c r="J4" s="262"/>
    </row>
    <row r="5" spans="1:10" ht="19.5" customHeight="1">
      <c r="A5" s="75" t="s">
        <v>12</v>
      </c>
      <c r="B5" s="51" t="s">
        <v>13</v>
      </c>
      <c r="C5" s="51" t="s">
        <v>17</v>
      </c>
      <c r="D5" s="51" t="s">
        <v>16</v>
      </c>
      <c r="E5" s="51" t="s">
        <v>14</v>
      </c>
      <c r="F5" s="51" t="s">
        <v>8</v>
      </c>
      <c r="G5" s="51" t="s">
        <v>49</v>
      </c>
      <c r="H5" s="51" t="s">
        <v>50</v>
      </c>
      <c r="I5" s="51" t="s">
        <v>7</v>
      </c>
      <c r="J5" s="51" t="s">
        <v>61</v>
      </c>
    </row>
    <row r="6" spans="1:11" ht="19.5" customHeight="1">
      <c r="A6" s="119" t="s">
        <v>138</v>
      </c>
      <c r="B6" s="9">
        <f>'3rd IA Parameters'!B18-'2nd IA Parameters'!B18</f>
        <v>-5166.700000000012</v>
      </c>
      <c r="C6" s="9">
        <f>'3rd IA Parameters'!C18-'2nd IA Parameters'!C18</f>
        <v>-1787</v>
      </c>
      <c r="D6" s="9">
        <f>'3rd IA Parameters'!D18-'2nd IA Parameters'!D18</f>
        <v>-1031</v>
      </c>
      <c r="E6" s="9">
        <f>'3rd IA Parameters'!E18-'2nd IA Parameters'!E18</f>
        <v>-560</v>
      </c>
      <c r="F6" s="9">
        <f>'3rd IA Parameters'!F18-'2nd IA Parameters'!F18</f>
        <v>-331</v>
      </c>
      <c r="G6" s="9">
        <f>'3rd IA Parameters'!G18-'2nd IA Parameters'!G18</f>
        <v>-85</v>
      </c>
      <c r="H6" s="9">
        <f>'3rd IA Parameters'!H18-'2nd IA Parameters'!H18</f>
        <v>-80</v>
      </c>
      <c r="I6" s="9">
        <f>'3rd IA Parameters'!I18-'2nd IA Parameters'!I18</f>
        <v>-345</v>
      </c>
      <c r="J6" s="9">
        <f>'3rd IA Parameters'!J18-'2nd IA Parameters'!J18</f>
        <v>-136</v>
      </c>
      <c r="K6" s="164" t="s">
        <v>12</v>
      </c>
    </row>
    <row r="7" spans="1:10" ht="19.5" customHeight="1">
      <c r="A7" s="119" t="s">
        <v>139</v>
      </c>
      <c r="B7" s="9">
        <f>'BRA Parameters'!B19*0.6</f>
        <v>2441.64</v>
      </c>
      <c r="C7" s="9">
        <f>'BRA Parameters'!C19*0.6</f>
        <v>995.3328864603213</v>
      </c>
      <c r="D7" s="9">
        <f>'BRA Parameters'!D19*0.6</f>
        <v>542.1092367023813</v>
      </c>
      <c r="E7" s="9">
        <f>'BRA Parameters'!E19*0.6</f>
        <v>230.49659901975235</v>
      </c>
      <c r="F7" s="9">
        <f>'BRA Parameters'!F19*0.6</f>
        <v>173.04754914747008</v>
      </c>
      <c r="G7" s="9">
        <f>'BRA Parameters'!G19*0.6</f>
        <v>82.97616950932249</v>
      </c>
      <c r="H7" s="9">
        <f>'BRA Parameters'!H19*0.6</f>
        <v>39.38037081832062</v>
      </c>
      <c r="I7" s="9">
        <f>'BRA Parameters'!I19*0.6</f>
        <v>111.62413914793038</v>
      </c>
      <c r="J7" s="9">
        <f>'BRA Parameters'!J19*0.6</f>
        <v>216.32572479551487</v>
      </c>
    </row>
    <row r="8" spans="1:10" ht="19.5" customHeight="1">
      <c r="A8" s="111" t="s">
        <v>140</v>
      </c>
      <c r="B8" s="15" t="s">
        <v>24</v>
      </c>
      <c r="C8" s="10">
        <f>'2nd IA Parameters'!C14-'1st IA Parameters'!C14</f>
        <v>0</v>
      </c>
      <c r="D8" s="10">
        <f>'2nd IA Parameters'!D14-'1st IA Parameters'!D14</f>
        <v>0</v>
      </c>
      <c r="E8" s="10">
        <f>'2nd IA Parameters'!E14-'1st IA Parameters'!E14</f>
        <v>0</v>
      </c>
      <c r="F8" s="10">
        <f>'2nd IA Parameters'!F14-'1st IA Parameters'!F14</f>
        <v>0</v>
      </c>
      <c r="G8" s="10">
        <f>'2nd IA Parameters'!G14-'1st IA Parameters'!G14</f>
        <v>0</v>
      </c>
      <c r="H8" s="10">
        <f>'2nd IA Parameters'!H14-'1st IA Parameters'!H14</f>
        <v>0</v>
      </c>
      <c r="I8" s="10">
        <f>'2nd IA Parameters'!I14-'1st IA Parameters'!I14</f>
        <v>0</v>
      </c>
      <c r="J8" s="10">
        <f>'2nd IA Parameters'!J14-'1st IA Parameters'!J14</f>
        <v>0</v>
      </c>
    </row>
    <row r="9" spans="1:10" ht="19.5" customHeight="1">
      <c r="A9" s="111" t="s">
        <v>205</v>
      </c>
      <c r="B9" s="15" t="s">
        <v>24</v>
      </c>
      <c r="C9" s="34">
        <v>0</v>
      </c>
      <c r="D9" s="34">
        <v>1609.6</v>
      </c>
      <c r="E9" s="10">
        <v>2439.2</v>
      </c>
      <c r="F9" s="10">
        <v>0</v>
      </c>
      <c r="G9" s="10">
        <v>297.1</v>
      </c>
      <c r="H9" s="10">
        <v>315.5</v>
      </c>
      <c r="I9" s="10">
        <v>2964.4</v>
      </c>
      <c r="J9" s="34">
        <v>0</v>
      </c>
    </row>
    <row r="10" spans="1:10" ht="15">
      <c r="A10" s="2"/>
      <c r="B10" s="120"/>
      <c r="C10" s="121" t="s">
        <v>12</v>
      </c>
      <c r="D10" s="121" t="s">
        <v>12</v>
      </c>
      <c r="E10" s="121" t="s">
        <v>12</v>
      </c>
      <c r="F10" s="121" t="s">
        <v>12</v>
      </c>
      <c r="G10" s="121" t="s">
        <v>12</v>
      </c>
      <c r="H10" s="121" t="s">
        <v>12</v>
      </c>
      <c r="I10" s="121"/>
      <c r="J10" s="121" t="s">
        <v>12</v>
      </c>
    </row>
    <row r="11" spans="1:10" ht="15">
      <c r="A11" s="2" t="s">
        <v>141</v>
      </c>
      <c r="B11" s="120"/>
      <c r="C11" s="120"/>
      <c r="D11" s="120"/>
      <c r="E11" s="120"/>
      <c r="F11" s="120"/>
      <c r="G11" s="120"/>
      <c r="H11" s="115"/>
      <c r="I11" s="115"/>
      <c r="J11" s="122"/>
    </row>
    <row r="12" spans="1:10" ht="15">
      <c r="A12" s="2" t="s">
        <v>142</v>
      </c>
      <c r="B12" s="120"/>
      <c r="C12" s="120"/>
      <c r="D12" s="120"/>
      <c r="E12" s="120"/>
      <c r="F12" s="120"/>
      <c r="G12" s="120"/>
      <c r="H12" s="115"/>
      <c r="I12" s="115"/>
      <c r="J12" s="122"/>
    </row>
    <row r="13" ht="15">
      <c r="A13" s="123" t="s">
        <v>206</v>
      </c>
    </row>
    <row r="15" ht="12.75">
      <c r="E15" t="s">
        <v>12</v>
      </c>
    </row>
    <row r="16" spans="2:5" ht="12.75">
      <c r="B16" t="s">
        <v>12</v>
      </c>
      <c r="E16" t="s">
        <v>12</v>
      </c>
    </row>
    <row r="17" ht="12.75">
      <c r="E17" t="s">
        <v>12</v>
      </c>
    </row>
    <row r="18" ht="12.75">
      <c r="E18" t="s">
        <v>12</v>
      </c>
    </row>
    <row r="19" ht="12.75">
      <c r="E19" t="s">
        <v>12</v>
      </c>
    </row>
    <row r="20" ht="12.75">
      <c r="E20" t="s">
        <v>12</v>
      </c>
    </row>
    <row r="21" ht="12.75">
      <c r="E21" t="s">
        <v>12</v>
      </c>
    </row>
    <row r="22" ht="12.75">
      <c r="E22" t="s">
        <v>12</v>
      </c>
    </row>
  </sheetData>
  <sheetProtection/>
  <mergeCells count="2">
    <mergeCell ref="C4:J4"/>
    <mergeCell ref="A1:J1"/>
  </mergeCells>
  <printOptions/>
  <pageMargins left="0.7" right="0.7" top="0.75" bottom="0.75" header="0.3" footer="0.3"/>
  <pageSetup fitToHeight="1" fitToWidth="1" horizontalDpi="600" verticalDpi="600" orientation="landscape" scale="61"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J1"/>
    </sheetView>
  </sheetViews>
  <sheetFormatPr defaultColWidth="9.140625" defaultRowHeight="12.75"/>
  <cols>
    <col min="1" max="1" width="50.7109375" style="0" customWidth="1"/>
    <col min="2" max="2" width="20.7109375" style="0" customWidth="1"/>
    <col min="3" max="10" width="16.7109375" style="0" customWidth="1"/>
  </cols>
  <sheetData>
    <row r="1" spans="1:10" ht="18" thickBot="1">
      <c r="A1" s="271" t="s">
        <v>211</v>
      </c>
      <c r="B1" s="272"/>
      <c r="C1" s="272"/>
      <c r="D1" s="272"/>
      <c r="E1" s="272"/>
      <c r="F1" s="272"/>
      <c r="G1" s="272"/>
      <c r="H1" s="272"/>
      <c r="I1" s="272"/>
      <c r="J1" s="273"/>
    </row>
    <row r="2" spans="1:9" ht="17.25">
      <c r="A2" s="103" t="s">
        <v>12</v>
      </c>
      <c r="B2" s="40"/>
      <c r="C2" s="40"/>
      <c r="D2" s="40"/>
      <c r="E2" s="41"/>
      <c r="F2" s="41"/>
      <c r="G2" s="42"/>
      <c r="H2" s="39"/>
      <c r="I2" s="39"/>
    </row>
    <row r="3" spans="1:10" ht="19.5" customHeight="1">
      <c r="A3" s="43"/>
      <c r="B3" s="44" t="s">
        <v>13</v>
      </c>
      <c r="C3" s="274" t="s">
        <v>44</v>
      </c>
      <c r="D3" s="274"/>
      <c r="E3" s="274"/>
      <c r="F3" s="274"/>
      <c r="G3" s="274"/>
      <c r="H3" s="274"/>
      <c r="I3" s="274"/>
      <c r="J3" s="274"/>
    </row>
    <row r="4" spans="1:10" ht="19.5" customHeight="1">
      <c r="A4" s="45" t="s">
        <v>36</v>
      </c>
      <c r="B4" s="46">
        <v>0.156</v>
      </c>
      <c r="C4" s="275" t="s">
        <v>212</v>
      </c>
      <c r="D4" s="275"/>
      <c r="E4" s="275"/>
      <c r="F4" s="275"/>
      <c r="G4" s="275"/>
      <c r="H4" s="275"/>
      <c r="I4" s="275"/>
      <c r="J4" s="275"/>
    </row>
    <row r="5" spans="1:10" ht="19.5" customHeight="1">
      <c r="A5" s="45" t="s">
        <v>37</v>
      </c>
      <c r="B5" s="46">
        <v>0.056</v>
      </c>
      <c r="C5" s="276" t="s">
        <v>161</v>
      </c>
      <c r="D5" s="276"/>
      <c r="E5" s="276"/>
      <c r="F5" s="276"/>
      <c r="G5" s="276"/>
      <c r="H5" s="276"/>
      <c r="I5" s="276"/>
      <c r="J5" s="276"/>
    </row>
    <row r="6" spans="1:10" ht="19.5" customHeight="1">
      <c r="A6" s="45" t="s">
        <v>38</v>
      </c>
      <c r="B6" s="48">
        <v>1.0913</v>
      </c>
      <c r="C6" s="275" t="s">
        <v>12</v>
      </c>
      <c r="D6" s="275"/>
      <c r="E6" s="275"/>
      <c r="F6" s="275"/>
      <c r="G6" s="275"/>
      <c r="H6" s="275"/>
      <c r="I6" s="275"/>
      <c r="J6" s="275"/>
    </row>
    <row r="7" spans="1:10" ht="19.5" customHeight="1">
      <c r="A7" s="45" t="s">
        <v>45</v>
      </c>
      <c r="B7" s="49">
        <v>0.951</v>
      </c>
      <c r="C7" s="266" t="s">
        <v>12</v>
      </c>
      <c r="D7" s="266"/>
      <c r="E7" s="266"/>
      <c r="F7" s="266"/>
      <c r="G7" s="266"/>
      <c r="H7" s="266"/>
      <c r="I7" s="266"/>
      <c r="J7" s="266"/>
    </row>
    <row r="8" spans="1:10" ht="19.5" customHeight="1">
      <c r="A8" s="45" t="s">
        <v>162</v>
      </c>
      <c r="B8" s="10">
        <v>155823.3</v>
      </c>
      <c r="C8" s="266" t="s">
        <v>12</v>
      </c>
      <c r="D8" s="266"/>
      <c r="E8" s="266"/>
      <c r="F8" s="266"/>
      <c r="G8" s="266"/>
      <c r="H8" s="266"/>
      <c r="I8" s="266"/>
      <c r="J8" s="266"/>
    </row>
    <row r="9" spans="1:10" ht="19.5" customHeight="1">
      <c r="A9" s="45" t="s">
        <v>48</v>
      </c>
      <c r="B9" s="50" t="s">
        <v>210</v>
      </c>
      <c r="C9" s="266" t="s">
        <v>12</v>
      </c>
      <c r="D9" s="266"/>
      <c r="E9" s="266"/>
      <c r="F9" s="266"/>
      <c r="G9" s="266"/>
      <c r="H9" s="266"/>
      <c r="I9" s="266"/>
      <c r="J9" s="266"/>
    </row>
    <row r="10" spans="1:10" ht="19.5" customHeight="1">
      <c r="A10" s="267"/>
      <c r="B10" s="268"/>
      <c r="C10" s="268"/>
      <c r="D10" s="268"/>
      <c r="E10" s="268"/>
      <c r="F10" s="268"/>
      <c r="G10" s="268"/>
      <c r="H10" s="268"/>
      <c r="I10" s="268"/>
      <c r="J10" s="269"/>
    </row>
    <row r="11" spans="1:10" ht="19.5" customHeight="1">
      <c r="A11" s="45"/>
      <c r="B11" s="206" t="s">
        <v>12</v>
      </c>
      <c r="C11" s="270" t="s">
        <v>62</v>
      </c>
      <c r="D11" s="270"/>
      <c r="E11" s="270"/>
      <c r="F11" s="270"/>
      <c r="G11" s="270"/>
      <c r="H11" s="270"/>
      <c r="I11" s="270"/>
      <c r="J11" s="270"/>
    </row>
    <row r="12" spans="1:10" ht="19.5" customHeight="1">
      <c r="A12" s="72" t="s">
        <v>12</v>
      </c>
      <c r="B12" s="55" t="s">
        <v>13</v>
      </c>
      <c r="C12" s="55" t="s">
        <v>17</v>
      </c>
      <c r="D12" s="55" t="s">
        <v>16</v>
      </c>
      <c r="E12" s="55" t="s">
        <v>14</v>
      </c>
      <c r="F12" s="55" t="s">
        <v>8</v>
      </c>
      <c r="G12" s="55" t="s">
        <v>49</v>
      </c>
      <c r="H12" s="55" t="s">
        <v>50</v>
      </c>
      <c r="I12" s="55" t="s">
        <v>7</v>
      </c>
      <c r="J12" s="51" t="s">
        <v>61</v>
      </c>
    </row>
    <row r="13" spans="1:10" ht="19.5" customHeight="1">
      <c r="A13" s="56" t="s">
        <v>9</v>
      </c>
      <c r="B13" s="27" t="s">
        <v>24</v>
      </c>
      <c r="C13" s="27">
        <v>-1160</v>
      </c>
      <c r="D13" s="29">
        <v>4100</v>
      </c>
      <c r="E13" s="29">
        <v>3480</v>
      </c>
      <c r="F13" s="29">
        <v>5660</v>
      </c>
      <c r="G13" s="29">
        <v>2690</v>
      </c>
      <c r="H13" s="29">
        <v>1320</v>
      </c>
      <c r="I13" s="29">
        <v>2670</v>
      </c>
      <c r="J13" s="29">
        <v>4040</v>
      </c>
    </row>
    <row r="14" spans="1:10" ht="19.5" customHeight="1">
      <c r="A14" s="56" t="s">
        <v>11</v>
      </c>
      <c r="B14" s="27" t="s">
        <v>24</v>
      </c>
      <c r="C14" s="27">
        <f>'2nd IA Parameters'!C14</f>
        <v>6156</v>
      </c>
      <c r="D14" s="27">
        <f>'2nd IA Parameters'!D14</f>
        <v>9177</v>
      </c>
      <c r="E14" s="27">
        <f>'2nd IA Parameters'!E14</f>
        <v>8373</v>
      </c>
      <c r="F14" s="27">
        <f>'2nd IA Parameters'!F14</f>
        <v>6220</v>
      </c>
      <c r="G14" s="27">
        <f>'2nd IA Parameters'!G14</f>
        <v>2972</v>
      </c>
      <c r="H14" s="27">
        <f>'2nd IA Parameters'!H14</f>
        <v>1822</v>
      </c>
      <c r="I14" s="27">
        <f>'2nd IA Parameters'!I14</f>
        <v>6522</v>
      </c>
      <c r="J14" s="27">
        <f>'2nd IA Parameters'!J14</f>
        <v>5417.8</v>
      </c>
    </row>
    <row r="15" spans="1:10" ht="19.5" customHeight="1">
      <c r="A15" s="57" t="s">
        <v>10</v>
      </c>
      <c r="B15" s="27">
        <f>ROUND((B8*B6),1)</f>
        <v>170050</v>
      </c>
      <c r="C15" s="27">
        <v>67692</v>
      </c>
      <c r="D15" s="157">
        <v>37243</v>
      </c>
      <c r="E15" s="157">
        <v>16058</v>
      </c>
      <c r="F15" s="157">
        <v>12195</v>
      </c>
      <c r="G15" s="157">
        <v>6272</v>
      </c>
      <c r="H15" s="157">
        <v>3065</v>
      </c>
      <c r="I15" s="157">
        <v>8336</v>
      </c>
      <c r="J15" s="157">
        <v>15649</v>
      </c>
    </row>
    <row r="16" spans="1:10" ht="19.5" customHeight="1">
      <c r="A16" s="56" t="s">
        <v>52</v>
      </c>
      <c r="B16" s="29">
        <v>14890.3</v>
      </c>
      <c r="C16" s="30">
        <v>0</v>
      </c>
      <c r="D16" s="30">
        <v>0</v>
      </c>
      <c r="E16" s="30">
        <v>0</v>
      </c>
      <c r="F16" s="30">
        <v>0</v>
      </c>
      <c r="G16" s="30">
        <v>0</v>
      </c>
      <c r="H16" s="30">
        <v>0</v>
      </c>
      <c r="I16" s="30">
        <v>0</v>
      </c>
      <c r="J16" s="30">
        <v>0</v>
      </c>
    </row>
    <row r="17" spans="1:10" ht="19.5" customHeight="1">
      <c r="A17" s="56" t="s">
        <v>51</v>
      </c>
      <c r="B17" s="29">
        <f>ROUND(B16*$B$6,1)</f>
        <v>16249.8</v>
      </c>
      <c r="C17" s="31">
        <v>0</v>
      </c>
      <c r="D17" s="31">
        <v>0</v>
      </c>
      <c r="E17" s="31">
        <v>0</v>
      </c>
      <c r="F17" s="31">
        <v>0</v>
      </c>
      <c r="G17" s="31">
        <v>0</v>
      </c>
      <c r="H17" s="31">
        <v>0</v>
      </c>
      <c r="I17" s="31">
        <v>0</v>
      </c>
      <c r="J17" s="31">
        <v>0</v>
      </c>
    </row>
    <row r="18" spans="1:10" ht="19.5" customHeight="1">
      <c r="A18" s="58" t="s">
        <v>53</v>
      </c>
      <c r="B18" s="32">
        <f>B15-B17</f>
        <v>153800.2</v>
      </c>
      <c r="C18" s="32">
        <f aca="true" t="shared" si="0" ref="C18:I18">C15-C17</f>
        <v>67692</v>
      </c>
      <c r="D18" s="32">
        <f t="shared" si="0"/>
        <v>37243</v>
      </c>
      <c r="E18" s="32">
        <f t="shared" si="0"/>
        <v>16058</v>
      </c>
      <c r="F18" s="32">
        <f t="shared" si="0"/>
        <v>12195</v>
      </c>
      <c r="G18" s="32">
        <f t="shared" si="0"/>
        <v>6272</v>
      </c>
      <c r="H18" s="32">
        <f t="shared" si="0"/>
        <v>3065</v>
      </c>
      <c r="I18" s="32">
        <f t="shared" si="0"/>
        <v>8336</v>
      </c>
      <c r="J18" s="32">
        <f>J15-J17</f>
        <v>15649</v>
      </c>
    </row>
    <row r="19" spans="1:10" ht="19.5" customHeight="1">
      <c r="A19" s="57" t="s">
        <v>48</v>
      </c>
      <c r="B19" s="27">
        <f>'BRA Parameters'!B19*0</f>
        <v>0</v>
      </c>
      <c r="C19" s="27">
        <f>'BRA Parameters'!C19*0</f>
        <v>0</v>
      </c>
      <c r="D19" s="27">
        <f>'BRA Parameters'!D19*0</f>
        <v>0</v>
      </c>
      <c r="E19" s="27">
        <f>'BRA Parameters'!E19*0</f>
        <v>0</v>
      </c>
      <c r="F19" s="27">
        <f>'BRA Parameters'!F19*0</f>
        <v>0</v>
      </c>
      <c r="G19" s="27">
        <f>'BRA Parameters'!G19*0</f>
        <v>0</v>
      </c>
      <c r="H19" s="27">
        <f>'BRA Parameters'!H19*0</f>
        <v>0</v>
      </c>
      <c r="I19" s="27">
        <f>'BRA Parameters'!I19*0</f>
        <v>0</v>
      </c>
      <c r="J19" s="27">
        <f>'BRA Parameters'!J19*0</f>
        <v>0</v>
      </c>
    </row>
    <row r="20" spans="1:10" ht="19.5" customHeight="1">
      <c r="A20" s="59" t="s">
        <v>54</v>
      </c>
      <c r="B20" s="33">
        <f>'2nd IA Parameters'!B20*(1-'2nd IA Parameters'!$B$5)/(1-'3rd IA Parameters'!$B$5)</f>
        <v>310.0484777542373</v>
      </c>
      <c r="C20" s="33">
        <f>'2nd IA Parameters'!C20*(1-'2nd IA Parameters'!$B$5)/(1-'3rd IA Parameters'!$B$5)</f>
        <v>264.7277966101695</v>
      </c>
      <c r="D20" s="33">
        <f>'2nd IA Parameters'!D20*(1-'2nd IA Parameters'!$B$5)/(1-'3rd IA Parameters'!$B$5)</f>
        <v>307.1280995762712</v>
      </c>
      <c r="E20" s="33">
        <f>'2nd IA Parameters'!E20*(1-'2nd IA Parameters'!$B$5)/(1-'3rd IA Parameters'!$B$5)</f>
        <v>264.7277966101695</v>
      </c>
      <c r="F20" s="33">
        <f>'2nd IA Parameters'!F20*(1-'2nd IA Parameters'!$B$5)/(1-'3rd IA Parameters'!$B$5)</f>
        <v>307.1280995762712</v>
      </c>
      <c r="G20" s="33">
        <f>'2nd IA Parameters'!G20*(1-'2nd IA Parameters'!$B$5)/(1-'3rd IA Parameters'!$B$5)</f>
        <v>307.1280995762712</v>
      </c>
      <c r="H20" s="33">
        <f>'2nd IA Parameters'!H20*(1-'2nd IA Parameters'!$B$5)/(1-'3rd IA Parameters'!$B$5)</f>
        <v>307.1280995762712</v>
      </c>
      <c r="I20" s="33">
        <f>'2nd IA Parameters'!I20*(1-'2nd IA Parameters'!$B$5)/(1-'3rd IA Parameters'!$B$5)</f>
        <v>264.7277966101695</v>
      </c>
      <c r="J20" s="33">
        <f>'2nd IA Parameters'!J20*(1-'2nd IA Parameters'!$B$5)/(1-'3rd IA Parameters'!$B$5)</f>
        <v>337.35849894067803</v>
      </c>
    </row>
    <row r="21" spans="1:10" ht="19.5" customHeight="1">
      <c r="A21" s="60" t="s">
        <v>56</v>
      </c>
      <c r="B21" s="33"/>
      <c r="C21" s="33"/>
      <c r="D21" s="33"/>
      <c r="E21" s="33"/>
      <c r="F21" s="33"/>
      <c r="G21" s="33"/>
      <c r="H21" s="33"/>
      <c r="I21" s="33"/>
      <c r="J21" s="33"/>
    </row>
    <row r="22" spans="1:10" ht="19.5" customHeight="1">
      <c r="A22" s="56" t="s">
        <v>25</v>
      </c>
      <c r="B22" s="26">
        <f>ROUND(B$20*1.5,2)</f>
        <v>465.07</v>
      </c>
      <c r="C22" s="26">
        <f aca="true" t="shared" si="1" ref="C22:J22">ROUND(C$20*1.5,2)</f>
        <v>397.09</v>
      </c>
      <c r="D22" s="26">
        <f t="shared" si="1"/>
        <v>460.69</v>
      </c>
      <c r="E22" s="26">
        <f t="shared" si="1"/>
        <v>397.09</v>
      </c>
      <c r="F22" s="26">
        <f t="shared" si="1"/>
        <v>460.69</v>
      </c>
      <c r="G22" s="26">
        <f t="shared" si="1"/>
        <v>460.69</v>
      </c>
      <c r="H22" s="26">
        <f t="shared" si="1"/>
        <v>460.69</v>
      </c>
      <c r="I22" s="26">
        <f t="shared" si="1"/>
        <v>397.09</v>
      </c>
      <c r="J22" s="26">
        <f t="shared" si="1"/>
        <v>506.04</v>
      </c>
    </row>
    <row r="23" spans="1:10" ht="19.5" customHeight="1">
      <c r="A23" s="56" t="s">
        <v>26</v>
      </c>
      <c r="B23" s="26">
        <f>ROUND(B$20,2)</f>
        <v>310.05</v>
      </c>
      <c r="C23" s="26">
        <f aca="true" t="shared" si="2" ref="C23:H23">ROUND(C$20,2)</f>
        <v>264.73</v>
      </c>
      <c r="D23" s="26">
        <f t="shared" si="2"/>
        <v>307.13</v>
      </c>
      <c r="E23" s="26">
        <f t="shared" si="2"/>
        <v>264.73</v>
      </c>
      <c r="F23" s="26">
        <f t="shared" si="2"/>
        <v>307.13</v>
      </c>
      <c r="G23" s="26">
        <f t="shared" si="2"/>
        <v>307.13</v>
      </c>
      <c r="H23" s="26">
        <f t="shared" si="2"/>
        <v>307.13</v>
      </c>
      <c r="I23" s="26">
        <f>ROUND(I$20,2)</f>
        <v>264.73</v>
      </c>
      <c r="J23" s="26">
        <f>ROUND(J$20,2)</f>
        <v>337.36</v>
      </c>
    </row>
    <row r="24" spans="1:10" ht="19.5" customHeight="1">
      <c r="A24" s="56" t="s">
        <v>27</v>
      </c>
      <c r="B24" s="26">
        <f>ROUND(B$20*0.2,2)</f>
        <v>62.01</v>
      </c>
      <c r="C24" s="26">
        <f aca="true" t="shared" si="3" ref="C24:H24">ROUND(C$20*0.2,2)</f>
        <v>52.95</v>
      </c>
      <c r="D24" s="26">
        <f t="shared" si="3"/>
        <v>61.43</v>
      </c>
      <c r="E24" s="26">
        <f t="shared" si="3"/>
        <v>52.95</v>
      </c>
      <c r="F24" s="26">
        <f t="shared" si="3"/>
        <v>61.43</v>
      </c>
      <c r="G24" s="26">
        <f t="shared" si="3"/>
        <v>61.43</v>
      </c>
      <c r="H24" s="26">
        <f t="shared" si="3"/>
        <v>61.43</v>
      </c>
      <c r="I24" s="26">
        <f>ROUND(I$20*0.2,2)</f>
        <v>52.95</v>
      </c>
      <c r="J24" s="26">
        <f>ROUND(J$20*0.2,2)</f>
        <v>67.47</v>
      </c>
    </row>
    <row r="25" spans="1:10" ht="19.5" customHeight="1">
      <c r="A25" s="56" t="s">
        <v>28</v>
      </c>
      <c r="B25" s="27">
        <f>ROUND(B$18*(1+$B$4-3%)/(1+$B$4)-B19,1)</f>
        <v>149808.8</v>
      </c>
      <c r="C25" s="27">
        <f aca="true" t="shared" si="4" ref="C25:J25">ROUND(C$18*(1+$B$4-3%)/(1+$B$4)-C19,1)</f>
        <v>65935.3</v>
      </c>
      <c r="D25" s="27">
        <f t="shared" si="4"/>
        <v>36276.5</v>
      </c>
      <c r="E25" s="27">
        <f t="shared" si="4"/>
        <v>15641.3</v>
      </c>
      <c r="F25" s="27">
        <f t="shared" si="4"/>
        <v>11878.5</v>
      </c>
      <c r="G25" s="27">
        <f t="shared" si="4"/>
        <v>6109.2</v>
      </c>
      <c r="H25" s="27">
        <f t="shared" si="4"/>
        <v>2985.5</v>
      </c>
      <c r="I25" s="27">
        <f t="shared" si="4"/>
        <v>8119.7</v>
      </c>
      <c r="J25" s="27">
        <f t="shared" si="4"/>
        <v>15242.9</v>
      </c>
    </row>
    <row r="26" spans="1:10" ht="19.5" customHeight="1">
      <c r="A26" s="56" t="s">
        <v>29</v>
      </c>
      <c r="B26" s="27">
        <f>ROUND(B$18*(1+$B$4+1%)/(1+$B$4)-B19,1)</f>
        <v>155130.7</v>
      </c>
      <c r="C26" s="27">
        <f aca="true" t="shared" si="5" ref="C26:J26">ROUND(C$18*(1+$B$4+1%)/(1+$B$4)-C19,1)</f>
        <v>68277.6</v>
      </c>
      <c r="D26" s="27">
        <f t="shared" si="5"/>
        <v>37565.2</v>
      </c>
      <c r="E26" s="27">
        <f t="shared" si="5"/>
        <v>16196.9</v>
      </c>
      <c r="F26" s="27">
        <f t="shared" si="5"/>
        <v>12300.5</v>
      </c>
      <c r="G26" s="27">
        <f t="shared" si="5"/>
        <v>6326.3</v>
      </c>
      <c r="H26" s="27">
        <f t="shared" si="5"/>
        <v>3091.5</v>
      </c>
      <c r="I26" s="27">
        <f t="shared" si="5"/>
        <v>8408.1</v>
      </c>
      <c r="J26" s="27">
        <f t="shared" si="5"/>
        <v>15784.4</v>
      </c>
    </row>
    <row r="27" spans="1:10" ht="19.5" customHeight="1">
      <c r="A27" s="56" t="s">
        <v>30</v>
      </c>
      <c r="B27" s="27">
        <f>ROUND(B$18*(1+$B$4+5%)/(1+$B$4)-B19,1)</f>
        <v>160452.5</v>
      </c>
      <c r="C27" s="27">
        <f aca="true" t="shared" si="6" ref="C27:J27">ROUND(C$18*(1+$B$4+5%)/(1+$B$4)-C19,1)</f>
        <v>70619.9</v>
      </c>
      <c r="D27" s="27">
        <f t="shared" si="6"/>
        <v>38853.9</v>
      </c>
      <c r="E27" s="27">
        <f t="shared" si="6"/>
        <v>16752.6</v>
      </c>
      <c r="F27" s="27">
        <f t="shared" si="6"/>
        <v>12722.5</v>
      </c>
      <c r="G27" s="27">
        <f t="shared" si="6"/>
        <v>6543.3</v>
      </c>
      <c r="H27" s="27">
        <f t="shared" si="6"/>
        <v>3197.6</v>
      </c>
      <c r="I27" s="27">
        <f t="shared" si="6"/>
        <v>8696.6</v>
      </c>
      <c r="J27" s="27">
        <f t="shared" si="6"/>
        <v>16325.9</v>
      </c>
    </row>
    <row r="28" spans="1:10" ht="19.5" customHeight="1">
      <c r="A28" s="56" t="s">
        <v>59</v>
      </c>
      <c r="B28" s="52" t="s">
        <v>24</v>
      </c>
      <c r="C28" s="28">
        <v>159</v>
      </c>
      <c r="D28" s="28" t="s">
        <v>24</v>
      </c>
      <c r="E28" s="25" t="s">
        <v>24</v>
      </c>
      <c r="F28" s="25" t="s">
        <v>24</v>
      </c>
      <c r="G28" s="25" t="s">
        <v>24</v>
      </c>
      <c r="H28" s="25" t="s">
        <v>24</v>
      </c>
      <c r="I28" s="25" t="s">
        <v>24</v>
      </c>
      <c r="J28" s="25" t="s">
        <v>24</v>
      </c>
    </row>
    <row r="29" spans="1:10" ht="19.5" customHeight="1">
      <c r="A29" s="56" t="s">
        <v>67</v>
      </c>
      <c r="B29" s="158">
        <f>'Updated Min Res Req''ments'!B17</f>
        <v>146633.3</v>
      </c>
      <c r="C29" s="158">
        <f>'Updated Min Res Req''ments'!C17</f>
        <v>57914.8</v>
      </c>
      <c r="D29" s="158">
        <f>'Updated Min Res Req''ments'!D17</f>
        <v>26055</v>
      </c>
      <c r="E29" s="158">
        <f>'Updated Min Res Req''ments'!E17</f>
        <v>6722</v>
      </c>
      <c r="F29" s="158">
        <f>'Updated Min Res Req''ments'!F17</f>
        <v>5264.2</v>
      </c>
      <c r="G29" s="158">
        <f>'Updated Min Res Req''ments'!G17</f>
        <v>2955.3</v>
      </c>
      <c r="H29" s="158">
        <f>'Updated Min Res Req''ments'!H17</f>
        <v>1100.3</v>
      </c>
      <c r="I29" s="158">
        <f>'Updated Min Res Req''ments'!I17</f>
        <v>1382.4</v>
      </c>
      <c r="J29" s="158">
        <f>'Updated Min Res Req''ments'!J17</f>
        <v>9556.8</v>
      </c>
    </row>
    <row r="30" spans="1:10" ht="19.5" customHeight="1">
      <c r="A30" s="56" t="s">
        <v>68</v>
      </c>
      <c r="B30" s="158">
        <f>'Updated Min Res Req''ments'!B18</f>
        <v>140343.9</v>
      </c>
      <c r="C30" s="158">
        <f>'Updated Min Res Req''ments'!C18</f>
        <v>54115.4</v>
      </c>
      <c r="D30" s="158">
        <f>'Updated Min Res Req''ments'!D18</f>
        <v>21935.6</v>
      </c>
      <c r="E30" s="158">
        <f>'Updated Min Res Req''ments'!E18</f>
        <v>5786.5</v>
      </c>
      <c r="F30" s="158">
        <f>'Updated Min Res Req''ments'!F18</f>
        <v>3863.2</v>
      </c>
      <c r="G30" s="158">
        <f>'Updated Min Res Req''ments'!G18</f>
        <v>2295.8</v>
      </c>
      <c r="H30" s="158">
        <f>'Updated Min Res Req''ments'!H18</f>
        <v>955.3</v>
      </c>
      <c r="I30" s="158">
        <f>'Updated Min Res Req''ments'!I18</f>
        <v>406.3</v>
      </c>
      <c r="J30" s="158">
        <f>'Updated Min Res Req''ments'!J18</f>
        <v>8895.6</v>
      </c>
    </row>
    <row r="31" spans="1:10" ht="19.5" customHeight="1">
      <c r="A31" s="60" t="s">
        <v>78</v>
      </c>
      <c r="B31" s="19"/>
      <c r="C31" s="19"/>
      <c r="D31" s="19"/>
      <c r="E31" s="19"/>
      <c r="F31" s="19"/>
      <c r="G31" s="19"/>
      <c r="H31" s="19"/>
      <c r="I31" s="19"/>
      <c r="J31" s="19"/>
    </row>
    <row r="32" spans="1:10" ht="19.5" customHeight="1">
      <c r="A32" s="56" t="s">
        <v>79</v>
      </c>
      <c r="B32" s="52" t="s">
        <v>24</v>
      </c>
      <c r="C32" s="52" t="s">
        <v>24</v>
      </c>
      <c r="D32" s="52" t="s">
        <v>24</v>
      </c>
      <c r="E32" s="52" t="s">
        <v>24</v>
      </c>
      <c r="F32" s="52" t="s">
        <v>24</v>
      </c>
      <c r="G32" s="52" t="s">
        <v>24</v>
      </c>
      <c r="H32" s="52" t="s">
        <v>24</v>
      </c>
      <c r="I32" s="52" t="s">
        <v>24</v>
      </c>
      <c r="J32" s="52" t="s">
        <v>24</v>
      </c>
    </row>
    <row r="33" spans="1:10" ht="19.5" customHeight="1">
      <c r="A33" s="186" t="s">
        <v>80</v>
      </c>
      <c r="B33" s="20">
        <f>'Updated Min Res Req''ments'!B20</f>
        <v>0.9534010051810263</v>
      </c>
      <c r="C33" s="52" t="s">
        <v>24</v>
      </c>
      <c r="D33" s="52" t="s">
        <v>24</v>
      </c>
      <c r="E33" s="52" t="s">
        <v>24</v>
      </c>
      <c r="F33" s="52" t="s">
        <v>24</v>
      </c>
      <c r="G33" s="52" t="s">
        <v>24</v>
      </c>
      <c r="H33" s="52" t="s">
        <v>24</v>
      </c>
      <c r="I33" s="52" t="s">
        <v>24</v>
      </c>
      <c r="J33" s="52" t="s">
        <v>24</v>
      </c>
    </row>
    <row r="34" spans="1:10" ht="19.5" customHeight="1">
      <c r="A34" s="91" t="s">
        <v>81</v>
      </c>
      <c r="B34" s="20">
        <f>'Updated Min Res Req''ments'!B21</f>
        <v>0.9125080097276415</v>
      </c>
      <c r="C34" s="52" t="s">
        <v>24</v>
      </c>
      <c r="D34" s="52" t="s">
        <v>24</v>
      </c>
      <c r="E34" s="52" t="s">
        <v>24</v>
      </c>
      <c r="F34" s="52" t="s">
        <v>24</v>
      </c>
      <c r="G34" s="52" t="s">
        <v>24</v>
      </c>
      <c r="H34" s="52" t="s">
        <v>24</v>
      </c>
      <c r="I34" s="52" t="s">
        <v>24</v>
      </c>
      <c r="J34" s="52" t="s">
        <v>24</v>
      </c>
    </row>
  </sheetData>
  <sheetProtection/>
  <mergeCells count="10">
    <mergeCell ref="C8:J8"/>
    <mergeCell ref="C9:J9"/>
    <mergeCell ref="A10:J10"/>
    <mergeCell ref="C11:J11"/>
    <mergeCell ref="A1:J1"/>
    <mergeCell ref="C3:J3"/>
    <mergeCell ref="C4:J4"/>
    <mergeCell ref="C5:J5"/>
    <mergeCell ref="C6:J6"/>
    <mergeCell ref="C7:J7"/>
  </mergeCells>
  <printOptions/>
  <pageMargins left="0.7" right="0.7" top="0.75" bottom="0.75" header="0.3" footer="0.3"/>
  <pageSetup fitToHeight="1" fitToWidth="1" horizontalDpi="600" verticalDpi="600" orientation="landscape" scale="61" r:id="rId1"/>
</worksheet>
</file>

<file path=xl/worksheets/sheet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J1"/>
    </sheetView>
  </sheetViews>
  <sheetFormatPr defaultColWidth="9.140625" defaultRowHeight="12.75"/>
  <cols>
    <col min="1" max="1" width="48.7109375" style="0" customWidth="1"/>
    <col min="2" max="2" width="19.28125" style="0" customWidth="1"/>
    <col min="3" max="10" width="16.7109375" style="0" customWidth="1"/>
  </cols>
  <sheetData>
    <row r="1" spans="1:10" ht="18" thickBot="1">
      <c r="A1" s="271" t="s">
        <v>202</v>
      </c>
      <c r="B1" s="272"/>
      <c r="C1" s="272"/>
      <c r="D1" s="272"/>
      <c r="E1" s="272"/>
      <c r="F1" s="272"/>
      <c r="G1" s="272"/>
      <c r="H1" s="272"/>
      <c r="I1" s="272"/>
      <c r="J1" s="273"/>
    </row>
    <row r="2" spans="1:9" ht="17.25">
      <c r="A2" s="103" t="s">
        <v>12</v>
      </c>
      <c r="B2" s="40"/>
      <c r="C2" s="40"/>
      <c r="D2" s="40"/>
      <c r="E2" s="41"/>
      <c r="F2" s="41"/>
      <c r="G2" s="42"/>
      <c r="H2" s="39"/>
      <c r="I2" s="39"/>
    </row>
    <row r="3" spans="1:10" ht="17.25">
      <c r="A3" s="43"/>
      <c r="B3" s="44" t="s">
        <v>13</v>
      </c>
      <c r="C3" s="274" t="s">
        <v>44</v>
      </c>
      <c r="D3" s="274"/>
      <c r="E3" s="274"/>
      <c r="F3" s="274"/>
      <c r="G3" s="274"/>
      <c r="H3" s="274"/>
      <c r="I3" s="274"/>
      <c r="J3" s="274"/>
    </row>
    <row r="4" spans="1:10" ht="15">
      <c r="A4" s="45" t="s">
        <v>36</v>
      </c>
      <c r="B4" s="46">
        <v>0.157</v>
      </c>
      <c r="C4" s="275" t="s">
        <v>204</v>
      </c>
      <c r="D4" s="275"/>
      <c r="E4" s="275"/>
      <c r="F4" s="275"/>
      <c r="G4" s="275"/>
      <c r="H4" s="275"/>
      <c r="I4" s="275"/>
      <c r="J4" s="275"/>
    </row>
    <row r="5" spans="1:10" ht="15">
      <c r="A5" s="45" t="s">
        <v>37</v>
      </c>
      <c r="B5" s="47">
        <v>0.0562</v>
      </c>
      <c r="C5" s="276" t="s">
        <v>161</v>
      </c>
      <c r="D5" s="276"/>
      <c r="E5" s="276"/>
      <c r="F5" s="276"/>
      <c r="G5" s="276"/>
      <c r="H5" s="276"/>
      <c r="I5" s="276"/>
      <c r="J5" s="276"/>
    </row>
    <row r="6" spans="1:10" ht="15">
      <c r="A6" s="45" t="s">
        <v>38</v>
      </c>
      <c r="B6" s="48">
        <v>1.092</v>
      </c>
      <c r="C6" s="275" t="s">
        <v>12</v>
      </c>
      <c r="D6" s="275"/>
      <c r="E6" s="275"/>
      <c r="F6" s="275"/>
      <c r="G6" s="275"/>
      <c r="H6" s="275"/>
      <c r="I6" s="275"/>
      <c r="J6" s="275"/>
    </row>
    <row r="7" spans="1:10" ht="15">
      <c r="A7" s="45" t="s">
        <v>45</v>
      </c>
      <c r="B7" s="49">
        <v>0.954</v>
      </c>
      <c r="C7" s="266" t="s">
        <v>12</v>
      </c>
      <c r="D7" s="266"/>
      <c r="E7" s="266"/>
      <c r="F7" s="266"/>
      <c r="G7" s="266"/>
      <c r="H7" s="266"/>
      <c r="I7" s="266"/>
      <c r="J7" s="266"/>
    </row>
    <row r="8" spans="1:10" ht="15">
      <c r="A8" s="45" t="s">
        <v>162</v>
      </c>
      <c r="B8" s="10">
        <v>160538.2</v>
      </c>
      <c r="C8" s="266" t="s">
        <v>12</v>
      </c>
      <c r="D8" s="266"/>
      <c r="E8" s="266"/>
      <c r="F8" s="266"/>
      <c r="G8" s="266"/>
      <c r="H8" s="266"/>
      <c r="I8" s="266"/>
      <c r="J8" s="266"/>
    </row>
    <row r="9" spans="1:10" ht="15">
      <c r="A9" s="45" t="s">
        <v>48</v>
      </c>
      <c r="B9" s="50" t="s">
        <v>203</v>
      </c>
      <c r="C9" s="266" t="s">
        <v>12</v>
      </c>
      <c r="D9" s="266"/>
      <c r="E9" s="266"/>
      <c r="F9" s="266"/>
      <c r="G9" s="266"/>
      <c r="H9" s="266"/>
      <c r="I9" s="266"/>
      <c r="J9" s="266"/>
    </row>
    <row r="10" spans="1:10" ht="15">
      <c r="A10" s="267"/>
      <c r="B10" s="268"/>
      <c r="C10" s="268"/>
      <c r="D10" s="268"/>
      <c r="E10" s="268"/>
      <c r="F10" s="268"/>
      <c r="G10" s="268"/>
      <c r="H10" s="268"/>
      <c r="I10" s="268"/>
      <c r="J10" s="269"/>
    </row>
    <row r="11" spans="1:10" ht="19.5" customHeight="1">
      <c r="A11" s="45"/>
      <c r="B11" s="74" t="s">
        <v>12</v>
      </c>
      <c r="C11" s="270" t="s">
        <v>62</v>
      </c>
      <c r="D11" s="270"/>
      <c r="E11" s="270"/>
      <c r="F11" s="270"/>
      <c r="G11" s="270"/>
      <c r="H11" s="270"/>
      <c r="I11" s="270"/>
      <c r="J11" s="270"/>
    </row>
    <row r="12" spans="1:10" ht="19.5" customHeight="1">
      <c r="A12" s="72" t="s">
        <v>12</v>
      </c>
      <c r="B12" s="55" t="s">
        <v>13</v>
      </c>
      <c r="C12" s="55" t="s">
        <v>17</v>
      </c>
      <c r="D12" s="55" t="s">
        <v>16</v>
      </c>
      <c r="E12" s="55" t="s">
        <v>14</v>
      </c>
      <c r="F12" s="55" t="s">
        <v>8</v>
      </c>
      <c r="G12" s="55" t="s">
        <v>49</v>
      </c>
      <c r="H12" s="55" t="s">
        <v>50</v>
      </c>
      <c r="I12" s="55" t="s">
        <v>7</v>
      </c>
      <c r="J12" s="51" t="s">
        <v>61</v>
      </c>
    </row>
    <row r="13" spans="1:10" ht="19.5" customHeight="1">
      <c r="A13" s="56" t="s">
        <v>9</v>
      </c>
      <c r="B13" s="27" t="s">
        <v>24</v>
      </c>
      <c r="C13" s="27">
        <v>2080</v>
      </c>
      <c r="D13" s="29">
        <v>5740</v>
      </c>
      <c r="E13" s="29">
        <v>4720</v>
      </c>
      <c r="F13" s="29">
        <v>6030</v>
      </c>
      <c r="G13" s="29">
        <v>2780</v>
      </c>
      <c r="H13" s="29">
        <v>1400</v>
      </c>
      <c r="I13" s="29">
        <v>3020</v>
      </c>
      <c r="J13" s="29">
        <v>3980</v>
      </c>
    </row>
    <row r="14" spans="1:10" ht="19.5" customHeight="1">
      <c r="A14" s="56" t="s">
        <v>11</v>
      </c>
      <c r="B14" s="27" t="s">
        <v>24</v>
      </c>
      <c r="C14" s="27">
        <f>'1st IA Parameters'!C14</f>
        <v>6156</v>
      </c>
      <c r="D14" s="27">
        <f>'1st IA Parameters'!D14</f>
        <v>9177</v>
      </c>
      <c r="E14" s="27">
        <f>'1st IA Parameters'!E14</f>
        <v>8373</v>
      </c>
      <c r="F14" s="27">
        <f>'1st IA Parameters'!F14</f>
        <v>6220</v>
      </c>
      <c r="G14" s="27">
        <f>'1st IA Parameters'!G14</f>
        <v>2972</v>
      </c>
      <c r="H14" s="27">
        <f>'1st IA Parameters'!H14</f>
        <v>1822</v>
      </c>
      <c r="I14" s="27">
        <f>'1st IA Parameters'!I14</f>
        <v>6522</v>
      </c>
      <c r="J14" s="27">
        <f>'1st IA Parameters'!J14</f>
        <v>5417.8</v>
      </c>
    </row>
    <row r="15" spans="1:10" ht="19.5" customHeight="1">
      <c r="A15" s="57" t="s">
        <v>10</v>
      </c>
      <c r="B15" s="27">
        <f>ROUND((B8*B6),1)</f>
        <v>175307.7</v>
      </c>
      <c r="C15" s="27">
        <v>69479</v>
      </c>
      <c r="D15" s="157">
        <v>38274</v>
      </c>
      <c r="E15" s="157">
        <v>16618</v>
      </c>
      <c r="F15" s="157">
        <v>12526</v>
      </c>
      <c r="G15" s="157">
        <v>6357</v>
      </c>
      <c r="H15" s="157">
        <v>3145</v>
      </c>
      <c r="I15" s="157">
        <v>8681</v>
      </c>
      <c r="J15" s="157">
        <v>15785</v>
      </c>
    </row>
    <row r="16" spans="1:10" ht="19.5" customHeight="1">
      <c r="A16" s="56" t="s">
        <v>52</v>
      </c>
      <c r="B16" s="29">
        <v>14964.1</v>
      </c>
      <c r="C16" s="30">
        <v>0</v>
      </c>
      <c r="D16" s="30">
        <v>0</v>
      </c>
      <c r="E16" s="30">
        <v>0</v>
      </c>
      <c r="F16" s="30">
        <v>0</v>
      </c>
      <c r="G16" s="30">
        <v>0</v>
      </c>
      <c r="H16" s="30">
        <v>0</v>
      </c>
      <c r="I16" s="30">
        <v>0</v>
      </c>
      <c r="J16" s="30">
        <v>0</v>
      </c>
    </row>
    <row r="17" spans="1:10" ht="19.5" customHeight="1">
      <c r="A17" s="56" t="s">
        <v>51</v>
      </c>
      <c r="B17" s="29">
        <f>ROUND(B16*$B$6,1)</f>
        <v>16340.8</v>
      </c>
      <c r="C17" s="31">
        <v>0</v>
      </c>
      <c r="D17" s="31">
        <v>0</v>
      </c>
      <c r="E17" s="31">
        <v>0</v>
      </c>
      <c r="F17" s="31">
        <v>0</v>
      </c>
      <c r="G17" s="31">
        <v>0</v>
      </c>
      <c r="H17" s="31">
        <v>0</v>
      </c>
      <c r="I17" s="31">
        <v>0</v>
      </c>
      <c r="J17" s="31">
        <v>0</v>
      </c>
    </row>
    <row r="18" spans="1:10" ht="19.5" customHeight="1">
      <c r="A18" s="58" t="s">
        <v>53</v>
      </c>
      <c r="B18" s="32">
        <f>B15-B17</f>
        <v>158966.90000000002</v>
      </c>
      <c r="C18" s="32">
        <f aca="true" t="shared" si="0" ref="C18:I18">C15-C17</f>
        <v>69479</v>
      </c>
      <c r="D18" s="32">
        <f t="shared" si="0"/>
        <v>38274</v>
      </c>
      <c r="E18" s="32">
        <f t="shared" si="0"/>
        <v>16618</v>
      </c>
      <c r="F18" s="32">
        <f t="shared" si="0"/>
        <v>12526</v>
      </c>
      <c r="G18" s="32">
        <f t="shared" si="0"/>
        <v>6357</v>
      </c>
      <c r="H18" s="32">
        <f t="shared" si="0"/>
        <v>3145</v>
      </c>
      <c r="I18" s="32">
        <f t="shared" si="0"/>
        <v>8681</v>
      </c>
      <c r="J18" s="32">
        <f>J15-J17</f>
        <v>15785</v>
      </c>
    </row>
    <row r="19" spans="1:10" ht="19.5" customHeight="1">
      <c r="A19" s="57" t="s">
        <v>48</v>
      </c>
      <c r="B19" s="27">
        <f>'BRA Parameters'!B19*0.6</f>
        <v>2441.64</v>
      </c>
      <c r="C19" s="27">
        <f>'BRA Parameters'!C19*0.6</f>
        <v>995.3328864603213</v>
      </c>
      <c r="D19" s="27">
        <f>'BRA Parameters'!D19*0.6</f>
        <v>542.1092367023813</v>
      </c>
      <c r="E19" s="27">
        <f>'BRA Parameters'!E19*0.6</f>
        <v>230.49659901975235</v>
      </c>
      <c r="F19" s="27">
        <f>'BRA Parameters'!F19*0.6</f>
        <v>173.04754914747008</v>
      </c>
      <c r="G19" s="27">
        <f>'BRA Parameters'!G19*0.6</f>
        <v>82.97616950932249</v>
      </c>
      <c r="H19" s="27">
        <f>'BRA Parameters'!H19*0.6</f>
        <v>39.38037081832062</v>
      </c>
      <c r="I19" s="27">
        <f>'BRA Parameters'!I19*0.6</f>
        <v>111.62413914793038</v>
      </c>
      <c r="J19" s="27">
        <f>'BRA Parameters'!J19*0.6</f>
        <v>216.32572479551487</v>
      </c>
    </row>
    <row r="20" spans="1:10" ht="19.5" customHeight="1">
      <c r="A20" s="59" t="s">
        <v>54</v>
      </c>
      <c r="B20" s="33">
        <f>'1st IA Parameters'!B20*(1-'1st IA Parameters'!$B$5)/(1-'2nd IA Parameters'!$B$5)</f>
        <v>310.11417991099813</v>
      </c>
      <c r="C20" s="33">
        <f>'1st IA Parameters'!C20*(1-'1st IA Parameters'!$B$5)/(1-'2nd IA Parameters'!$B$5)</f>
        <v>264.7838948929858</v>
      </c>
      <c r="D20" s="33">
        <f>'1st IA Parameters'!D20*(1-'1st IA Parameters'!$B$5)/(1-'2nd IA Parameters'!$B$5)</f>
        <v>307.1931828777283</v>
      </c>
      <c r="E20" s="33">
        <f>'1st IA Parameters'!E20*(1-'1st IA Parameters'!$B$5)/(1-'2nd IA Parameters'!$B$5)</f>
        <v>264.7838948929858</v>
      </c>
      <c r="F20" s="33">
        <f>'1st IA Parameters'!F20*(1-'1st IA Parameters'!$B$5)/(1-'2nd IA Parameters'!$B$5)</f>
        <v>307.1931828777283</v>
      </c>
      <c r="G20" s="33">
        <f>'1st IA Parameters'!G20*(1-'1st IA Parameters'!$B$5)/(1-'2nd IA Parameters'!$B$5)</f>
        <v>307.1931828777283</v>
      </c>
      <c r="H20" s="33">
        <f>'1st IA Parameters'!H20*(1-'1st IA Parameters'!$B$5)/(1-'2nd IA Parameters'!$B$5)</f>
        <v>307.1931828777283</v>
      </c>
      <c r="I20" s="33">
        <f>'1st IA Parameters'!I20*(1-'1st IA Parameters'!$B$5)/(1-'2nd IA Parameters'!$B$5)</f>
        <v>264.7838948929858</v>
      </c>
      <c r="J20" s="33">
        <f>'1st IA Parameters'!J20*(1-'1st IA Parameters'!$B$5)/(1-'2nd IA Parameters'!$B$5)</f>
        <v>337.4299883449884</v>
      </c>
    </row>
    <row r="21" spans="1:10" ht="19.5" customHeight="1">
      <c r="A21" s="60" t="s">
        <v>56</v>
      </c>
      <c r="B21" s="33"/>
      <c r="C21" s="33"/>
      <c r="D21" s="33"/>
      <c r="E21" s="33"/>
      <c r="F21" s="33"/>
      <c r="G21" s="33"/>
      <c r="H21" s="33"/>
      <c r="I21" s="33"/>
      <c r="J21" s="33"/>
    </row>
    <row r="22" spans="1:10" ht="19.5" customHeight="1">
      <c r="A22" s="56" t="s">
        <v>25</v>
      </c>
      <c r="B22" s="26">
        <f>ROUND(B$20*1.5,2)</f>
        <v>465.17</v>
      </c>
      <c r="C22" s="26">
        <f aca="true" t="shared" si="1" ref="C22:J22">ROUND(C$20*1.5,2)</f>
        <v>397.18</v>
      </c>
      <c r="D22" s="26">
        <f t="shared" si="1"/>
        <v>460.79</v>
      </c>
      <c r="E22" s="26">
        <f t="shared" si="1"/>
        <v>397.18</v>
      </c>
      <c r="F22" s="26">
        <f t="shared" si="1"/>
        <v>460.79</v>
      </c>
      <c r="G22" s="26">
        <f t="shared" si="1"/>
        <v>460.79</v>
      </c>
      <c r="H22" s="26">
        <f t="shared" si="1"/>
        <v>460.79</v>
      </c>
      <c r="I22" s="26">
        <f t="shared" si="1"/>
        <v>397.18</v>
      </c>
      <c r="J22" s="26">
        <f t="shared" si="1"/>
        <v>506.14</v>
      </c>
    </row>
    <row r="23" spans="1:10" ht="19.5" customHeight="1">
      <c r="A23" s="56" t="s">
        <v>26</v>
      </c>
      <c r="B23" s="26">
        <f>ROUND(B$20,2)</f>
        <v>310.11</v>
      </c>
      <c r="C23" s="26">
        <f aca="true" t="shared" si="2" ref="C23:H23">ROUND(C$20,2)</f>
        <v>264.78</v>
      </c>
      <c r="D23" s="26">
        <f t="shared" si="2"/>
        <v>307.19</v>
      </c>
      <c r="E23" s="26">
        <f t="shared" si="2"/>
        <v>264.78</v>
      </c>
      <c r="F23" s="26">
        <f t="shared" si="2"/>
        <v>307.19</v>
      </c>
      <c r="G23" s="26">
        <f t="shared" si="2"/>
        <v>307.19</v>
      </c>
      <c r="H23" s="26">
        <f t="shared" si="2"/>
        <v>307.19</v>
      </c>
      <c r="I23" s="26">
        <f>ROUND(I$20,2)</f>
        <v>264.78</v>
      </c>
      <c r="J23" s="26">
        <f>ROUND(J$20,2)</f>
        <v>337.43</v>
      </c>
    </row>
    <row r="24" spans="1:10" ht="19.5" customHeight="1">
      <c r="A24" s="56" t="s">
        <v>27</v>
      </c>
      <c r="B24" s="26">
        <f>ROUND(B$20*0.2,2)</f>
        <v>62.02</v>
      </c>
      <c r="C24" s="26">
        <f aca="true" t="shared" si="3" ref="C24:H24">ROUND(C$20*0.2,2)</f>
        <v>52.96</v>
      </c>
      <c r="D24" s="26">
        <f t="shared" si="3"/>
        <v>61.44</v>
      </c>
      <c r="E24" s="26">
        <f t="shared" si="3"/>
        <v>52.96</v>
      </c>
      <c r="F24" s="26">
        <f t="shared" si="3"/>
        <v>61.44</v>
      </c>
      <c r="G24" s="26">
        <f t="shared" si="3"/>
        <v>61.44</v>
      </c>
      <c r="H24" s="26">
        <f t="shared" si="3"/>
        <v>61.44</v>
      </c>
      <c r="I24" s="26">
        <f>ROUND(I$20*0.2,2)</f>
        <v>52.96</v>
      </c>
      <c r="J24" s="26">
        <f>ROUND(J$20*0.2,2)</f>
        <v>67.49</v>
      </c>
    </row>
    <row r="25" spans="1:10" ht="19.5" customHeight="1">
      <c r="A25" s="56" t="s">
        <v>28</v>
      </c>
      <c r="B25" s="27">
        <f>ROUND(B$18*(1+$B$4-3%)/(1+$B$4)-B19,1)</f>
        <v>152403.4</v>
      </c>
      <c r="C25" s="27">
        <f aca="true" t="shared" si="4" ref="C25:J25">ROUND(C$18*(1+$B$4-3%)/(1+$B$4)-C19,1)</f>
        <v>66682.1</v>
      </c>
      <c r="D25" s="27">
        <f t="shared" si="4"/>
        <v>36739.5</v>
      </c>
      <c r="E25" s="27">
        <f t="shared" si="4"/>
        <v>15956.6</v>
      </c>
      <c r="F25" s="27">
        <f t="shared" si="4"/>
        <v>12028.2</v>
      </c>
      <c r="G25" s="27">
        <f t="shared" si="4"/>
        <v>6109.2</v>
      </c>
      <c r="H25" s="27">
        <f t="shared" si="4"/>
        <v>3024.1</v>
      </c>
      <c r="I25" s="27">
        <f t="shared" si="4"/>
        <v>8344.3</v>
      </c>
      <c r="J25" s="27">
        <f t="shared" si="4"/>
        <v>15159.4</v>
      </c>
    </row>
    <row r="26" spans="1:10" ht="19.5" customHeight="1">
      <c r="A26" s="56" t="s">
        <v>29</v>
      </c>
      <c r="B26" s="27">
        <f>ROUND(B$18*(1+$B$4+1%)/(1+$B$4)-B19,1)</f>
        <v>157899.2</v>
      </c>
      <c r="C26" s="27">
        <f aca="true" t="shared" si="5" ref="C26:J26">ROUND(C$18*(1+$B$4+1%)/(1+$B$4)-C19,1)</f>
        <v>69084.2</v>
      </c>
      <c r="D26" s="27">
        <f t="shared" si="5"/>
        <v>38062.7</v>
      </c>
      <c r="E26" s="27">
        <f t="shared" si="5"/>
        <v>16531.1</v>
      </c>
      <c r="F26" s="27">
        <f t="shared" si="5"/>
        <v>12461.2</v>
      </c>
      <c r="G26" s="27">
        <f t="shared" si="5"/>
        <v>6329</v>
      </c>
      <c r="H26" s="27">
        <f t="shared" si="5"/>
        <v>3132.8</v>
      </c>
      <c r="I26" s="27">
        <f t="shared" si="5"/>
        <v>8644.4</v>
      </c>
      <c r="J26" s="27">
        <f t="shared" si="5"/>
        <v>15705.1</v>
      </c>
    </row>
    <row r="27" spans="1:10" ht="19.5" customHeight="1">
      <c r="A27" s="56" t="s">
        <v>30</v>
      </c>
      <c r="B27" s="27">
        <f>ROUND(B$18*(1+$B$4+5%)/(1+$B$4)-B19,1)</f>
        <v>163395</v>
      </c>
      <c r="C27" s="27">
        <f aca="true" t="shared" si="6" ref="C27:J27">ROUND(C$18*(1+$B$4+5%)/(1+$B$4)-C19,1)</f>
        <v>71486.2</v>
      </c>
      <c r="D27" s="27">
        <f t="shared" si="6"/>
        <v>39385.9</v>
      </c>
      <c r="E27" s="27">
        <f t="shared" si="6"/>
        <v>17105.7</v>
      </c>
      <c r="F27" s="27">
        <f t="shared" si="6"/>
        <v>12894.3</v>
      </c>
      <c r="G27" s="27">
        <f t="shared" si="6"/>
        <v>6548.7</v>
      </c>
      <c r="H27" s="27">
        <f t="shared" si="6"/>
        <v>3241.5</v>
      </c>
      <c r="I27" s="27">
        <f t="shared" si="6"/>
        <v>8944.5</v>
      </c>
      <c r="J27" s="27">
        <f t="shared" si="6"/>
        <v>16250.8</v>
      </c>
    </row>
    <row r="28" spans="1:10" ht="19.5" customHeight="1">
      <c r="A28" s="56" t="s">
        <v>59</v>
      </c>
      <c r="B28" s="52" t="s">
        <v>24</v>
      </c>
      <c r="C28" s="28">
        <v>159</v>
      </c>
      <c r="D28" s="28" t="s">
        <v>24</v>
      </c>
      <c r="E28" s="25" t="s">
        <v>24</v>
      </c>
      <c r="F28" s="25" t="s">
        <v>24</v>
      </c>
      <c r="G28" s="25" t="s">
        <v>24</v>
      </c>
      <c r="H28" s="25" t="s">
        <v>24</v>
      </c>
      <c r="I28" s="25" t="s">
        <v>24</v>
      </c>
      <c r="J28" s="25" t="s">
        <v>24</v>
      </c>
    </row>
    <row r="29" spans="1:11" ht="19.5" customHeight="1">
      <c r="A29" s="56" t="s">
        <v>67</v>
      </c>
      <c r="B29" s="158">
        <f>'Updated Min Res Req''ments'!B17</f>
        <v>146633.3</v>
      </c>
      <c r="C29" s="158">
        <f>'Updated Min Res Req''ments'!C17</f>
        <v>57914.8</v>
      </c>
      <c r="D29" s="158">
        <f>'Updated Min Res Req''ments'!D17</f>
        <v>26055</v>
      </c>
      <c r="E29" s="158">
        <f>'Updated Min Res Req''ments'!E17</f>
        <v>6722</v>
      </c>
      <c r="F29" s="158">
        <f>'Updated Min Res Req''ments'!F17</f>
        <v>5264.2</v>
      </c>
      <c r="G29" s="158">
        <f>'Updated Min Res Req''ments'!G17</f>
        <v>2955.3</v>
      </c>
      <c r="H29" s="158">
        <f>'Updated Min Res Req''ments'!H17</f>
        <v>1100.3</v>
      </c>
      <c r="I29" s="158">
        <f>'Updated Min Res Req''ments'!I17</f>
        <v>1382.4</v>
      </c>
      <c r="J29" s="158">
        <f>'Updated Min Res Req''ments'!J17</f>
        <v>9556.8</v>
      </c>
      <c r="K29" s="107" t="s">
        <v>12</v>
      </c>
    </row>
    <row r="30" spans="1:11" ht="19.5" customHeight="1">
      <c r="A30" s="56" t="s">
        <v>68</v>
      </c>
      <c r="B30" s="158">
        <f>'Updated Min Res Req''ments'!B18</f>
        <v>140343.9</v>
      </c>
      <c r="C30" s="158">
        <f>'Updated Min Res Req''ments'!C18</f>
        <v>54115.4</v>
      </c>
      <c r="D30" s="158">
        <f>'Updated Min Res Req''ments'!D18</f>
        <v>21935.6</v>
      </c>
      <c r="E30" s="158">
        <f>'Updated Min Res Req''ments'!E18</f>
        <v>5786.5</v>
      </c>
      <c r="F30" s="158">
        <f>'Updated Min Res Req''ments'!F18</f>
        <v>3863.2</v>
      </c>
      <c r="G30" s="158">
        <f>'Updated Min Res Req''ments'!G18</f>
        <v>2295.8</v>
      </c>
      <c r="H30" s="158">
        <f>'Updated Min Res Req''ments'!H18</f>
        <v>955.3</v>
      </c>
      <c r="I30" s="158">
        <f>'Updated Min Res Req''ments'!I18</f>
        <v>406.3</v>
      </c>
      <c r="J30" s="158">
        <f>'Updated Min Res Req''ments'!J18</f>
        <v>8895.6</v>
      </c>
      <c r="K30" s="107" t="s">
        <v>12</v>
      </c>
    </row>
    <row r="31" spans="1:10" ht="19.5" customHeight="1">
      <c r="A31" s="60" t="s">
        <v>78</v>
      </c>
      <c r="B31" s="19"/>
      <c r="C31" s="19"/>
      <c r="D31" s="19"/>
      <c r="E31" s="19"/>
      <c r="F31" s="19"/>
      <c r="G31" s="19"/>
      <c r="H31" s="19"/>
      <c r="I31" s="19"/>
      <c r="J31" s="19"/>
    </row>
    <row r="32" spans="1:10" ht="19.5" customHeight="1">
      <c r="A32" s="56" t="s">
        <v>79</v>
      </c>
      <c r="B32" s="52" t="s">
        <v>24</v>
      </c>
      <c r="C32" s="52" t="s">
        <v>24</v>
      </c>
      <c r="D32" s="52" t="s">
        <v>24</v>
      </c>
      <c r="E32" s="52" t="s">
        <v>24</v>
      </c>
      <c r="F32" s="52" t="s">
        <v>24</v>
      </c>
      <c r="G32" s="52" t="s">
        <v>24</v>
      </c>
      <c r="H32" s="52" t="s">
        <v>24</v>
      </c>
      <c r="I32" s="52" t="s">
        <v>24</v>
      </c>
      <c r="J32" s="52" t="s">
        <v>24</v>
      </c>
    </row>
    <row r="33" spans="1:11" ht="19.5" customHeight="1">
      <c r="A33" s="186" t="s">
        <v>80</v>
      </c>
      <c r="B33" s="20">
        <f>'Updated Min Res Req''ments'!B20</f>
        <v>0.9534010051810263</v>
      </c>
      <c r="C33" s="52" t="s">
        <v>24</v>
      </c>
      <c r="D33" s="52" t="s">
        <v>24</v>
      </c>
      <c r="E33" s="52" t="s">
        <v>24</v>
      </c>
      <c r="F33" s="52" t="s">
        <v>24</v>
      </c>
      <c r="G33" s="52" t="s">
        <v>24</v>
      </c>
      <c r="H33" s="52" t="s">
        <v>24</v>
      </c>
      <c r="I33" s="52" t="s">
        <v>24</v>
      </c>
      <c r="J33" s="52" t="s">
        <v>24</v>
      </c>
      <c r="K33" s="107" t="s">
        <v>12</v>
      </c>
    </row>
    <row r="34" spans="1:11" ht="19.5" customHeight="1">
      <c r="A34" s="91" t="s">
        <v>81</v>
      </c>
      <c r="B34" s="20">
        <f>'Updated Min Res Req''ments'!B21</f>
        <v>0.9125080097276415</v>
      </c>
      <c r="C34" s="52" t="s">
        <v>24</v>
      </c>
      <c r="D34" s="52" t="s">
        <v>24</v>
      </c>
      <c r="E34" s="52" t="s">
        <v>24</v>
      </c>
      <c r="F34" s="52" t="s">
        <v>24</v>
      </c>
      <c r="G34" s="52" t="s">
        <v>24</v>
      </c>
      <c r="H34" s="52" t="s">
        <v>24</v>
      </c>
      <c r="I34" s="52" t="s">
        <v>24</v>
      </c>
      <c r="J34" s="52" t="s">
        <v>24</v>
      </c>
      <c r="K34" s="107" t="s">
        <v>12</v>
      </c>
    </row>
  </sheetData>
  <sheetProtection/>
  <mergeCells count="10">
    <mergeCell ref="C8:J8"/>
    <mergeCell ref="C9:J9"/>
    <mergeCell ref="A10:J10"/>
    <mergeCell ref="C11:J11"/>
    <mergeCell ref="A1:J1"/>
    <mergeCell ref="C3:J3"/>
    <mergeCell ref="C4:J4"/>
    <mergeCell ref="C5:J5"/>
    <mergeCell ref="C6:J6"/>
    <mergeCell ref="C7:J7"/>
  </mergeCells>
  <printOptions/>
  <pageMargins left="0.7" right="0.7" top="0.75" bottom="0.75" header="0.3" footer="0.3"/>
  <pageSetup fitToHeight="1"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1" sqref="A1:J1"/>
    </sheetView>
  </sheetViews>
  <sheetFormatPr defaultColWidth="9.140625" defaultRowHeight="12.75"/>
  <cols>
    <col min="1" max="1" width="48.140625" style="0" customWidth="1"/>
    <col min="2" max="2" width="19.421875" style="0" customWidth="1"/>
    <col min="3" max="10" width="16.7109375" style="0" customWidth="1"/>
  </cols>
  <sheetData>
    <row r="1" spans="1:10" ht="18" thickBot="1">
      <c r="A1" s="271" t="s">
        <v>160</v>
      </c>
      <c r="B1" s="272"/>
      <c r="C1" s="272"/>
      <c r="D1" s="272"/>
      <c r="E1" s="272"/>
      <c r="F1" s="272"/>
      <c r="G1" s="272"/>
      <c r="H1" s="272"/>
      <c r="I1" s="272"/>
      <c r="J1" s="273"/>
    </row>
    <row r="2" spans="1:9" ht="17.25">
      <c r="A2" s="103" t="s">
        <v>12</v>
      </c>
      <c r="B2" s="40"/>
      <c r="C2" s="40"/>
      <c r="D2" s="40"/>
      <c r="E2" s="41"/>
      <c r="F2" s="41"/>
      <c r="G2" s="42"/>
      <c r="H2" s="39"/>
      <c r="I2" s="39"/>
    </row>
    <row r="3" spans="1:10" ht="19.5" customHeight="1">
      <c r="A3" s="43"/>
      <c r="B3" s="44" t="s">
        <v>13</v>
      </c>
      <c r="C3" s="274" t="s">
        <v>44</v>
      </c>
      <c r="D3" s="274"/>
      <c r="E3" s="274"/>
      <c r="F3" s="274"/>
      <c r="G3" s="274"/>
      <c r="H3" s="274"/>
      <c r="I3" s="274"/>
      <c r="J3" s="274"/>
    </row>
    <row r="4" spans="1:10" ht="19.5" customHeight="1">
      <c r="A4" s="45" t="s">
        <v>36</v>
      </c>
      <c r="B4" s="46">
        <v>0.153</v>
      </c>
      <c r="C4" s="275" t="s">
        <v>196</v>
      </c>
      <c r="D4" s="275"/>
      <c r="E4" s="275"/>
      <c r="F4" s="275"/>
      <c r="G4" s="275"/>
      <c r="H4" s="275"/>
      <c r="I4" s="275"/>
      <c r="J4" s="275"/>
    </row>
    <row r="5" spans="1:10" ht="19.5" customHeight="1">
      <c r="A5" s="45" t="s">
        <v>37</v>
      </c>
      <c r="B5" s="47">
        <v>0.0591</v>
      </c>
      <c r="C5" s="276" t="s">
        <v>161</v>
      </c>
      <c r="D5" s="276"/>
      <c r="E5" s="276"/>
      <c r="F5" s="276"/>
      <c r="G5" s="276"/>
      <c r="H5" s="276"/>
      <c r="I5" s="276"/>
      <c r="J5" s="276"/>
    </row>
    <row r="6" spans="1:10" ht="19.5" customHeight="1">
      <c r="A6" s="45" t="s">
        <v>38</v>
      </c>
      <c r="B6" s="48">
        <v>1.0849</v>
      </c>
      <c r="C6" s="275" t="s">
        <v>12</v>
      </c>
      <c r="D6" s="275"/>
      <c r="E6" s="275"/>
      <c r="F6" s="275"/>
      <c r="G6" s="275"/>
      <c r="H6" s="275"/>
      <c r="I6" s="275"/>
      <c r="J6" s="275"/>
    </row>
    <row r="7" spans="1:10" ht="19.5" customHeight="1">
      <c r="A7" s="45" t="s">
        <v>45</v>
      </c>
      <c r="B7" s="49">
        <v>0.958</v>
      </c>
      <c r="C7" s="266" t="s">
        <v>12</v>
      </c>
      <c r="D7" s="266"/>
      <c r="E7" s="266"/>
      <c r="F7" s="266"/>
      <c r="G7" s="266"/>
      <c r="H7" s="266"/>
      <c r="I7" s="266"/>
      <c r="J7" s="266"/>
    </row>
    <row r="8" spans="1:10" ht="19.5" customHeight="1">
      <c r="A8" s="45" t="s">
        <v>162</v>
      </c>
      <c r="B8" s="10">
        <v>160325</v>
      </c>
      <c r="C8" s="266" t="s">
        <v>12</v>
      </c>
      <c r="D8" s="266"/>
      <c r="E8" s="266"/>
      <c r="F8" s="266"/>
      <c r="G8" s="266"/>
      <c r="H8" s="266"/>
      <c r="I8" s="266"/>
      <c r="J8" s="266"/>
    </row>
    <row r="9" spans="1:10" ht="19.5" customHeight="1">
      <c r="A9" s="45" t="s">
        <v>48</v>
      </c>
      <c r="B9" s="50" t="s">
        <v>198</v>
      </c>
      <c r="C9" s="266" t="s">
        <v>12</v>
      </c>
      <c r="D9" s="266"/>
      <c r="E9" s="266"/>
      <c r="F9" s="266"/>
      <c r="G9" s="266"/>
      <c r="H9" s="266"/>
      <c r="I9" s="266"/>
      <c r="J9" s="266"/>
    </row>
    <row r="10" spans="1:10" ht="19.5" customHeight="1">
      <c r="A10" s="267"/>
      <c r="B10" s="268"/>
      <c r="C10" s="268"/>
      <c r="D10" s="268"/>
      <c r="E10" s="268"/>
      <c r="F10" s="268"/>
      <c r="G10" s="268"/>
      <c r="H10" s="268"/>
      <c r="I10" s="268"/>
      <c r="J10" s="269"/>
    </row>
    <row r="11" spans="1:10" ht="19.5" customHeight="1">
      <c r="A11" s="45"/>
      <c r="B11" s="74" t="s">
        <v>12</v>
      </c>
      <c r="C11" s="270" t="s">
        <v>62</v>
      </c>
      <c r="D11" s="270"/>
      <c r="E11" s="270"/>
      <c r="F11" s="270"/>
      <c r="G11" s="270"/>
      <c r="H11" s="270"/>
      <c r="I11" s="270"/>
      <c r="J11" s="270"/>
    </row>
    <row r="12" spans="1:10" ht="19.5" customHeight="1">
      <c r="A12" s="72" t="s">
        <v>12</v>
      </c>
      <c r="B12" s="55" t="s">
        <v>13</v>
      </c>
      <c r="C12" s="55" t="s">
        <v>17</v>
      </c>
      <c r="D12" s="55" t="s">
        <v>16</v>
      </c>
      <c r="E12" s="55" t="s">
        <v>14</v>
      </c>
      <c r="F12" s="55" t="s">
        <v>8</v>
      </c>
      <c r="G12" s="55" t="s">
        <v>49</v>
      </c>
      <c r="H12" s="55" t="s">
        <v>50</v>
      </c>
      <c r="I12" s="55" t="s">
        <v>7</v>
      </c>
      <c r="J12" s="51" t="s">
        <v>61</v>
      </c>
    </row>
    <row r="13" spans="1:10" ht="19.5" customHeight="1">
      <c r="A13" s="56" t="s">
        <v>9</v>
      </c>
      <c r="B13" s="27" t="s">
        <v>24</v>
      </c>
      <c r="C13" s="27">
        <v>340</v>
      </c>
      <c r="D13" s="29">
        <v>4770</v>
      </c>
      <c r="E13" s="29">
        <v>4320</v>
      </c>
      <c r="F13" s="29">
        <v>6080</v>
      </c>
      <c r="G13" s="29">
        <v>2700</v>
      </c>
      <c r="H13" s="29">
        <v>1530</v>
      </c>
      <c r="I13" s="29">
        <v>2640</v>
      </c>
      <c r="J13" s="29">
        <v>4300</v>
      </c>
    </row>
    <row r="14" spans="1:10" ht="19.5" customHeight="1">
      <c r="A14" s="56" t="s">
        <v>11</v>
      </c>
      <c r="B14" s="27" t="s">
        <v>24</v>
      </c>
      <c r="C14" s="27">
        <f>'BRA Parameters'!C14</f>
        <v>6156</v>
      </c>
      <c r="D14" s="27">
        <f>'BRA Parameters'!D14</f>
        <v>9177</v>
      </c>
      <c r="E14" s="27">
        <f>'BRA Parameters'!E14</f>
        <v>8373</v>
      </c>
      <c r="F14" s="27">
        <f>'BRA Parameters'!F14</f>
        <v>6220</v>
      </c>
      <c r="G14" s="27">
        <f>'BRA Parameters'!G14</f>
        <v>2972</v>
      </c>
      <c r="H14" s="27">
        <f>'BRA Parameters'!H14</f>
        <v>1822</v>
      </c>
      <c r="I14" s="27">
        <f>'BRA Parameters'!I14</f>
        <v>6522</v>
      </c>
      <c r="J14" s="27">
        <f>'BRA Parameters'!J14</f>
        <v>5417.8</v>
      </c>
    </row>
    <row r="15" spans="1:10" ht="19.5" customHeight="1">
      <c r="A15" s="57" t="s">
        <v>10</v>
      </c>
      <c r="B15" s="27">
        <f>ROUND((B8*B6),1)</f>
        <v>173936.6</v>
      </c>
      <c r="C15" s="27">
        <v>70348</v>
      </c>
      <c r="D15" s="157">
        <v>38730</v>
      </c>
      <c r="E15" s="157">
        <v>17020</v>
      </c>
      <c r="F15" s="157">
        <v>12549</v>
      </c>
      <c r="G15" s="157">
        <v>6389</v>
      </c>
      <c r="H15" s="157">
        <v>3109</v>
      </c>
      <c r="I15" s="157">
        <v>8921</v>
      </c>
      <c r="J15" s="157">
        <v>16100</v>
      </c>
    </row>
    <row r="16" spans="1:10" ht="19.5" customHeight="1">
      <c r="A16" s="56" t="s">
        <v>52</v>
      </c>
      <c r="B16" s="29">
        <v>12967.1</v>
      </c>
      <c r="C16" s="30">
        <v>0</v>
      </c>
      <c r="D16" s="30">
        <v>0</v>
      </c>
      <c r="E16" s="30">
        <v>0</v>
      </c>
      <c r="F16" s="30">
        <v>0</v>
      </c>
      <c r="G16" s="30">
        <v>0</v>
      </c>
      <c r="H16" s="30">
        <v>0</v>
      </c>
      <c r="I16" s="30">
        <v>0</v>
      </c>
      <c r="J16" s="30">
        <v>0</v>
      </c>
    </row>
    <row r="17" spans="1:10" ht="19.5" customHeight="1">
      <c r="A17" s="56" t="s">
        <v>51</v>
      </c>
      <c r="B17" s="29">
        <f>ROUND(B16*$B$6,1)</f>
        <v>14068</v>
      </c>
      <c r="C17" s="31">
        <v>0</v>
      </c>
      <c r="D17" s="31">
        <v>0</v>
      </c>
      <c r="E17" s="31">
        <v>0</v>
      </c>
      <c r="F17" s="31">
        <v>0</v>
      </c>
      <c r="G17" s="31">
        <v>0</v>
      </c>
      <c r="H17" s="31">
        <v>0</v>
      </c>
      <c r="I17" s="31">
        <v>0</v>
      </c>
      <c r="J17" s="31">
        <v>0</v>
      </c>
    </row>
    <row r="18" spans="1:10" ht="19.5" customHeight="1">
      <c r="A18" s="58" t="s">
        <v>53</v>
      </c>
      <c r="B18" s="32">
        <f>B15-B17</f>
        <v>159868.6</v>
      </c>
      <c r="C18" s="32">
        <f aca="true" t="shared" si="0" ref="C18:I18">C15-C17</f>
        <v>70348</v>
      </c>
      <c r="D18" s="32">
        <f t="shared" si="0"/>
        <v>38730</v>
      </c>
      <c r="E18" s="32">
        <f t="shared" si="0"/>
        <v>17020</v>
      </c>
      <c r="F18" s="32">
        <f t="shared" si="0"/>
        <v>12549</v>
      </c>
      <c r="G18" s="32">
        <f t="shared" si="0"/>
        <v>6389</v>
      </c>
      <c r="H18" s="32">
        <f t="shared" si="0"/>
        <v>3109</v>
      </c>
      <c r="I18" s="32">
        <f t="shared" si="0"/>
        <v>8921</v>
      </c>
      <c r="J18" s="32">
        <f>J15-J17</f>
        <v>16100</v>
      </c>
    </row>
    <row r="19" spans="1:10" ht="19.5" customHeight="1">
      <c r="A19" s="57" t="s">
        <v>48</v>
      </c>
      <c r="B19" s="27">
        <f>'BRA Parameters'!B19*0.8</f>
        <v>3255.5200000000004</v>
      </c>
      <c r="C19" s="27">
        <f>'BRA Parameters'!C19*0.8</f>
        <v>1327.1105152804284</v>
      </c>
      <c r="D19" s="27">
        <f>'BRA Parameters'!D19*0.8</f>
        <v>722.8123156031752</v>
      </c>
      <c r="E19" s="27">
        <f>'BRA Parameters'!E19*0.8</f>
        <v>307.32879869300314</v>
      </c>
      <c r="F19" s="27">
        <f>'BRA Parameters'!F19*0.8</f>
        <v>230.73006552996014</v>
      </c>
      <c r="G19" s="27">
        <f>'BRA Parameters'!G19*0.8</f>
        <v>110.63489267909665</v>
      </c>
      <c r="H19" s="27">
        <f>'BRA Parameters'!H19*0.8</f>
        <v>52.50716109109417</v>
      </c>
      <c r="I19" s="27">
        <f>'BRA Parameters'!I19*0.8</f>
        <v>148.83218553057384</v>
      </c>
      <c r="J19" s="27">
        <f>'BRA Parameters'!J19*0.8</f>
        <v>288.43429972735316</v>
      </c>
    </row>
    <row r="20" spans="1:10" ht="19.5" customHeight="1">
      <c r="A20" s="59" t="s">
        <v>54</v>
      </c>
      <c r="B20" s="33">
        <f>'1st Net CONE'!H23</f>
        <v>311.07</v>
      </c>
      <c r="C20" s="33">
        <f>'1st Net CONE'!G23</f>
        <v>265.6</v>
      </c>
      <c r="D20" s="33">
        <f>'1st Net CONE'!B23</f>
        <v>308.14</v>
      </c>
      <c r="E20" s="33">
        <f>'1st Net CONE'!C23</f>
        <v>265.6</v>
      </c>
      <c r="F20" s="33">
        <f>'1st Net CONE'!B23</f>
        <v>308.14</v>
      </c>
      <c r="G20" s="33">
        <f>'1st Net CONE'!B23</f>
        <v>308.14</v>
      </c>
      <c r="H20" s="33">
        <f>'1st Net CONE'!B23</f>
        <v>308.14</v>
      </c>
      <c r="I20" s="33">
        <f>'1st Net CONE'!C23</f>
        <v>265.6</v>
      </c>
      <c r="J20" s="33">
        <f>'1st Net CONE'!D23</f>
        <v>338.47</v>
      </c>
    </row>
    <row r="21" spans="1:10" ht="19.5" customHeight="1">
      <c r="A21" s="60" t="s">
        <v>56</v>
      </c>
      <c r="B21" s="33" t="s">
        <v>12</v>
      </c>
      <c r="C21" s="33" t="s">
        <v>12</v>
      </c>
      <c r="D21" s="33" t="s">
        <v>12</v>
      </c>
      <c r="E21" s="33" t="s">
        <v>12</v>
      </c>
      <c r="F21" s="33" t="s">
        <v>12</v>
      </c>
      <c r="G21" s="33" t="s">
        <v>12</v>
      </c>
      <c r="H21" s="33" t="s">
        <v>12</v>
      </c>
      <c r="I21" s="33" t="s">
        <v>12</v>
      </c>
      <c r="J21" s="33" t="s">
        <v>12</v>
      </c>
    </row>
    <row r="22" spans="1:10" ht="19.5" customHeight="1">
      <c r="A22" s="56" t="s">
        <v>25</v>
      </c>
      <c r="B22" s="26">
        <f>ROUND(MAX(B$20*1.5,'1st Net CONE'!H18),2)</f>
        <v>466.61</v>
      </c>
      <c r="C22" s="26">
        <f>ROUND(MAX(C$20*1.5,'1st Net CONE'!G18),2)</f>
        <v>398.4</v>
      </c>
      <c r="D22" s="26">
        <f>ROUND(MAX(D$20*1.5,'1st Net CONE'!B18),2)</f>
        <v>462.21</v>
      </c>
      <c r="E22" s="26">
        <f>ROUND(MAX(E$20*1.5,'1st Net CONE'!C18),2)</f>
        <v>398.4</v>
      </c>
      <c r="F22" s="26">
        <f>ROUND(MAX(F$20*1.5,'1st Net CONE'!B18),2)</f>
        <v>462.21</v>
      </c>
      <c r="G22" s="26">
        <f>ROUND(MAX(G$20*1.5,'1st Net CONE'!B18),2)</f>
        <v>462.21</v>
      </c>
      <c r="H22" s="26">
        <f>ROUND(MAX(H$20*1.5,'1st Net CONE'!B18),2)</f>
        <v>462.21</v>
      </c>
      <c r="I22" s="26">
        <f>ROUND(MAX(I$20*1.5,'1st Net CONE'!C18),2)</f>
        <v>398.4</v>
      </c>
      <c r="J22" s="26">
        <f>ROUND(MAX(J$20*1.5,'1st Net CONE'!D18),2)</f>
        <v>507.71</v>
      </c>
    </row>
    <row r="23" spans="1:10" ht="19.5" customHeight="1">
      <c r="A23" s="56" t="s">
        <v>26</v>
      </c>
      <c r="B23" s="26">
        <f>ROUND(B$20,2)</f>
        <v>311.07</v>
      </c>
      <c r="C23" s="26">
        <f aca="true" t="shared" si="1" ref="C23:H23">ROUND(C$20,2)</f>
        <v>265.6</v>
      </c>
      <c r="D23" s="26">
        <f t="shared" si="1"/>
        <v>308.14</v>
      </c>
      <c r="E23" s="26">
        <f t="shared" si="1"/>
        <v>265.6</v>
      </c>
      <c r="F23" s="26">
        <f t="shared" si="1"/>
        <v>308.14</v>
      </c>
      <c r="G23" s="26">
        <f t="shared" si="1"/>
        <v>308.14</v>
      </c>
      <c r="H23" s="26">
        <f t="shared" si="1"/>
        <v>308.14</v>
      </c>
      <c r="I23" s="26">
        <f>ROUND(I$20,2)</f>
        <v>265.6</v>
      </c>
      <c r="J23" s="26">
        <f>ROUND(J$20,2)</f>
        <v>338.47</v>
      </c>
    </row>
    <row r="24" spans="1:10" ht="19.5" customHeight="1">
      <c r="A24" s="56" t="s">
        <v>27</v>
      </c>
      <c r="B24" s="26">
        <f>ROUND(B$20*0.2,2)</f>
        <v>62.21</v>
      </c>
      <c r="C24" s="26">
        <f aca="true" t="shared" si="2" ref="C24:H24">ROUND(C$20*0.2,2)</f>
        <v>53.12</v>
      </c>
      <c r="D24" s="26">
        <f t="shared" si="2"/>
        <v>61.63</v>
      </c>
      <c r="E24" s="26">
        <f t="shared" si="2"/>
        <v>53.12</v>
      </c>
      <c r="F24" s="26">
        <f t="shared" si="2"/>
        <v>61.63</v>
      </c>
      <c r="G24" s="26">
        <f t="shared" si="2"/>
        <v>61.63</v>
      </c>
      <c r="H24" s="26">
        <f t="shared" si="2"/>
        <v>61.63</v>
      </c>
      <c r="I24" s="26">
        <f>ROUND(I$20*0.2,2)</f>
        <v>53.12</v>
      </c>
      <c r="J24" s="26">
        <f>ROUND(J$20*0.2,2)</f>
        <v>67.69</v>
      </c>
    </row>
    <row r="25" spans="1:10" ht="19.5" customHeight="1">
      <c r="A25" s="56" t="s">
        <v>28</v>
      </c>
      <c r="B25" s="27">
        <f>ROUND(B$18*(1+$B$4-3%)/(1+$B$4)-B19,1)</f>
        <v>152453.4</v>
      </c>
      <c r="C25" s="27">
        <f aca="true" t="shared" si="3" ref="C25:J25">ROUND(C$18*(1+$B$4-3%)/(1+$B$4)-C19,1)</f>
        <v>67190.5</v>
      </c>
      <c r="D25" s="27">
        <f t="shared" si="3"/>
        <v>36999.5</v>
      </c>
      <c r="E25" s="27">
        <f t="shared" si="3"/>
        <v>16269.8</v>
      </c>
      <c r="F25" s="27">
        <f t="shared" si="3"/>
        <v>11991.8</v>
      </c>
      <c r="G25" s="27">
        <f t="shared" si="3"/>
        <v>6112.1</v>
      </c>
      <c r="H25" s="27">
        <f t="shared" si="3"/>
        <v>2975.6</v>
      </c>
      <c r="I25" s="27">
        <f t="shared" si="3"/>
        <v>8540.1</v>
      </c>
      <c r="J25" s="27">
        <f t="shared" si="3"/>
        <v>15392.7</v>
      </c>
    </row>
    <row r="26" spans="1:10" ht="19.5" customHeight="1">
      <c r="A26" s="56" t="s">
        <v>29</v>
      </c>
      <c r="B26" s="27">
        <f>ROUND(B$18*(1+$B$4+1%)/(1+$B$4)-B19,1)</f>
        <v>157999.6</v>
      </c>
      <c r="C26" s="27">
        <f aca="true" t="shared" si="4" ref="C26:J26">ROUND(C$18*(1+$B$4+1%)/(1+$B$4)-C19,1)</f>
        <v>69631</v>
      </c>
      <c r="D26" s="27">
        <f t="shared" si="4"/>
        <v>38343.1</v>
      </c>
      <c r="E26" s="27">
        <f t="shared" si="4"/>
        <v>16860.3</v>
      </c>
      <c r="F26" s="27">
        <f t="shared" si="4"/>
        <v>12427.1</v>
      </c>
      <c r="G26" s="27">
        <f t="shared" si="4"/>
        <v>6333.8</v>
      </c>
      <c r="H26" s="27">
        <f t="shared" si="4"/>
        <v>3083.5</v>
      </c>
      <c r="I26" s="27">
        <f t="shared" si="4"/>
        <v>8849.5</v>
      </c>
      <c r="J26" s="27">
        <f t="shared" si="4"/>
        <v>15951.2</v>
      </c>
    </row>
    <row r="27" spans="1:10" ht="19.5" customHeight="1">
      <c r="A27" s="56" t="s">
        <v>30</v>
      </c>
      <c r="B27" s="27">
        <f>ROUND(B$18*(1+$B$4+5%)/(1+$B$4)-B19,1)</f>
        <v>163545.8</v>
      </c>
      <c r="C27" s="27">
        <f aca="true" t="shared" si="5" ref="C27:J27">ROUND(C$18*(1+$B$4+5%)/(1+$B$4)-C19,1)</f>
        <v>72071.5</v>
      </c>
      <c r="D27" s="27">
        <f t="shared" si="5"/>
        <v>39686.7</v>
      </c>
      <c r="E27" s="27">
        <f t="shared" si="5"/>
        <v>17450.7</v>
      </c>
      <c r="F27" s="27">
        <f t="shared" si="5"/>
        <v>12862.5</v>
      </c>
      <c r="G27" s="27">
        <f t="shared" si="5"/>
        <v>6555.4</v>
      </c>
      <c r="H27" s="27">
        <f t="shared" si="5"/>
        <v>3191.3</v>
      </c>
      <c r="I27" s="27">
        <f t="shared" si="5"/>
        <v>9159</v>
      </c>
      <c r="J27" s="27">
        <f t="shared" si="5"/>
        <v>16509.7</v>
      </c>
    </row>
    <row r="28" spans="1:10" ht="19.5" customHeight="1">
      <c r="A28" s="56" t="s">
        <v>59</v>
      </c>
      <c r="B28" s="52" t="s">
        <v>24</v>
      </c>
      <c r="C28" s="28">
        <v>159</v>
      </c>
      <c r="D28" s="28" t="s">
        <v>24</v>
      </c>
      <c r="E28" s="25" t="s">
        <v>24</v>
      </c>
      <c r="F28" s="25" t="s">
        <v>24</v>
      </c>
      <c r="G28" s="25" t="s">
        <v>24</v>
      </c>
      <c r="H28" s="25" t="s">
        <v>24</v>
      </c>
      <c r="I28" s="25" t="s">
        <v>24</v>
      </c>
      <c r="J28" s="25" t="s">
        <v>24</v>
      </c>
    </row>
    <row r="29" spans="1:10" ht="19.5" customHeight="1">
      <c r="A29" s="56" t="s">
        <v>67</v>
      </c>
      <c r="B29" s="158">
        <f>'Updated Min Res Req''ments'!B17</f>
        <v>146633.3</v>
      </c>
      <c r="C29" s="158">
        <f>'Updated Min Res Req''ments'!C17</f>
        <v>57914.8</v>
      </c>
      <c r="D29" s="158">
        <f>'Updated Min Res Req''ments'!D17</f>
        <v>26055</v>
      </c>
      <c r="E29" s="158">
        <f>'Updated Min Res Req''ments'!E17</f>
        <v>6722</v>
      </c>
      <c r="F29" s="158">
        <f>'Updated Min Res Req''ments'!F17</f>
        <v>5264.2</v>
      </c>
      <c r="G29" s="158">
        <f>'Updated Min Res Req''ments'!G17</f>
        <v>2955.3</v>
      </c>
      <c r="H29" s="158">
        <f>'Updated Min Res Req''ments'!H17</f>
        <v>1100.3</v>
      </c>
      <c r="I29" s="158">
        <f>'Updated Min Res Req''ments'!I17</f>
        <v>1382.4</v>
      </c>
      <c r="J29" s="158">
        <f>'Updated Min Res Req''ments'!J17</f>
        <v>9556.8</v>
      </c>
    </row>
    <row r="30" spans="1:10" ht="19.5" customHeight="1">
      <c r="A30" s="56" t="s">
        <v>68</v>
      </c>
      <c r="B30" s="158">
        <f>'Updated Min Res Req''ments'!B18</f>
        <v>140343.9</v>
      </c>
      <c r="C30" s="158">
        <f>'Updated Min Res Req''ments'!C18</f>
        <v>54115.4</v>
      </c>
      <c r="D30" s="158">
        <f>'Updated Min Res Req''ments'!D18</f>
        <v>21935.6</v>
      </c>
      <c r="E30" s="158">
        <f>'Updated Min Res Req''ments'!E18</f>
        <v>5786.5</v>
      </c>
      <c r="F30" s="158">
        <f>'Updated Min Res Req''ments'!F18</f>
        <v>3863.2</v>
      </c>
      <c r="G30" s="158">
        <f>'Updated Min Res Req''ments'!G18</f>
        <v>2295.8</v>
      </c>
      <c r="H30" s="158">
        <f>'Updated Min Res Req''ments'!H18</f>
        <v>955.3</v>
      </c>
      <c r="I30" s="158">
        <f>'Updated Min Res Req''ments'!I18</f>
        <v>406.3</v>
      </c>
      <c r="J30" s="158">
        <f>'Updated Min Res Req''ments'!J18</f>
        <v>8895.6</v>
      </c>
    </row>
    <row r="31" spans="1:10" ht="19.5" customHeight="1">
      <c r="A31" s="60" t="s">
        <v>78</v>
      </c>
      <c r="B31" s="19"/>
      <c r="C31" s="19"/>
      <c r="D31" s="19"/>
      <c r="E31" s="19"/>
      <c r="F31" s="19"/>
      <c r="G31" s="19"/>
      <c r="H31" s="19"/>
      <c r="I31" s="19"/>
      <c r="J31" s="19"/>
    </row>
    <row r="32" spans="1:10" ht="19.5" customHeight="1">
      <c r="A32" s="56" t="s">
        <v>79</v>
      </c>
      <c r="B32" s="52" t="s">
        <v>24</v>
      </c>
      <c r="C32" s="52" t="s">
        <v>24</v>
      </c>
      <c r="D32" s="52" t="s">
        <v>24</v>
      </c>
      <c r="E32" s="52" t="s">
        <v>24</v>
      </c>
      <c r="F32" s="52" t="s">
        <v>24</v>
      </c>
      <c r="G32" s="52" t="s">
        <v>24</v>
      </c>
      <c r="H32" s="52" t="s">
        <v>24</v>
      </c>
      <c r="I32" s="52" t="s">
        <v>24</v>
      </c>
      <c r="J32" s="52" t="s">
        <v>24</v>
      </c>
    </row>
    <row r="33" spans="1:10" ht="19.5" customHeight="1">
      <c r="A33" s="186" t="s">
        <v>80</v>
      </c>
      <c r="B33" s="20">
        <f>'Updated Min Res Req''ments'!B20</f>
        <v>0.9534010051810263</v>
      </c>
      <c r="C33" s="52" t="s">
        <v>24</v>
      </c>
      <c r="D33" s="52" t="s">
        <v>24</v>
      </c>
      <c r="E33" s="52" t="s">
        <v>24</v>
      </c>
      <c r="F33" s="52" t="s">
        <v>24</v>
      </c>
      <c r="G33" s="52" t="s">
        <v>24</v>
      </c>
      <c r="H33" s="52" t="s">
        <v>24</v>
      </c>
      <c r="I33" s="52" t="s">
        <v>24</v>
      </c>
      <c r="J33" s="52" t="s">
        <v>24</v>
      </c>
    </row>
    <row r="34" spans="1:10" ht="19.5" customHeight="1">
      <c r="A34" s="91" t="s">
        <v>81</v>
      </c>
      <c r="B34" s="20">
        <f>'Updated Min Res Req''ments'!B21</f>
        <v>0.9125080097276415</v>
      </c>
      <c r="C34" s="52" t="s">
        <v>24</v>
      </c>
      <c r="D34" s="52" t="s">
        <v>24</v>
      </c>
      <c r="E34" s="52" t="s">
        <v>24</v>
      </c>
      <c r="F34" s="52" t="s">
        <v>24</v>
      </c>
      <c r="G34" s="52" t="s">
        <v>24</v>
      </c>
      <c r="H34" s="52" t="s">
        <v>24</v>
      </c>
      <c r="I34" s="52" t="s">
        <v>24</v>
      </c>
      <c r="J34" s="52" t="s">
        <v>24</v>
      </c>
    </row>
    <row r="37" spans="2:10" ht="12.75">
      <c r="B37" s="189"/>
      <c r="C37" s="189"/>
      <c r="D37" s="189"/>
      <c r="E37" s="189"/>
      <c r="F37" s="189"/>
      <c r="G37" s="189"/>
      <c r="H37" s="189"/>
      <c r="I37" s="189"/>
      <c r="J37" s="189"/>
    </row>
    <row r="38" spans="2:10" ht="12.75">
      <c r="B38" s="189"/>
      <c r="C38" s="189"/>
      <c r="D38" s="189"/>
      <c r="E38" s="189"/>
      <c r="F38" s="189"/>
      <c r="G38" s="189"/>
      <c r="H38" s="189"/>
      <c r="I38" s="189"/>
      <c r="J38" s="189"/>
    </row>
    <row r="41" spans="2:10" ht="12.75">
      <c r="B41" s="189"/>
      <c r="C41" s="189"/>
      <c r="D41" s="189"/>
      <c r="E41" s="189"/>
      <c r="F41" s="189"/>
      <c r="G41" s="189"/>
      <c r="H41" s="189"/>
      <c r="I41" s="189"/>
      <c r="J41" s="189"/>
    </row>
    <row r="42" spans="2:10" ht="12.75">
      <c r="B42" s="189"/>
      <c r="C42" s="189"/>
      <c r="D42" s="189"/>
      <c r="E42" s="189"/>
      <c r="F42" s="189"/>
      <c r="G42" s="189"/>
      <c r="H42" s="189"/>
      <c r="I42" s="189"/>
      <c r="J42" s="189"/>
    </row>
    <row r="43" spans="2:10" ht="12.75">
      <c r="B43" s="189"/>
      <c r="C43" s="189"/>
      <c r="D43" s="189"/>
      <c r="E43" s="189"/>
      <c r="F43" s="189"/>
      <c r="G43" s="189"/>
      <c r="H43" s="189"/>
      <c r="I43" s="189"/>
      <c r="J43" s="189"/>
    </row>
  </sheetData>
  <sheetProtection/>
  <mergeCells count="10">
    <mergeCell ref="A1:J1"/>
    <mergeCell ref="C8:J8"/>
    <mergeCell ref="C9:J9"/>
    <mergeCell ref="C11:J11"/>
    <mergeCell ref="C3:J3"/>
    <mergeCell ref="C4:J4"/>
    <mergeCell ref="C5:J5"/>
    <mergeCell ref="C6:J6"/>
    <mergeCell ref="C7:J7"/>
    <mergeCell ref="A10:J10"/>
  </mergeCells>
  <printOptions/>
  <pageMargins left="0.7" right="0.7" top="0.75" bottom="0.75" header="0.3" footer="0.3"/>
  <pageSetup fitToHeight="1" fitToWidth="1" horizontalDpi="600" verticalDpi="600" orientation="landscape" scale="61" r:id="rId1"/>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A1" sqref="A1:H1"/>
    </sheetView>
  </sheetViews>
  <sheetFormatPr defaultColWidth="9.140625" defaultRowHeight="12.75"/>
  <cols>
    <col min="1" max="1" width="60.7109375" style="0" customWidth="1"/>
    <col min="2" max="8" width="20.7109375" style="0" customWidth="1"/>
  </cols>
  <sheetData>
    <row r="1" spans="1:8" ht="30" customHeight="1">
      <c r="A1" s="277" t="s">
        <v>194</v>
      </c>
      <c r="B1" s="277"/>
      <c r="C1" s="277"/>
      <c r="D1" s="277"/>
      <c r="E1" s="277"/>
      <c r="F1" s="277"/>
      <c r="G1" s="277"/>
      <c r="H1" s="277"/>
    </row>
    <row r="2" spans="1:8" ht="30" customHeight="1">
      <c r="A2" s="278" t="s">
        <v>193</v>
      </c>
      <c r="B2" s="278"/>
      <c r="C2" s="278"/>
      <c r="D2" s="278"/>
      <c r="E2" s="278"/>
      <c r="F2" s="278"/>
      <c r="G2" s="278"/>
      <c r="H2" s="278"/>
    </row>
    <row r="3" spans="1:7" ht="24.75" customHeight="1">
      <c r="A3" s="281" t="s">
        <v>164</v>
      </c>
      <c r="B3" s="281"/>
      <c r="C3" s="175" t="s">
        <v>12</v>
      </c>
      <c r="D3" s="173" t="s">
        <v>12</v>
      </c>
      <c r="E3" s="174"/>
      <c r="F3" s="174"/>
      <c r="G3" s="174"/>
    </row>
    <row r="4" spans="1:7" ht="24.75" customHeight="1">
      <c r="A4" s="163" t="s">
        <v>165</v>
      </c>
      <c r="B4" s="176"/>
      <c r="C4" s="177" t="s">
        <v>12</v>
      </c>
      <c r="D4" s="173"/>
      <c r="E4" s="174"/>
      <c r="F4" s="174"/>
      <c r="G4" s="174"/>
    </row>
    <row r="5" spans="1:7" ht="24.75" customHeight="1">
      <c r="A5" s="163" t="s">
        <v>199</v>
      </c>
      <c r="B5" s="178">
        <v>0.0591</v>
      </c>
      <c r="C5" s="179" t="s">
        <v>12</v>
      </c>
      <c r="D5" s="173" t="s">
        <v>12</v>
      </c>
      <c r="E5" s="174"/>
      <c r="F5" s="174"/>
      <c r="G5" s="174"/>
    </row>
    <row r="6" spans="1:7" ht="24.75" customHeight="1">
      <c r="A6" s="282"/>
      <c r="B6" s="283"/>
      <c r="C6" s="179"/>
      <c r="D6" s="173"/>
      <c r="E6" s="174"/>
      <c r="F6" s="174"/>
      <c r="G6" s="174"/>
    </row>
    <row r="7" spans="1:7" ht="24.75" customHeight="1">
      <c r="A7" s="267" t="s">
        <v>166</v>
      </c>
      <c r="B7" s="269"/>
      <c r="C7" s="179"/>
      <c r="D7" s="173"/>
      <c r="E7" s="174"/>
      <c r="F7" s="174"/>
      <c r="G7" s="174"/>
    </row>
    <row r="8" spans="1:7" ht="24.75" customHeight="1">
      <c r="A8" s="267" t="s">
        <v>167</v>
      </c>
      <c r="B8" s="269"/>
      <c r="C8" s="179"/>
      <c r="D8" s="173"/>
      <c r="E8" s="174"/>
      <c r="F8" s="174"/>
      <c r="G8" s="174"/>
    </row>
    <row r="9" spans="1:7" ht="24.75" customHeight="1">
      <c r="A9" s="279" t="s">
        <v>168</v>
      </c>
      <c r="B9" s="280"/>
      <c r="C9" s="179"/>
      <c r="D9" s="173">
        <v>0</v>
      </c>
      <c r="E9" s="174"/>
      <c r="F9" s="174"/>
      <c r="G9" s="174"/>
    </row>
    <row r="10" spans="1:7" ht="24.75" customHeight="1">
      <c r="A10" s="267" t="s">
        <v>169</v>
      </c>
      <c r="B10" s="269"/>
      <c r="C10" s="179"/>
      <c r="D10" s="173"/>
      <c r="E10" s="174"/>
      <c r="F10" s="174"/>
      <c r="G10" s="174"/>
    </row>
    <row r="11" spans="1:7" ht="24.75" customHeight="1">
      <c r="A11" s="279" t="s">
        <v>170</v>
      </c>
      <c r="B11" s="280"/>
      <c r="C11" s="179"/>
      <c r="D11" s="173"/>
      <c r="E11" s="174"/>
      <c r="F11" s="174"/>
      <c r="G11" s="174"/>
    </row>
    <row r="12" spans="1:7" ht="24.75" customHeight="1">
      <c r="A12" s="275" t="s">
        <v>171</v>
      </c>
      <c r="B12" s="275"/>
      <c r="C12" s="179"/>
      <c r="D12" s="180" t="s">
        <v>12</v>
      </c>
      <c r="E12" s="174"/>
      <c r="F12" s="174"/>
      <c r="G12" s="174"/>
    </row>
    <row r="13" spans="1:8" ht="34.5" customHeight="1">
      <c r="A13" s="181"/>
      <c r="B13" s="182" t="s">
        <v>172</v>
      </c>
      <c r="C13" s="182" t="s">
        <v>173</v>
      </c>
      <c r="D13" s="182" t="s">
        <v>174</v>
      </c>
      <c r="E13" s="182" t="s">
        <v>175</v>
      </c>
      <c r="F13" s="182" t="s">
        <v>176</v>
      </c>
      <c r="G13" s="182" t="s">
        <v>177</v>
      </c>
      <c r="H13" s="182" t="s">
        <v>13</v>
      </c>
    </row>
    <row r="14" spans="1:8" ht="34.5" customHeight="1">
      <c r="A14" s="176" t="s">
        <v>191</v>
      </c>
      <c r="B14" s="183">
        <v>140000</v>
      </c>
      <c r="C14" s="183">
        <v>130600</v>
      </c>
      <c r="D14" s="183">
        <v>127500</v>
      </c>
      <c r="E14" s="183">
        <v>134500</v>
      </c>
      <c r="F14" s="183">
        <v>114500</v>
      </c>
      <c r="G14" s="183">
        <f>C14</f>
        <v>130600</v>
      </c>
      <c r="H14" s="183">
        <v>128000</v>
      </c>
    </row>
    <row r="15" spans="1:8" ht="34.5" customHeight="1">
      <c r="A15" s="176" t="s">
        <v>192</v>
      </c>
      <c r="B15" s="15">
        <v>0</v>
      </c>
      <c r="C15" s="15">
        <v>0</v>
      </c>
      <c r="D15" s="15">
        <v>0</v>
      </c>
      <c r="E15" s="15">
        <v>0</v>
      </c>
      <c r="F15" s="15">
        <v>0</v>
      </c>
      <c r="G15" s="15">
        <f>C15</f>
        <v>0</v>
      </c>
      <c r="H15" s="15">
        <v>0</v>
      </c>
    </row>
    <row r="16" spans="1:8" ht="24.75" customHeight="1">
      <c r="A16" s="176" t="s">
        <v>178</v>
      </c>
      <c r="B16" s="183" t="s">
        <v>195</v>
      </c>
      <c r="C16" s="183" t="s">
        <v>195</v>
      </c>
      <c r="D16" s="183" t="s">
        <v>195</v>
      </c>
      <c r="E16" s="183" t="s">
        <v>195</v>
      </c>
      <c r="F16" s="183" t="s">
        <v>195</v>
      </c>
      <c r="G16" s="183" t="s">
        <v>195</v>
      </c>
      <c r="H16" s="183" t="s">
        <v>195</v>
      </c>
    </row>
    <row r="17" spans="1:8" ht="34.5" customHeight="1">
      <c r="A17" s="176" t="s">
        <v>179</v>
      </c>
      <c r="B17" s="183">
        <f aca="true" t="shared" si="0" ref="B17:H17">B14+B14*B15</f>
        <v>140000</v>
      </c>
      <c r="C17" s="183">
        <f t="shared" si="0"/>
        <v>130600</v>
      </c>
      <c r="D17" s="183">
        <f t="shared" si="0"/>
        <v>127500</v>
      </c>
      <c r="E17" s="183">
        <f t="shared" si="0"/>
        <v>134500</v>
      </c>
      <c r="F17" s="183">
        <f t="shared" si="0"/>
        <v>114500</v>
      </c>
      <c r="G17" s="183">
        <f t="shared" si="0"/>
        <v>130600</v>
      </c>
      <c r="H17" s="183">
        <f t="shared" si="0"/>
        <v>128000</v>
      </c>
    </row>
    <row r="18" spans="1:8" ht="34.5" customHeight="1">
      <c r="A18" s="176" t="s">
        <v>200</v>
      </c>
      <c r="B18" s="188">
        <f>B17/366</f>
        <v>382.5136612021858</v>
      </c>
      <c r="C18" s="188">
        <f aca="true" t="shared" si="1" ref="C18:H18">C17/366</f>
        <v>356.8306010928962</v>
      </c>
      <c r="D18" s="188">
        <f t="shared" si="1"/>
        <v>348.3606557377049</v>
      </c>
      <c r="E18" s="188">
        <f t="shared" si="1"/>
        <v>367.4863387978142</v>
      </c>
      <c r="F18" s="188">
        <f t="shared" si="1"/>
        <v>312.8415300546448</v>
      </c>
      <c r="G18" s="188">
        <f t="shared" si="1"/>
        <v>356.8306010928962</v>
      </c>
      <c r="H18" s="188">
        <f t="shared" si="1"/>
        <v>349.72677595628414</v>
      </c>
    </row>
    <row r="19" spans="1:8" ht="34.5" customHeight="1">
      <c r="A19" s="176" t="s">
        <v>180</v>
      </c>
      <c r="B19" s="184">
        <v>31686</v>
      </c>
      <c r="C19" s="184">
        <v>36937</v>
      </c>
      <c r="D19" s="184">
        <v>8741</v>
      </c>
      <c r="E19" s="184">
        <v>27734</v>
      </c>
      <c r="F19" s="184">
        <v>30173</v>
      </c>
      <c r="G19" s="184">
        <f>C19</f>
        <v>36937</v>
      </c>
      <c r="H19" s="184">
        <v>18678</v>
      </c>
    </row>
    <row r="20" spans="1:8" ht="34.5" customHeight="1">
      <c r="A20" s="176" t="s">
        <v>181</v>
      </c>
      <c r="B20" s="184" t="s">
        <v>182</v>
      </c>
      <c r="C20" s="184" t="s">
        <v>183</v>
      </c>
      <c r="D20" s="184" t="s">
        <v>184</v>
      </c>
      <c r="E20" s="184" t="s">
        <v>185</v>
      </c>
      <c r="F20" s="184" t="s">
        <v>186</v>
      </c>
      <c r="G20" s="184" t="str">
        <f>C20</f>
        <v>BGE Zonal LMP</v>
      </c>
      <c r="H20" s="184" t="s">
        <v>187</v>
      </c>
    </row>
    <row r="21" spans="1:8" ht="24.75" customHeight="1">
      <c r="A21" s="176" t="s">
        <v>188</v>
      </c>
      <c r="B21" s="184">
        <v>2199</v>
      </c>
      <c r="C21" s="184">
        <v>2199</v>
      </c>
      <c r="D21" s="184">
        <v>2199</v>
      </c>
      <c r="E21" s="184">
        <v>2199</v>
      </c>
      <c r="F21" s="184">
        <v>2199</v>
      </c>
      <c r="G21" s="184">
        <v>2199</v>
      </c>
      <c r="H21" s="184">
        <v>2199</v>
      </c>
    </row>
    <row r="22" spans="1:8" ht="24.75" customHeight="1">
      <c r="A22" s="176" t="s">
        <v>189</v>
      </c>
      <c r="B22" s="13">
        <f>(B17-B19-B21)/366</f>
        <v>289.93169398907105</v>
      </c>
      <c r="C22" s="13">
        <f aca="true" t="shared" si="2" ref="C22:H22">(C17-C19-C21)/366</f>
        <v>249.9016393442623</v>
      </c>
      <c r="D22" s="13">
        <f t="shared" si="2"/>
        <v>318.46994535519127</v>
      </c>
      <c r="E22" s="13">
        <f t="shared" si="2"/>
        <v>285.7021857923497</v>
      </c>
      <c r="F22" s="13">
        <f t="shared" si="2"/>
        <v>224.39344262295083</v>
      </c>
      <c r="G22" s="13">
        <f t="shared" si="2"/>
        <v>249.9016393442623</v>
      </c>
      <c r="H22" s="13">
        <f t="shared" si="2"/>
        <v>292.6857923497268</v>
      </c>
    </row>
    <row r="23" spans="1:8" ht="24.75" customHeight="1">
      <c r="A23" s="185" t="s">
        <v>190</v>
      </c>
      <c r="B23" s="14">
        <f>ROUND(B22/(1-$B$5),2)</f>
        <v>308.14</v>
      </c>
      <c r="C23" s="14">
        <f aca="true" t="shared" si="3" ref="C23:H23">ROUND(C22/(1-$B$5),2)</f>
        <v>265.6</v>
      </c>
      <c r="D23" s="14">
        <f t="shared" si="3"/>
        <v>338.47</v>
      </c>
      <c r="E23" s="14">
        <f t="shared" si="3"/>
        <v>303.65</v>
      </c>
      <c r="F23" s="14">
        <f t="shared" si="3"/>
        <v>238.49</v>
      </c>
      <c r="G23" s="14">
        <f t="shared" si="3"/>
        <v>265.6</v>
      </c>
      <c r="H23" s="14">
        <f t="shared" si="3"/>
        <v>311.07</v>
      </c>
    </row>
    <row r="24" spans="2:8" ht="12.75">
      <c r="B24" s="189" t="s">
        <v>12</v>
      </c>
      <c r="C24" s="189" t="s">
        <v>12</v>
      </c>
      <c r="D24" s="189" t="s">
        <v>12</v>
      </c>
      <c r="E24" s="189" t="s">
        <v>12</v>
      </c>
      <c r="F24" s="189" t="s">
        <v>12</v>
      </c>
      <c r="G24" s="189" t="s">
        <v>12</v>
      </c>
      <c r="H24" s="189" t="s">
        <v>43</v>
      </c>
    </row>
  </sheetData>
  <sheetProtection/>
  <mergeCells count="10">
    <mergeCell ref="A1:H1"/>
    <mergeCell ref="A2:H2"/>
    <mergeCell ref="A11:B11"/>
    <mergeCell ref="A12:B12"/>
    <mergeCell ref="A3:B3"/>
    <mergeCell ref="A6:B6"/>
    <mergeCell ref="A7:B7"/>
    <mergeCell ref="A8:B8"/>
    <mergeCell ref="A9:B9"/>
    <mergeCell ref="A10:B10"/>
  </mergeCells>
  <printOptions/>
  <pageMargins left="0.7" right="0.7" top="0.75" bottom="0.75" header="0.3" footer="0.3"/>
  <pageSetup fitToHeight="1" fitToWidth="1"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pageSetUpPr fitToPage="1"/>
  </sheetPr>
  <dimension ref="A1:N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0" width="18.7109375" style="0" customWidth="1"/>
    <col min="11" max="11" width="12.7109375" style="0" customWidth="1"/>
  </cols>
  <sheetData>
    <row r="1" spans="1:9" ht="24.75" customHeight="1" thickBot="1">
      <c r="A1" s="271" t="s">
        <v>87</v>
      </c>
      <c r="B1" s="272"/>
      <c r="C1" s="272"/>
      <c r="D1" s="272"/>
      <c r="E1" s="272"/>
      <c r="F1" s="273"/>
      <c r="G1" s="53">
        <v>41016</v>
      </c>
      <c r="H1" s="54" t="s">
        <v>120</v>
      </c>
      <c r="I1" s="39" t="s">
        <v>12</v>
      </c>
    </row>
    <row r="2" spans="1:9" ht="17.25">
      <c r="A2" s="103" t="s">
        <v>122</v>
      </c>
      <c r="B2" s="40"/>
      <c r="C2" s="40"/>
      <c r="D2" s="40"/>
      <c r="E2" s="41"/>
      <c r="F2" s="41"/>
      <c r="G2" s="42"/>
      <c r="H2" s="39"/>
      <c r="I2" s="39"/>
    </row>
    <row r="3" spans="1:10" ht="19.5" customHeight="1">
      <c r="A3" s="43"/>
      <c r="B3" s="44" t="s">
        <v>13</v>
      </c>
      <c r="C3" s="274" t="s">
        <v>44</v>
      </c>
      <c r="D3" s="274"/>
      <c r="E3" s="274"/>
      <c r="F3" s="274"/>
      <c r="G3" s="274"/>
      <c r="H3" s="274"/>
      <c r="I3" s="274"/>
      <c r="J3" s="274"/>
    </row>
    <row r="4" spans="1:10" ht="19.5" customHeight="1">
      <c r="A4" s="45" t="s">
        <v>36</v>
      </c>
      <c r="B4" s="46">
        <v>0.154</v>
      </c>
      <c r="C4" s="275" t="s">
        <v>84</v>
      </c>
      <c r="D4" s="275"/>
      <c r="E4" s="275"/>
      <c r="F4" s="275"/>
      <c r="G4" s="275"/>
      <c r="H4" s="275"/>
      <c r="I4" s="275"/>
      <c r="J4" s="275"/>
    </row>
    <row r="5" spans="1:10" ht="19.5" customHeight="1">
      <c r="A5" s="45" t="s">
        <v>37</v>
      </c>
      <c r="B5" s="47">
        <v>0.059</v>
      </c>
      <c r="C5" s="276" t="s">
        <v>63</v>
      </c>
      <c r="D5" s="276"/>
      <c r="E5" s="276"/>
      <c r="F5" s="276"/>
      <c r="G5" s="276"/>
      <c r="H5" s="276"/>
      <c r="I5" s="276"/>
      <c r="J5" s="276"/>
    </row>
    <row r="6" spans="1:10" ht="19.5" customHeight="1">
      <c r="A6" s="45" t="s">
        <v>38</v>
      </c>
      <c r="B6" s="48">
        <v>1.0859</v>
      </c>
      <c r="C6" s="275" t="s">
        <v>89</v>
      </c>
      <c r="D6" s="275"/>
      <c r="E6" s="275"/>
      <c r="F6" s="275"/>
      <c r="G6" s="275"/>
      <c r="H6" s="275"/>
      <c r="I6" s="275"/>
      <c r="J6" s="275"/>
    </row>
    <row r="7" spans="1:10" ht="19.5" customHeight="1">
      <c r="A7" s="45" t="s">
        <v>45</v>
      </c>
      <c r="B7" s="49">
        <v>0.955</v>
      </c>
      <c r="C7" s="266" t="s">
        <v>119</v>
      </c>
      <c r="D7" s="266"/>
      <c r="E7" s="266"/>
      <c r="F7" s="266"/>
      <c r="G7" s="266"/>
      <c r="H7" s="266"/>
      <c r="I7" s="266"/>
      <c r="J7" s="266"/>
    </row>
    <row r="8" spans="1:10" ht="19.5" customHeight="1">
      <c r="A8" s="45" t="s">
        <v>39</v>
      </c>
      <c r="B8" s="10">
        <f>F39</f>
        <v>163168</v>
      </c>
      <c r="C8" s="266" t="s">
        <v>91</v>
      </c>
      <c r="D8" s="266"/>
      <c r="E8" s="266"/>
      <c r="F8" s="266"/>
      <c r="G8" s="266"/>
      <c r="H8" s="266"/>
      <c r="I8" s="266"/>
      <c r="J8" s="266"/>
    </row>
    <row r="9" spans="1:10" ht="19.5" customHeight="1">
      <c r="A9" s="45" t="s">
        <v>48</v>
      </c>
      <c r="B9" s="50">
        <v>0.025</v>
      </c>
      <c r="C9" s="266" t="s">
        <v>103</v>
      </c>
      <c r="D9" s="266"/>
      <c r="E9" s="266"/>
      <c r="F9" s="266"/>
      <c r="G9" s="266"/>
      <c r="H9" s="266"/>
      <c r="I9" s="266"/>
      <c r="J9" s="266"/>
    </row>
    <row r="10" spans="1:10" ht="19.5" customHeight="1">
      <c r="A10" s="45" t="s">
        <v>42</v>
      </c>
      <c r="B10" s="73">
        <f>ROUND(MAX(B20*0.3,20)*366,2)</f>
        <v>35205.17</v>
      </c>
      <c r="C10" s="266" t="s">
        <v>106</v>
      </c>
      <c r="D10" s="266"/>
      <c r="E10" s="266"/>
      <c r="F10" s="266"/>
      <c r="G10" s="266"/>
      <c r="H10" s="266"/>
      <c r="I10" s="266"/>
      <c r="J10" s="266"/>
    </row>
    <row r="11" spans="1:10" ht="19.5" customHeight="1">
      <c r="A11" s="45"/>
      <c r="B11" s="74" t="s">
        <v>12</v>
      </c>
      <c r="C11" s="270" t="s">
        <v>62</v>
      </c>
      <c r="D11" s="270"/>
      <c r="E11" s="270"/>
      <c r="F11" s="270"/>
      <c r="G11" s="270"/>
      <c r="H11" s="270"/>
      <c r="I11" s="270"/>
      <c r="J11" s="270"/>
    </row>
    <row r="12" spans="1:10" ht="19.5" customHeight="1">
      <c r="A12" s="72" t="s">
        <v>12</v>
      </c>
      <c r="B12" s="55" t="s">
        <v>13</v>
      </c>
      <c r="C12" s="55" t="s">
        <v>17</v>
      </c>
      <c r="D12" s="55" t="s">
        <v>16</v>
      </c>
      <c r="E12" s="55" t="s">
        <v>14</v>
      </c>
      <c r="F12" s="55" t="s">
        <v>8</v>
      </c>
      <c r="G12" s="55" t="s">
        <v>49</v>
      </c>
      <c r="H12" s="55" t="s">
        <v>50</v>
      </c>
      <c r="I12" s="55" t="s">
        <v>7</v>
      </c>
      <c r="J12" s="51" t="s">
        <v>61</v>
      </c>
    </row>
    <row r="13" spans="1:10" ht="19.5" customHeight="1">
      <c r="A13" s="56" t="s">
        <v>9</v>
      </c>
      <c r="B13" s="27" t="s">
        <v>24</v>
      </c>
      <c r="C13" s="68">
        <f>B64</f>
        <v>100</v>
      </c>
      <c r="D13" s="70">
        <f>B61</f>
        <v>3860</v>
      </c>
      <c r="E13" s="70">
        <f>B62</f>
        <v>4720</v>
      </c>
      <c r="F13" s="70">
        <f>B58</f>
        <v>4600</v>
      </c>
      <c r="G13" s="70">
        <f>B59</f>
        <v>2240</v>
      </c>
      <c r="H13" s="70">
        <f>B51</f>
        <v>1510</v>
      </c>
      <c r="I13" s="70">
        <f>B56</f>
        <v>3380</v>
      </c>
      <c r="J13" s="70">
        <f>B43</f>
        <v>5280</v>
      </c>
    </row>
    <row r="14" spans="1:10" ht="19.5" customHeight="1">
      <c r="A14" s="56" t="s">
        <v>11</v>
      </c>
      <c r="B14" s="27" t="s">
        <v>24</v>
      </c>
      <c r="C14" s="68">
        <f>C64</f>
        <v>6156</v>
      </c>
      <c r="D14" s="70">
        <f>C61</f>
        <v>9177</v>
      </c>
      <c r="E14" s="102">
        <f>C62</f>
        <v>8373</v>
      </c>
      <c r="F14" s="70">
        <f>C58</f>
        <v>6220</v>
      </c>
      <c r="G14" s="70">
        <f>C59</f>
        <v>2972</v>
      </c>
      <c r="H14" s="70">
        <f>C51</f>
        <v>1822</v>
      </c>
      <c r="I14" s="102">
        <f>C56</f>
        <v>6522</v>
      </c>
      <c r="J14" s="70">
        <f>C43</f>
        <v>5417.8</v>
      </c>
    </row>
    <row r="15" spans="1:10" ht="19.5" customHeight="1">
      <c r="A15" s="57" t="s">
        <v>10</v>
      </c>
      <c r="B15" s="27">
        <f>ROUND((B8*B6),1)</f>
        <v>177184.1</v>
      </c>
      <c r="C15" s="68">
        <v>71623</v>
      </c>
      <c r="D15" s="69">
        <v>39370</v>
      </c>
      <c r="E15" s="69">
        <v>17238</v>
      </c>
      <c r="F15" s="69">
        <v>12824</v>
      </c>
      <c r="G15" s="69">
        <v>6462</v>
      </c>
      <c r="H15" s="69">
        <v>3062</v>
      </c>
      <c r="I15" s="69">
        <v>8973</v>
      </c>
      <c r="J15" s="69">
        <v>16201</v>
      </c>
    </row>
    <row r="16" spans="1:11" ht="19.5" customHeight="1">
      <c r="A16" s="56" t="s">
        <v>52</v>
      </c>
      <c r="B16" s="70">
        <f>I39</f>
        <v>13267.1</v>
      </c>
      <c r="C16" s="30">
        <f>I64</f>
        <v>0</v>
      </c>
      <c r="D16" s="30">
        <f>I61</f>
        <v>0</v>
      </c>
      <c r="E16" s="30">
        <f>I62</f>
        <v>0</v>
      </c>
      <c r="F16" s="30">
        <f>I58</f>
        <v>0</v>
      </c>
      <c r="G16" s="30">
        <f>I59</f>
        <v>0</v>
      </c>
      <c r="H16" s="30">
        <f>I51</f>
        <v>0</v>
      </c>
      <c r="I16" s="30">
        <f>I56</f>
        <v>0</v>
      </c>
      <c r="J16" s="30">
        <v>0</v>
      </c>
      <c r="K16" s="7" t="s">
        <v>12</v>
      </c>
    </row>
    <row r="17" spans="1:11" ht="19.5" customHeight="1">
      <c r="A17" s="56" t="s">
        <v>51</v>
      </c>
      <c r="B17" s="63">
        <f>ROUND(B16*$B$6,1)</f>
        <v>14406.7</v>
      </c>
      <c r="C17" s="31">
        <f aca="true" t="shared" si="0" ref="C17:I17">ROUND(C16*$B$6,1)</f>
        <v>0</v>
      </c>
      <c r="D17" s="31">
        <f t="shared" si="0"/>
        <v>0</v>
      </c>
      <c r="E17" s="31">
        <f t="shared" si="0"/>
        <v>0</v>
      </c>
      <c r="F17" s="31">
        <f t="shared" si="0"/>
        <v>0</v>
      </c>
      <c r="G17" s="31">
        <f t="shared" si="0"/>
        <v>0</v>
      </c>
      <c r="H17" s="31">
        <f t="shared" si="0"/>
        <v>0</v>
      </c>
      <c r="I17" s="31">
        <f t="shared" si="0"/>
        <v>0</v>
      </c>
      <c r="J17" s="31">
        <f>ROUND(J16*$B$6,1)</f>
        <v>0</v>
      </c>
      <c r="K17" s="6" t="s">
        <v>12</v>
      </c>
    </row>
    <row r="18" spans="1:10" ht="34.5" customHeight="1">
      <c r="A18" s="58" t="s">
        <v>53</v>
      </c>
      <c r="B18" s="32">
        <f>B15-B17</f>
        <v>162777.4</v>
      </c>
      <c r="C18" s="32">
        <f aca="true" t="shared" si="1" ref="C18:I18">C15-C17</f>
        <v>71623</v>
      </c>
      <c r="D18" s="32">
        <f t="shared" si="1"/>
        <v>39370</v>
      </c>
      <c r="E18" s="32">
        <f t="shared" si="1"/>
        <v>17238</v>
      </c>
      <c r="F18" s="32">
        <f t="shared" si="1"/>
        <v>12824</v>
      </c>
      <c r="G18" s="32">
        <f t="shared" si="1"/>
        <v>6462</v>
      </c>
      <c r="H18" s="32">
        <f t="shared" si="1"/>
        <v>3062</v>
      </c>
      <c r="I18" s="32">
        <f t="shared" si="1"/>
        <v>8973</v>
      </c>
      <c r="J18" s="32">
        <f>J15-J17</f>
        <v>16201</v>
      </c>
    </row>
    <row r="19" spans="1:10" ht="19.5" customHeight="1">
      <c r="A19" s="57" t="s">
        <v>48</v>
      </c>
      <c r="B19" s="27">
        <f>ROUND((B18*B9),1)</f>
        <v>4069.4</v>
      </c>
      <c r="C19" s="27">
        <f>H64</f>
        <v>1658.8881441005356</v>
      </c>
      <c r="D19" s="29">
        <f>H61</f>
        <v>903.5153945039689</v>
      </c>
      <c r="E19" s="29">
        <f>H62</f>
        <v>384.1609983662539</v>
      </c>
      <c r="F19" s="29">
        <f>H58</f>
        <v>288.41258191245015</v>
      </c>
      <c r="G19" s="29">
        <f>H59</f>
        <v>138.29361584887081</v>
      </c>
      <c r="H19" s="29">
        <f>H51</f>
        <v>65.63395136386771</v>
      </c>
      <c r="I19" s="29">
        <f>H56</f>
        <v>186.0402319132173</v>
      </c>
      <c r="J19" s="29">
        <f>H43</f>
        <v>360.54287465919145</v>
      </c>
    </row>
    <row r="20" spans="1:10" ht="19.5" customHeight="1">
      <c r="A20" s="59" t="s">
        <v>54</v>
      </c>
      <c r="B20" s="33">
        <v>320.63</v>
      </c>
      <c r="C20" s="33">
        <v>267.61</v>
      </c>
      <c r="D20" s="33">
        <v>313.84</v>
      </c>
      <c r="E20" s="33">
        <v>267.61</v>
      </c>
      <c r="F20" s="33">
        <v>313.84</v>
      </c>
      <c r="G20" s="33">
        <v>313.84</v>
      </c>
      <c r="H20" s="33">
        <v>313.84</v>
      </c>
      <c r="I20" s="33">
        <v>267.61</v>
      </c>
      <c r="J20" s="33">
        <v>358.22</v>
      </c>
    </row>
    <row r="21" spans="1:10" ht="19.5" customHeight="1">
      <c r="A21" s="60" t="s">
        <v>56</v>
      </c>
      <c r="B21" s="33"/>
      <c r="C21" s="33"/>
      <c r="D21" s="33"/>
      <c r="E21" s="33"/>
      <c r="F21" s="33"/>
      <c r="G21" s="33"/>
      <c r="H21" s="33"/>
      <c r="I21" s="33"/>
      <c r="J21" s="33"/>
    </row>
    <row r="22" spans="1:10" ht="19.5" customHeight="1">
      <c r="A22" s="56" t="s">
        <v>25</v>
      </c>
      <c r="B22" s="26">
        <f>ROUND(B$20*1.5,2)</f>
        <v>480.95</v>
      </c>
      <c r="C22" s="26">
        <f aca="true" t="shared" si="2" ref="C22:H22">ROUND(C$20*1.5,2)</f>
        <v>401.42</v>
      </c>
      <c r="D22" s="26">
        <f t="shared" si="2"/>
        <v>470.76</v>
      </c>
      <c r="E22" s="26">
        <f t="shared" si="2"/>
        <v>401.42</v>
      </c>
      <c r="F22" s="26">
        <f t="shared" si="2"/>
        <v>470.76</v>
      </c>
      <c r="G22" s="26">
        <f t="shared" si="2"/>
        <v>470.76</v>
      </c>
      <c r="H22" s="26">
        <f t="shared" si="2"/>
        <v>470.76</v>
      </c>
      <c r="I22" s="26">
        <f>ROUND(I$20*1.5,2)</f>
        <v>401.42</v>
      </c>
      <c r="J22" s="26">
        <f>ROUND(J$20*1.5,2)</f>
        <v>537.33</v>
      </c>
    </row>
    <row r="23" spans="1:10" ht="19.5" customHeight="1">
      <c r="A23" s="56" t="s">
        <v>26</v>
      </c>
      <c r="B23" s="26">
        <f>ROUND(B$20,2)</f>
        <v>320.63</v>
      </c>
      <c r="C23" s="26">
        <f aca="true" t="shared" si="3" ref="C23:H23">ROUND(C$20,2)</f>
        <v>267.61</v>
      </c>
      <c r="D23" s="26">
        <f t="shared" si="3"/>
        <v>313.84</v>
      </c>
      <c r="E23" s="26">
        <f t="shared" si="3"/>
        <v>267.61</v>
      </c>
      <c r="F23" s="26">
        <f t="shared" si="3"/>
        <v>313.84</v>
      </c>
      <c r="G23" s="26">
        <f t="shared" si="3"/>
        <v>313.84</v>
      </c>
      <c r="H23" s="26">
        <f t="shared" si="3"/>
        <v>313.84</v>
      </c>
      <c r="I23" s="26">
        <f>ROUND(I$20,2)</f>
        <v>267.61</v>
      </c>
      <c r="J23" s="26">
        <f>ROUND(J$20,2)</f>
        <v>358.22</v>
      </c>
    </row>
    <row r="24" spans="1:10" ht="19.5" customHeight="1">
      <c r="A24" s="56" t="s">
        <v>27</v>
      </c>
      <c r="B24" s="26">
        <f>ROUND(B$20*0.2,2)</f>
        <v>64.13</v>
      </c>
      <c r="C24" s="26">
        <f aca="true" t="shared" si="4" ref="C24:H24">ROUND(C$20*0.2,2)</f>
        <v>53.52</v>
      </c>
      <c r="D24" s="26">
        <f t="shared" si="4"/>
        <v>62.77</v>
      </c>
      <c r="E24" s="26">
        <f t="shared" si="4"/>
        <v>53.52</v>
      </c>
      <c r="F24" s="26">
        <f t="shared" si="4"/>
        <v>62.77</v>
      </c>
      <c r="G24" s="26">
        <f t="shared" si="4"/>
        <v>62.77</v>
      </c>
      <c r="H24" s="26">
        <f t="shared" si="4"/>
        <v>62.77</v>
      </c>
      <c r="I24" s="26">
        <f>ROUND(I$20*0.2,2)</f>
        <v>53.52</v>
      </c>
      <c r="J24" s="26">
        <f>ROUND(J$20*0.2,2)</f>
        <v>71.64</v>
      </c>
    </row>
    <row r="25" spans="1:10" ht="19.5" customHeight="1">
      <c r="A25" s="56" t="s">
        <v>28</v>
      </c>
      <c r="B25" s="27">
        <f aca="true" t="shared" si="5" ref="B25:I25">ROUND(B$18*(1+$B$4-3%)/(1+$B$4)-B19,1)</f>
        <v>154476.4</v>
      </c>
      <c r="C25" s="27">
        <f t="shared" si="5"/>
        <v>68102.2</v>
      </c>
      <c r="D25" s="27">
        <f t="shared" si="5"/>
        <v>37443</v>
      </c>
      <c r="E25" s="27">
        <f t="shared" si="5"/>
        <v>16405.7</v>
      </c>
      <c r="F25" s="27">
        <f t="shared" si="5"/>
        <v>12202.2</v>
      </c>
      <c r="G25" s="27">
        <f t="shared" si="5"/>
        <v>6155.7</v>
      </c>
      <c r="H25" s="27">
        <f t="shared" si="5"/>
        <v>2916.8</v>
      </c>
      <c r="I25" s="27">
        <f t="shared" si="5"/>
        <v>8553.7</v>
      </c>
      <c r="J25" s="27">
        <f>ROUND(J$18*(1+$B$4-3%)/(1+$B$4)-J19,1)</f>
        <v>15419.3</v>
      </c>
    </row>
    <row r="26" spans="1:12" ht="19.5" customHeight="1">
      <c r="A26" s="56" t="s">
        <v>29</v>
      </c>
      <c r="B26" s="27">
        <f aca="true" t="shared" si="6" ref="B26:I26">ROUND(B$18*(1+$B$4+1%)/(1+$B$4)-B19,1)</f>
        <v>160118.5</v>
      </c>
      <c r="C26" s="27">
        <f t="shared" si="6"/>
        <v>70584.8</v>
      </c>
      <c r="D26" s="27">
        <f t="shared" si="6"/>
        <v>38807.6</v>
      </c>
      <c r="E26" s="27">
        <f t="shared" si="6"/>
        <v>17003.2</v>
      </c>
      <c r="F26" s="27">
        <f t="shared" si="6"/>
        <v>12646.7</v>
      </c>
      <c r="G26" s="27">
        <f t="shared" si="6"/>
        <v>6379.7</v>
      </c>
      <c r="H26" s="27">
        <f t="shared" si="6"/>
        <v>3022.9</v>
      </c>
      <c r="I26" s="27">
        <f t="shared" si="6"/>
        <v>8864.7</v>
      </c>
      <c r="J26" s="27">
        <f>ROUND(J$18*(1+$B$4+1%)/(1+$B$4)-J19,1)</f>
        <v>15980.8</v>
      </c>
      <c r="K26" s="6" t="s">
        <v>12</v>
      </c>
      <c r="L26" s="8" t="s">
        <v>12</v>
      </c>
    </row>
    <row r="27" spans="1:10" ht="19.5" customHeight="1">
      <c r="A27" s="56" t="s">
        <v>30</v>
      </c>
      <c r="B27" s="27">
        <f aca="true" t="shared" si="7" ref="B27:I27">ROUND(B$18*(1+$B$4+5%)/(1+$B$4)-B19,1)</f>
        <v>165760.7</v>
      </c>
      <c r="C27" s="27">
        <f t="shared" si="7"/>
        <v>73067.4</v>
      </c>
      <c r="D27" s="27">
        <f t="shared" si="7"/>
        <v>40172.3</v>
      </c>
      <c r="E27" s="27">
        <f t="shared" si="7"/>
        <v>17600.7</v>
      </c>
      <c r="F27" s="27">
        <f t="shared" si="7"/>
        <v>13091.2</v>
      </c>
      <c r="G27" s="27">
        <f t="shared" si="7"/>
        <v>6603.7</v>
      </c>
      <c r="H27" s="27">
        <f t="shared" si="7"/>
        <v>3129</v>
      </c>
      <c r="I27" s="27">
        <f t="shared" si="7"/>
        <v>9175.7</v>
      </c>
      <c r="J27" s="27">
        <f>ROUND(J$18*(1+$B$4+5%)/(1+$B$4)-J19,1)</f>
        <v>16542.4</v>
      </c>
    </row>
    <row r="28" spans="1:11" ht="19.5" customHeight="1">
      <c r="A28" s="56" t="s">
        <v>59</v>
      </c>
      <c r="B28" s="52" t="s">
        <v>24</v>
      </c>
      <c r="C28" s="28">
        <v>159</v>
      </c>
      <c r="D28" s="28" t="s">
        <v>24</v>
      </c>
      <c r="E28" s="25" t="s">
        <v>24</v>
      </c>
      <c r="F28" s="25" t="s">
        <v>24</v>
      </c>
      <c r="G28" s="25" t="s">
        <v>24</v>
      </c>
      <c r="H28" s="25" t="s">
        <v>24</v>
      </c>
      <c r="I28" s="25" t="s">
        <v>24</v>
      </c>
      <c r="J28" s="25" t="s">
        <v>24</v>
      </c>
      <c r="K28" s="6" t="s">
        <v>12</v>
      </c>
    </row>
    <row r="29" spans="1:11" ht="19.5" customHeight="1">
      <c r="A29" s="56" t="s">
        <v>67</v>
      </c>
      <c r="B29" s="101">
        <f>'Updated Min Res Req''ments'!B17</f>
        <v>146633.3</v>
      </c>
      <c r="C29" s="101">
        <f>'Updated Min Res Req''ments'!C17</f>
        <v>57914.8</v>
      </c>
      <c r="D29" s="101">
        <f>'Updated Min Res Req''ments'!D17</f>
        <v>26055</v>
      </c>
      <c r="E29" s="104">
        <f>'Updated Min Res Req''ments'!E17</f>
        <v>6722</v>
      </c>
      <c r="F29" s="101">
        <f>'Updated Min Res Req''ments'!F17</f>
        <v>5264.2</v>
      </c>
      <c r="G29" s="101">
        <f>'Updated Min Res Req''ments'!G17</f>
        <v>2955.3</v>
      </c>
      <c r="H29" s="101">
        <f>'Updated Min Res Req''ments'!H17</f>
        <v>1100.3</v>
      </c>
      <c r="I29" s="104">
        <f>'Updated Min Res Req''ments'!I17</f>
        <v>1382.4</v>
      </c>
      <c r="J29" s="101">
        <f>'Updated Min Res Req''ments'!J17</f>
        <v>9556.8</v>
      </c>
      <c r="K29" s="6"/>
    </row>
    <row r="30" spans="1:11" ht="19.5" customHeight="1">
      <c r="A30" s="56" t="s">
        <v>68</v>
      </c>
      <c r="B30" s="101">
        <f>'Updated Min Res Req''ments'!B18</f>
        <v>140343.9</v>
      </c>
      <c r="C30" s="101">
        <f>'Updated Min Res Req''ments'!C18</f>
        <v>54115.4</v>
      </c>
      <c r="D30" s="101">
        <f>'Updated Min Res Req''ments'!D18</f>
        <v>21935.6</v>
      </c>
      <c r="E30" s="104">
        <f>'Updated Min Res Req''ments'!E18</f>
        <v>5786.5</v>
      </c>
      <c r="F30" s="101">
        <f>'Updated Min Res Req''ments'!F18</f>
        <v>3863.2</v>
      </c>
      <c r="G30" s="101">
        <f>'Updated Min Res Req''ments'!G18</f>
        <v>2295.8</v>
      </c>
      <c r="H30" s="101">
        <f>'Updated Min Res Req''ments'!H18</f>
        <v>955.3</v>
      </c>
      <c r="I30" s="104">
        <f>'Updated Min Res Req''ments'!I18</f>
        <v>406.3</v>
      </c>
      <c r="J30" s="101">
        <f>'Updated Min Res Req''ments'!J18</f>
        <v>8895.6</v>
      </c>
      <c r="K30" s="6"/>
    </row>
    <row r="31" spans="1:11" ht="19.5" customHeight="1">
      <c r="A31" s="60" t="s">
        <v>78</v>
      </c>
      <c r="B31" s="19"/>
      <c r="C31" s="19"/>
      <c r="D31" s="19"/>
      <c r="E31" s="19"/>
      <c r="F31" s="19"/>
      <c r="G31" s="19"/>
      <c r="H31" s="19"/>
      <c r="I31" s="19"/>
      <c r="J31" s="19"/>
      <c r="K31" s="6"/>
    </row>
    <row r="32" spans="1:11" ht="19.5" customHeight="1">
      <c r="A32" s="56" t="s">
        <v>79</v>
      </c>
      <c r="B32" s="52" t="s">
        <v>24</v>
      </c>
      <c r="C32" s="24">
        <f>ROUND((C15-C14)/(F64*$B$6),3)</f>
        <v>0.987</v>
      </c>
      <c r="D32" s="24">
        <f>ROUND((D15-D14)/(F61*$B$6),3)</f>
        <v>0.835</v>
      </c>
      <c r="E32" s="24">
        <f>ROUND((E15-E14)/(F62*$B$6),3)</f>
        <v>0.577</v>
      </c>
      <c r="F32" s="24">
        <f>ROUND((F15-F14)/(F58*$B$6),3)</f>
        <v>0.572</v>
      </c>
      <c r="G32" s="24">
        <f>ROUND((G15-G14)/(F59*$B$6),3)</f>
        <v>0.631</v>
      </c>
      <c r="H32" s="25">
        <f>ROUND((H15-H14)/(F51*$B$6),3)</f>
        <v>0.472</v>
      </c>
      <c r="I32" s="24">
        <f>ROUND((I15-I14)/(F56*$B$6),3)</f>
        <v>0.329</v>
      </c>
      <c r="J32" s="24">
        <f>ROUND((J15-J14)/(F43*$B$6),3)</f>
        <v>0.748</v>
      </c>
      <c r="K32" s="6"/>
    </row>
    <row r="33" spans="1:11" ht="19.5" customHeight="1">
      <c r="A33" s="61" t="s">
        <v>80</v>
      </c>
      <c r="B33" s="20">
        <f>'Updated Min Res Req''ments'!B20</f>
        <v>0.9534010051810263</v>
      </c>
      <c r="C33" s="20" t="str">
        <f>'Updated Min Res Req''ments'!C20</f>
        <v>NA</v>
      </c>
      <c r="D33" s="20" t="str">
        <f>'Updated Min Res Req''ments'!D20</f>
        <v>NA</v>
      </c>
      <c r="E33" s="20" t="str">
        <f>'Updated Min Res Req''ments'!E20</f>
        <v>NA</v>
      </c>
      <c r="F33" s="20" t="str">
        <f>'Updated Min Res Req''ments'!F20</f>
        <v>NA</v>
      </c>
      <c r="G33" s="20" t="str">
        <f>'Updated Min Res Req''ments'!G20</f>
        <v>NA</v>
      </c>
      <c r="H33" s="20" t="str">
        <f>'Updated Min Res Req''ments'!H20</f>
        <v>NA</v>
      </c>
      <c r="I33" s="20" t="str">
        <f>'Updated Min Res Req''ments'!I20</f>
        <v>NA</v>
      </c>
      <c r="J33" s="20" t="str">
        <f>'Updated Min Res Req''ments'!J20</f>
        <v>NA</v>
      </c>
      <c r="K33" s="6"/>
    </row>
    <row r="34" spans="1:11" ht="19.5" customHeight="1">
      <c r="A34" s="77" t="s">
        <v>81</v>
      </c>
      <c r="B34" s="78">
        <f>'Updated Min Res Req''ments'!B21</f>
        <v>0.9125080097276415</v>
      </c>
      <c r="C34" s="78" t="str">
        <f>'Updated Min Res Req''ments'!C21</f>
        <v>NA</v>
      </c>
      <c r="D34" s="78" t="str">
        <f>'Updated Min Res Req''ments'!D21</f>
        <v>NA</v>
      </c>
      <c r="E34" s="78" t="str">
        <f>'Updated Min Res Req''ments'!E21</f>
        <v>NA</v>
      </c>
      <c r="F34" s="78" t="str">
        <f>'Updated Min Res Req''ments'!F21</f>
        <v>NA</v>
      </c>
      <c r="G34" s="78" t="str">
        <f>'Updated Min Res Req''ments'!G21</f>
        <v>NA</v>
      </c>
      <c r="H34" s="78" t="str">
        <f>'Updated Min Res Req''ments'!H21</f>
        <v>NA</v>
      </c>
      <c r="I34" s="78" t="str">
        <f>'Updated Min Res Req''ments'!I21</f>
        <v>NA</v>
      </c>
      <c r="J34" s="78" t="str">
        <f>'Updated Min Res Req''ments'!J21</f>
        <v>NA</v>
      </c>
      <c r="K34" s="6"/>
    </row>
    <row r="35" spans="1:10" ht="19.5" customHeight="1">
      <c r="A35" s="288" t="s">
        <v>60</v>
      </c>
      <c r="B35" s="288"/>
      <c r="C35" s="288"/>
      <c r="D35" s="288"/>
      <c r="E35" s="288"/>
      <c r="F35" s="288"/>
      <c r="G35" s="288"/>
      <c r="H35" s="288"/>
      <c r="I35" s="289"/>
      <c r="J35" s="289"/>
    </row>
    <row r="36" spans="1:13" ht="19.5" customHeight="1">
      <c r="A36" s="288" t="s">
        <v>55</v>
      </c>
      <c r="B36" s="288"/>
      <c r="C36" s="288"/>
      <c r="D36" s="288"/>
      <c r="E36" s="288"/>
      <c r="F36" s="288"/>
      <c r="G36" s="288"/>
      <c r="H36" s="288"/>
      <c r="I36" s="289"/>
      <c r="J36" s="289"/>
      <c r="M36" s="8" t="s">
        <v>12</v>
      </c>
    </row>
    <row r="37" spans="1:10" ht="18" customHeight="1">
      <c r="A37" s="288" t="s">
        <v>77</v>
      </c>
      <c r="B37" s="288"/>
      <c r="C37" s="288"/>
      <c r="D37" s="288"/>
      <c r="E37" s="288"/>
      <c r="F37" s="288"/>
      <c r="G37" s="288"/>
      <c r="H37" s="288"/>
      <c r="I37" s="289"/>
      <c r="J37" s="289"/>
    </row>
    <row r="38" spans="1:12" s="3" customFormat="1" ht="84.75" customHeight="1">
      <c r="A38" s="79" t="s">
        <v>40</v>
      </c>
      <c r="B38" s="75" t="s">
        <v>9</v>
      </c>
      <c r="C38" s="75" t="s">
        <v>90</v>
      </c>
      <c r="D38" s="75" t="s">
        <v>57</v>
      </c>
      <c r="E38" s="75" t="s">
        <v>82</v>
      </c>
      <c r="F38" s="75" t="s">
        <v>31</v>
      </c>
      <c r="G38" s="75" t="s">
        <v>32</v>
      </c>
      <c r="H38" s="75" t="s">
        <v>48</v>
      </c>
      <c r="I38" s="75" t="s">
        <v>64</v>
      </c>
      <c r="J38" s="75" t="s">
        <v>111</v>
      </c>
      <c r="K38" s="85" t="s">
        <v>12</v>
      </c>
      <c r="L38" s="4" t="s">
        <v>12</v>
      </c>
    </row>
    <row r="39" spans="1:12" s="3" customFormat="1" ht="19.5" customHeight="1">
      <c r="A39" s="80" t="s">
        <v>13</v>
      </c>
      <c r="B39" s="35" t="s">
        <v>24</v>
      </c>
      <c r="C39" s="35" t="s">
        <v>24</v>
      </c>
      <c r="D39" s="9" t="s">
        <v>24</v>
      </c>
      <c r="E39" s="12">
        <f>E40+E41+E42+E43+E44+E45+E46+E47+E48+E49+E50+E52+E53+E54+E55+E56+E57+E58+E60</f>
        <v>151995</v>
      </c>
      <c r="F39" s="12">
        <f>F40+F41+F42+F43+F44+F45+F46+F47+F48+F49+F50+F52+F53+F54+F55+F56+F57+F58+F60</f>
        <v>163168</v>
      </c>
      <c r="G39" s="21" t="s">
        <v>24</v>
      </c>
      <c r="H39" s="12">
        <f>B19</f>
        <v>4069.4</v>
      </c>
      <c r="I39" s="12">
        <f>I40+I41+I42+I43+I44+I45+I46+I47+I48+I49+I50+I52+I53+I54+I55+I56+I57+I58+I60</f>
        <v>13267.1</v>
      </c>
      <c r="J39" s="12">
        <f>J40+J41+J42+J43+J44+J45+J46+J47+J48+J49+J50+J52+J53+J54+J55+J56+J57+J58+J60</f>
        <v>149900.90000000002</v>
      </c>
      <c r="K39" s="4" t="s">
        <v>12</v>
      </c>
      <c r="L39" s="5" t="s">
        <v>12</v>
      </c>
    </row>
    <row r="40" spans="1:14" s="2" customFormat="1" ht="19.5" customHeight="1">
      <c r="A40" s="31" t="s">
        <v>2</v>
      </c>
      <c r="B40" s="64">
        <v>760</v>
      </c>
      <c r="C40" s="64" t="s">
        <v>93</v>
      </c>
      <c r="D40" s="11" t="s">
        <v>58</v>
      </c>
      <c r="E40" s="11">
        <v>2520</v>
      </c>
      <c r="F40" s="11">
        <v>2735</v>
      </c>
      <c r="G40" s="22">
        <f>F40/E40</f>
        <v>1.0853174603174602</v>
      </c>
      <c r="H40" s="11">
        <f>$H$39*J40/$J$39</f>
        <v>74.24777969978831</v>
      </c>
      <c r="I40" s="9">
        <v>0</v>
      </c>
      <c r="J40" s="11">
        <f>F40-I40</f>
        <v>2735</v>
      </c>
      <c r="K40" s="100" t="s">
        <v>12</v>
      </c>
      <c r="N40" s="2" t="s">
        <v>12</v>
      </c>
    </row>
    <row r="41" spans="1:12" s="2" customFormat="1" ht="19.5" customHeight="1">
      <c r="A41" s="81" t="s">
        <v>65</v>
      </c>
      <c r="B41" s="65">
        <v>580</v>
      </c>
      <c r="C41" s="66" t="s">
        <v>95</v>
      </c>
      <c r="D41" s="11" t="s">
        <v>58</v>
      </c>
      <c r="E41" s="36">
        <v>22460</v>
      </c>
      <c r="F41" s="36">
        <v>23991</v>
      </c>
      <c r="G41" s="22">
        <f aca="true" t="shared" si="8" ref="G41:G50">F41/E41</f>
        <v>1.068165627782725</v>
      </c>
      <c r="H41" s="11">
        <f>$H$39*J41/$J$39</f>
        <v>315.6222892591038</v>
      </c>
      <c r="I41" s="62">
        <v>12364.7</v>
      </c>
      <c r="J41" s="11">
        <f>F41-I41</f>
        <v>11626.3</v>
      </c>
      <c r="K41" s="100" t="s">
        <v>12</v>
      </c>
      <c r="L41" s="8" t="s">
        <v>12</v>
      </c>
    </row>
    <row r="42" spans="1:14" s="2" customFormat="1" ht="19.5" customHeight="1">
      <c r="A42" s="81" t="s">
        <v>0</v>
      </c>
      <c r="B42" s="66">
        <v>840</v>
      </c>
      <c r="C42" s="66" t="s">
        <v>94</v>
      </c>
      <c r="D42" s="11" t="s">
        <v>58</v>
      </c>
      <c r="E42" s="36">
        <v>8210</v>
      </c>
      <c r="F42" s="36">
        <v>8753</v>
      </c>
      <c r="G42" s="22">
        <f t="shared" si="8"/>
        <v>1.0661388550548112</v>
      </c>
      <c r="H42" s="11">
        <f aca="true" t="shared" si="9" ref="H42:H60">$H$39*J42/$J$39</f>
        <v>237.62004230795142</v>
      </c>
      <c r="I42" s="9">
        <v>0</v>
      </c>
      <c r="J42" s="11">
        <f aca="true" t="shared" si="10" ref="J42:J60">F42-I42</f>
        <v>8753</v>
      </c>
      <c r="K42" s="100" t="s">
        <v>12</v>
      </c>
      <c r="L42" s="8" t="s">
        <v>12</v>
      </c>
      <c r="N42" s="2" t="s">
        <v>12</v>
      </c>
    </row>
    <row r="43" spans="1:14" s="2" customFormat="1" ht="19.5" customHeight="1">
      <c r="A43" s="81" t="s">
        <v>61</v>
      </c>
      <c r="B43" s="66">
        <v>5280</v>
      </c>
      <c r="C43" s="66">
        <v>5417.8</v>
      </c>
      <c r="D43" s="37">
        <f>C43/B43</f>
        <v>1.0260984848484849</v>
      </c>
      <c r="E43" s="36">
        <v>12620</v>
      </c>
      <c r="F43" s="36">
        <v>13281</v>
      </c>
      <c r="G43" s="22">
        <f t="shared" si="8"/>
        <v>1.052377179080824</v>
      </c>
      <c r="H43" s="11">
        <f t="shared" si="9"/>
        <v>360.54287465919145</v>
      </c>
      <c r="I43" s="9">
        <v>0</v>
      </c>
      <c r="J43" s="11">
        <f t="shared" si="10"/>
        <v>13281</v>
      </c>
      <c r="K43" s="100" t="s">
        <v>12</v>
      </c>
      <c r="L43"/>
      <c r="M43" s="2" t="s">
        <v>12</v>
      </c>
      <c r="N43" s="2" t="s">
        <v>12</v>
      </c>
    </row>
    <row r="44" spans="1:14" s="2" customFormat="1" ht="19.5" customHeight="1">
      <c r="A44" s="31" t="s">
        <v>3</v>
      </c>
      <c r="B44" s="10">
        <v>3630</v>
      </c>
      <c r="C44" s="34" t="s">
        <v>85</v>
      </c>
      <c r="D44" s="11" t="s">
        <v>58</v>
      </c>
      <c r="E44" s="11">
        <v>6960</v>
      </c>
      <c r="F44" s="11">
        <v>7298</v>
      </c>
      <c r="G44" s="22">
        <f t="shared" si="8"/>
        <v>1.0485632183908047</v>
      </c>
      <c r="H44" s="11">
        <f t="shared" si="9"/>
        <v>198.1207664530366</v>
      </c>
      <c r="I44" s="9">
        <v>0</v>
      </c>
      <c r="J44" s="11">
        <f t="shared" si="10"/>
        <v>7298</v>
      </c>
      <c r="K44" s="100" t="s">
        <v>12</v>
      </c>
      <c r="N44" s="2" t="s">
        <v>12</v>
      </c>
    </row>
    <row r="45" spans="1:14" s="2" customFormat="1" ht="19.5" customHeight="1">
      <c r="A45" s="31" t="s">
        <v>18</v>
      </c>
      <c r="B45" s="64">
        <v>1740</v>
      </c>
      <c r="C45" s="66" t="s">
        <v>96</v>
      </c>
      <c r="D45" s="11" t="s">
        <v>58</v>
      </c>
      <c r="E45" s="11">
        <v>21480</v>
      </c>
      <c r="F45" s="11">
        <v>23563</v>
      </c>
      <c r="G45" s="22">
        <f t="shared" si="8"/>
        <v>1.096973929236499</v>
      </c>
      <c r="H45" s="11">
        <f t="shared" si="9"/>
        <v>639.6710907005894</v>
      </c>
      <c r="I45" s="9">
        <v>0</v>
      </c>
      <c r="J45" s="11">
        <f t="shared" si="10"/>
        <v>23563</v>
      </c>
      <c r="K45" s="100" t="s">
        <v>12</v>
      </c>
      <c r="L45" s="5" t="s">
        <v>12</v>
      </c>
      <c r="N45" s="2" t="s">
        <v>12</v>
      </c>
    </row>
    <row r="46" spans="1:14" s="2" customFormat="1" ht="19.5" customHeight="1">
      <c r="A46" s="31" t="s">
        <v>19</v>
      </c>
      <c r="B46" s="64">
        <v>440</v>
      </c>
      <c r="C46" s="66" t="s">
        <v>97</v>
      </c>
      <c r="D46" s="11" t="s">
        <v>58</v>
      </c>
      <c r="E46" s="11">
        <v>3180</v>
      </c>
      <c r="F46" s="11">
        <v>3498</v>
      </c>
      <c r="G46" s="22">
        <f t="shared" si="8"/>
        <v>1.1</v>
      </c>
      <c r="H46" s="11">
        <f t="shared" si="9"/>
        <v>94.96114566356839</v>
      </c>
      <c r="I46" s="9">
        <v>0</v>
      </c>
      <c r="J46" s="11">
        <f t="shared" si="10"/>
        <v>3498</v>
      </c>
      <c r="K46" s="100" t="s">
        <v>12</v>
      </c>
      <c r="L46" s="5" t="s">
        <v>12</v>
      </c>
      <c r="N46" s="2" t="s">
        <v>12</v>
      </c>
    </row>
    <row r="47" spans="1:12" s="2" customFormat="1" ht="19.5" customHeight="1">
      <c r="A47" s="31" t="s">
        <v>83</v>
      </c>
      <c r="B47" s="10">
        <v>2840</v>
      </c>
      <c r="C47" s="34" t="s">
        <v>104</v>
      </c>
      <c r="D47" s="11" t="s">
        <v>58</v>
      </c>
      <c r="E47" s="11">
        <v>5250</v>
      </c>
      <c r="F47" s="11">
        <v>5665</v>
      </c>
      <c r="G47" s="22">
        <f t="shared" si="8"/>
        <v>1.079047619047619</v>
      </c>
      <c r="H47" s="11">
        <f>$H$39*J47/$J$39</f>
        <v>129.29158157155825</v>
      </c>
      <c r="I47" s="9">
        <v>902.4</v>
      </c>
      <c r="J47" s="11">
        <f t="shared" si="10"/>
        <v>4762.6</v>
      </c>
      <c r="K47" s="100" t="s">
        <v>12</v>
      </c>
      <c r="L47" s="5" t="s">
        <v>12</v>
      </c>
    </row>
    <row r="48" spans="1:14" s="2" customFormat="1" ht="19.5" customHeight="1">
      <c r="A48" s="31" t="s">
        <v>4</v>
      </c>
      <c r="B48" s="64">
        <v>1370</v>
      </c>
      <c r="C48" s="66" t="s">
        <v>105</v>
      </c>
      <c r="D48" s="11" t="s">
        <v>58</v>
      </c>
      <c r="E48" s="11">
        <v>2800</v>
      </c>
      <c r="F48" s="11">
        <v>2969</v>
      </c>
      <c r="G48" s="22">
        <f t="shared" si="8"/>
        <v>1.0603571428571428</v>
      </c>
      <c r="H48" s="11">
        <f t="shared" si="9"/>
        <v>80.60024055892926</v>
      </c>
      <c r="I48" s="9">
        <v>0</v>
      </c>
      <c r="J48" s="11">
        <f t="shared" si="10"/>
        <v>2969</v>
      </c>
      <c r="K48" s="100" t="s">
        <v>12</v>
      </c>
      <c r="L48" s="2" t="s">
        <v>12</v>
      </c>
      <c r="N48" s="2" t="s">
        <v>12</v>
      </c>
    </row>
    <row r="49" spans="1:14" s="2" customFormat="1" ht="19.5" customHeight="1">
      <c r="A49" s="31" t="s">
        <v>20</v>
      </c>
      <c r="B49" s="76" t="s">
        <v>35</v>
      </c>
      <c r="C49" s="34" t="s">
        <v>35</v>
      </c>
      <c r="D49" s="11" t="s">
        <v>24</v>
      </c>
      <c r="E49" s="11">
        <v>18530</v>
      </c>
      <c r="F49" s="11">
        <v>20341</v>
      </c>
      <c r="G49" s="22">
        <f t="shared" si="8"/>
        <v>1.097733405288721</v>
      </c>
      <c r="H49" s="11">
        <f t="shared" si="9"/>
        <v>552.2025911785719</v>
      </c>
      <c r="I49" s="9">
        <v>0</v>
      </c>
      <c r="J49" s="11">
        <f t="shared" si="10"/>
        <v>20341</v>
      </c>
      <c r="K49" s="100" t="s">
        <v>12</v>
      </c>
      <c r="L49" s="5" t="s">
        <v>12</v>
      </c>
      <c r="N49" s="2" t="s">
        <v>12</v>
      </c>
    </row>
    <row r="50" spans="1:14" s="2" customFormat="1" ht="19.5" customHeight="1">
      <c r="A50" s="31" t="s">
        <v>1</v>
      </c>
      <c r="B50" s="64">
        <v>1230</v>
      </c>
      <c r="C50" s="66" t="s">
        <v>98</v>
      </c>
      <c r="D50" s="11" t="s">
        <v>58</v>
      </c>
      <c r="E50" s="11">
        <v>3920</v>
      </c>
      <c r="F50" s="11">
        <v>4175</v>
      </c>
      <c r="G50" s="22">
        <f t="shared" si="8"/>
        <v>1.0650510204081634</v>
      </c>
      <c r="H50" s="11">
        <f t="shared" si="9"/>
        <v>113.33984652527101</v>
      </c>
      <c r="I50" s="9">
        <v>0</v>
      </c>
      <c r="J50" s="11">
        <f t="shared" si="10"/>
        <v>4175</v>
      </c>
      <c r="K50" s="100" t="s">
        <v>12</v>
      </c>
      <c r="L50" s="2" t="s">
        <v>12</v>
      </c>
      <c r="N50" s="2" t="s">
        <v>43</v>
      </c>
    </row>
    <row r="51" spans="1:14" s="2" customFormat="1" ht="19.5" customHeight="1">
      <c r="A51" s="31" t="s">
        <v>50</v>
      </c>
      <c r="B51" s="64">
        <v>1510</v>
      </c>
      <c r="C51" s="66">
        <v>1822</v>
      </c>
      <c r="D51" s="37">
        <f>C51/B51</f>
        <v>1.2066225165562914</v>
      </c>
      <c r="E51" s="11" t="s">
        <v>24</v>
      </c>
      <c r="F51" s="11">
        <f>ROUND(F50*0.5791,1)</f>
        <v>2417.7</v>
      </c>
      <c r="G51" s="22" t="s">
        <v>24</v>
      </c>
      <c r="H51" s="11">
        <f t="shared" si="9"/>
        <v>65.63395136386771</v>
      </c>
      <c r="I51" s="9">
        <v>0</v>
      </c>
      <c r="J51" s="11">
        <f t="shared" si="10"/>
        <v>2417.7</v>
      </c>
      <c r="K51" s="100" t="s">
        <v>12</v>
      </c>
      <c r="L51" s="2" t="s">
        <v>12</v>
      </c>
      <c r="N51" s="2" t="s">
        <v>12</v>
      </c>
    </row>
    <row r="52" spans="1:14" s="2" customFormat="1" ht="19.5" customHeight="1">
      <c r="A52" s="31" t="s">
        <v>5</v>
      </c>
      <c r="B52" s="64">
        <v>3530</v>
      </c>
      <c r="C52" s="64" t="s">
        <v>99</v>
      </c>
      <c r="D52" s="11" t="s">
        <v>58</v>
      </c>
      <c r="E52" s="11">
        <v>5960</v>
      </c>
      <c r="F52" s="11">
        <v>6349</v>
      </c>
      <c r="G52" s="22">
        <f aca="true" t="shared" si="11" ref="G52:G58">F52/E52</f>
        <v>1.065268456375839</v>
      </c>
      <c r="H52" s="11">
        <f t="shared" si="9"/>
        <v>172.35800852429836</v>
      </c>
      <c r="I52" s="9">
        <v>0</v>
      </c>
      <c r="J52" s="11">
        <f t="shared" si="10"/>
        <v>6349</v>
      </c>
      <c r="K52" s="100" t="s">
        <v>12</v>
      </c>
      <c r="L52" s="2" t="s">
        <v>12</v>
      </c>
      <c r="N52" s="2" t="s">
        <v>12</v>
      </c>
    </row>
    <row r="53" spans="1:14" s="2" customFormat="1" ht="19.5" customHeight="1">
      <c r="A53" s="31" t="s">
        <v>21</v>
      </c>
      <c r="B53" s="64">
        <v>1070</v>
      </c>
      <c r="C53" s="66" t="s">
        <v>100</v>
      </c>
      <c r="D53" s="11" t="s">
        <v>58</v>
      </c>
      <c r="E53" s="11">
        <v>2800</v>
      </c>
      <c r="F53" s="11">
        <v>3061</v>
      </c>
      <c r="G53" s="22">
        <f t="shared" si="11"/>
        <v>1.0932142857142857</v>
      </c>
      <c r="H53" s="11">
        <f t="shared" si="9"/>
        <v>83.09778927277954</v>
      </c>
      <c r="I53" s="9">
        <v>0</v>
      </c>
      <c r="J53" s="11">
        <f t="shared" si="10"/>
        <v>3061</v>
      </c>
      <c r="K53" s="100" t="s">
        <v>12</v>
      </c>
      <c r="L53" s="2" t="s">
        <v>12</v>
      </c>
      <c r="N53" s="2" t="s">
        <v>12</v>
      </c>
    </row>
    <row r="54" spans="1:14" s="2" customFormat="1" ht="19.5" customHeight="1">
      <c r="A54" s="31" t="s">
        <v>6</v>
      </c>
      <c r="B54" s="64">
        <v>2490</v>
      </c>
      <c r="C54" s="66" t="s">
        <v>101</v>
      </c>
      <c r="D54" s="11" t="s">
        <v>58</v>
      </c>
      <c r="E54" s="11">
        <v>8370</v>
      </c>
      <c r="F54" s="11">
        <v>8977</v>
      </c>
      <c r="G54" s="22">
        <f t="shared" si="11"/>
        <v>1.072520908004779</v>
      </c>
      <c r="H54" s="11">
        <f t="shared" si="9"/>
        <v>243.70103048080432</v>
      </c>
      <c r="I54" s="9">
        <v>0</v>
      </c>
      <c r="J54" s="11">
        <f t="shared" si="10"/>
        <v>8977</v>
      </c>
      <c r="K54" s="100" t="s">
        <v>12</v>
      </c>
      <c r="L54" s="2" t="s">
        <v>12</v>
      </c>
      <c r="N54" s="2" t="s">
        <v>12</v>
      </c>
    </row>
    <row r="55" spans="1:14" s="2" customFormat="1" ht="19.5" customHeight="1">
      <c r="A55" s="31" t="s">
        <v>22</v>
      </c>
      <c r="B55" s="64">
        <v>880</v>
      </c>
      <c r="C55" s="66" t="s">
        <v>112</v>
      </c>
      <c r="D55" s="11" t="s">
        <v>58</v>
      </c>
      <c r="E55" s="11">
        <v>2720</v>
      </c>
      <c r="F55" s="11">
        <v>3029</v>
      </c>
      <c r="G55" s="22">
        <f t="shared" si="11"/>
        <v>1.1136029411764705</v>
      </c>
      <c r="H55" s="11">
        <f t="shared" si="9"/>
        <v>82.2290766766577</v>
      </c>
      <c r="I55" s="9">
        <v>0</v>
      </c>
      <c r="J55" s="11">
        <f t="shared" si="10"/>
        <v>3029</v>
      </c>
      <c r="K55" s="100" t="s">
        <v>12</v>
      </c>
      <c r="L55" s="5" t="s">
        <v>12</v>
      </c>
      <c r="N55" s="2" t="s">
        <v>43</v>
      </c>
    </row>
    <row r="56" spans="1:14" s="2" customFormat="1" ht="19.5" customHeight="1">
      <c r="A56" s="31" t="s">
        <v>7</v>
      </c>
      <c r="B56" s="64">
        <v>3380</v>
      </c>
      <c r="C56" s="105">
        <v>6522</v>
      </c>
      <c r="D56" s="37">
        <f>C56/B56</f>
        <v>1.929585798816568</v>
      </c>
      <c r="E56" s="11">
        <v>6600</v>
      </c>
      <c r="F56" s="11">
        <v>6853</v>
      </c>
      <c r="G56" s="22">
        <f t="shared" si="11"/>
        <v>1.0383333333333333</v>
      </c>
      <c r="H56" s="11">
        <f t="shared" si="9"/>
        <v>186.0402319132173</v>
      </c>
      <c r="I56" s="9">
        <v>0</v>
      </c>
      <c r="J56" s="11">
        <f t="shared" si="10"/>
        <v>6853</v>
      </c>
      <c r="K56" s="100" t="s">
        <v>12</v>
      </c>
      <c r="L56" s="2" t="s">
        <v>12</v>
      </c>
      <c r="N56" s="2" t="s">
        <v>12</v>
      </c>
    </row>
    <row r="57" spans="1:14" s="2" customFormat="1" ht="19.5" customHeight="1">
      <c r="A57" s="31" t="s">
        <v>33</v>
      </c>
      <c r="B57" s="64">
        <v>500</v>
      </c>
      <c r="C57" s="66" t="s">
        <v>102</v>
      </c>
      <c r="D57" s="11" t="s">
        <v>58</v>
      </c>
      <c r="E57" s="11">
        <f>6880+185</f>
        <v>7065</v>
      </c>
      <c r="F57" s="11">
        <f>7388+196</f>
        <v>7584</v>
      </c>
      <c r="G57" s="22">
        <f t="shared" si="11"/>
        <v>1.0734607218683652</v>
      </c>
      <c r="H57" s="11">
        <f t="shared" si="9"/>
        <v>205.88488528087555</v>
      </c>
      <c r="I57" s="9">
        <v>0</v>
      </c>
      <c r="J57" s="11">
        <f t="shared" si="10"/>
        <v>7584</v>
      </c>
      <c r="K57" s="100" t="s">
        <v>12</v>
      </c>
      <c r="L57" s="2" t="s">
        <v>12</v>
      </c>
      <c r="N57" s="2" t="s">
        <v>12</v>
      </c>
    </row>
    <row r="58" spans="1:14" s="2" customFormat="1" ht="19.5" customHeight="1">
      <c r="A58" s="31" t="s">
        <v>8</v>
      </c>
      <c r="B58" s="64">
        <v>4600</v>
      </c>
      <c r="C58" s="64">
        <v>6220</v>
      </c>
      <c r="D58" s="38">
        <f>C58/B58</f>
        <v>1.3521739130434782</v>
      </c>
      <c r="E58" s="11">
        <v>10150</v>
      </c>
      <c r="F58" s="11">
        <v>10624</v>
      </c>
      <c r="G58" s="22">
        <f t="shared" si="11"/>
        <v>1.0466995073891625</v>
      </c>
      <c r="H58" s="11">
        <f>$H$39*J58/$J$39</f>
        <v>288.41258191245015</v>
      </c>
      <c r="I58" s="9">
        <v>0</v>
      </c>
      <c r="J58" s="11">
        <f t="shared" si="10"/>
        <v>10624</v>
      </c>
      <c r="K58" s="100" t="s">
        <v>12</v>
      </c>
      <c r="N58" s="2" t="s">
        <v>12</v>
      </c>
    </row>
    <row r="59" spans="1:14" s="2" customFormat="1" ht="19.5" customHeight="1">
      <c r="A59" s="31" t="s">
        <v>49</v>
      </c>
      <c r="B59" s="64">
        <v>2240</v>
      </c>
      <c r="C59" s="64">
        <v>2972</v>
      </c>
      <c r="D59" s="38">
        <f>C59/B59</f>
        <v>1.3267857142857142</v>
      </c>
      <c r="E59" s="11" t="s">
        <v>24</v>
      </c>
      <c r="F59" s="11">
        <f>ROUND(F58*0.4795,1)</f>
        <v>5094.2</v>
      </c>
      <c r="G59" s="22" t="s">
        <v>24</v>
      </c>
      <c r="H59" s="11">
        <f t="shared" si="9"/>
        <v>138.29361584887081</v>
      </c>
      <c r="I59" s="9">
        <v>0</v>
      </c>
      <c r="J59" s="11">
        <f t="shared" si="10"/>
        <v>5094.2</v>
      </c>
      <c r="K59" s="100" t="s">
        <v>12</v>
      </c>
      <c r="L59" s="2" t="s">
        <v>12</v>
      </c>
      <c r="N59" s="2" t="s">
        <v>12</v>
      </c>
    </row>
    <row r="60" spans="1:14" s="2" customFormat="1" ht="19.5" customHeight="1">
      <c r="A60" s="31" t="s">
        <v>41</v>
      </c>
      <c r="B60" s="67" t="s">
        <v>24</v>
      </c>
      <c r="C60" s="64" t="s">
        <v>24</v>
      </c>
      <c r="D60" s="11" t="s">
        <v>24</v>
      </c>
      <c r="E60" s="11">
        <v>400</v>
      </c>
      <c r="F60" s="11">
        <v>422</v>
      </c>
      <c r="G60" s="22">
        <f>F60/E60</f>
        <v>1.055</v>
      </c>
      <c r="H60" s="11">
        <f t="shared" si="9"/>
        <v>11.456147361356734</v>
      </c>
      <c r="I60" s="9">
        <v>0</v>
      </c>
      <c r="J60" s="11">
        <f t="shared" si="10"/>
        <v>422</v>
      </c>
      <c r="K60" s="100" t="s">
        <v>12</v>
      </c>
      <c r="N60" s="2" t="s">
        <v>12</v>
      </c>
    </row>
    <row r="61" spans="1:14" s="2" customFormat="1" ht="19.5" customHeight="1">
      <c r="A61" s="31" t="s">
        <v>16</v>
      </c>
      <c r="B61" s="64">
        <v>3860</v>
      </c>
      <c r="C61" s="64">
        <v>9177</v>
      </c>
      <c r="D61" s="38">
        <f>C61/B61</f>
        <v>2.377461139896373</v>
      </c>
      <c r="E61" s="11" t="s">
        <v>24</v>
      </c>
      <c r="F61" s="11">
        <f>F40+F50+F52+F54+F58+F60</f>
        <v>33282</v>
      </c>
      <c r="G61" s="23" t="s">
        <v>24</v>
      </c>
      <c r="H61" s="11">
        <f>H40+H50+H52+H54+H58+H60</f>
        <v>903.5153945039689</v>
      </c>
      <c r="I61" s="11">
        <f>I40+I50+I52+I54+I58+I60</f>
        <v>0</v>
      </c>
      <c r="J61" s="284" t="s">
        <v>76</v>
      </c>
      <c r="K61" s="100" t="s">
        <v>12</v>
      </c>
      <c r="N61" s="2" t="s">
        <v>12</v>
      </c>
    </row>
    <row r="62" spans="1:14" s="2" customFormat="1" ht="19.5" customHeight="1">
      <c r="A62" s="31" t="s">
        <v>14</v>
      </c>
      <c r="B62" s="64">
        <v>4720</v>
      </c>
      <c r="C62" s="105">
        <v>8373</v>
      </c>
      <c r="D62" s="38">
        <f>C62/B62</f>
        <v>1.7739406779661018</v>
      </c>
      <c r="E62" s="11" t="s">
        <v>24</v>
      </c>
      <c r="F62" s="11">
        <f>F44+F56</f>
        <v>14151</v>
      </c>
      <c r="G62" s="23" t="s">
        <v>24</v>
      </c>
      <c r="H62" s="11">
        <f>H44+H56</f>
        <v>384.1609983662539</v>
      </c>
      <c r="I62" s="11">
        <f>I44+I56</f>
        <v>0</v>
      </c>
      <c r="J62" s="285"/>
      <c r="K62" s="100" t="s">
        <v>12</v>
      </c>
      <c r="M62" s="2" t="s">
        <v>12</v>
      </c>
      <c r="N62" s="2" t="s">
        <v>12</v>
      </c>
    </row>
    <row r="63" spans="1:14" s="2" customFormat="1" ht="19.5" customHeight="1">
      <c r="A63" s="81" t="s">
        <v>15</v>
      </c>
      <c r="B63" s="86" t="s">
        <v>35</v>
      </c>
      <c r="C63" s="34" t="s">
        <v>35</v>
      </c>
      <c r="D63" s="11" t="s">
        <v>24</v>
      </c>
      <c r="E63" s="11" t="s">
        <v>24</v>
      </c>
      <c r="F63" s="11">
        <f>F53+F55+F57</f>
        <v>13674</v>
      </c>
      <c r="G63" s="23" t="s">
        <v>24</v>
      </c>
      <c r="H63" s="11">
        <f>H53+H55+H57</f>
        <v>371.21175123031276</v>
      </c>
      <c r="I63" s="11">
        <f>I53+I55+I57</f>
        <v>0</v>
      </c>
      <c r="J63" s="285"/>
      <c r="K63" s="100" t="s">
        <v>12</v>
      </c>
      <c r="N63" s="2" t="s">
        <v>12</v>
      </c>
    </row>
    <row r="64" spans="1:14" s="2" customFormat="1" ht="19.5" customHeight="1">
      <c r="A64" s="31" t="s">
        <v>17</v>
      </c>
      <c r="B64" s="64">
        <v>100</v>
      </c>
      <c r="C64" s="64">
        <v>6156</v>
      </c>
      <c r="D64" s="38">
        <f>C64/B64</f>
        <v>61.56</v>
      </c>
      <c r="E64" s="11" t="s">
        <v>24</v>
      </c>
      <c r="F64" s="11">
        <f>F61+F62+F63</f>
        <v>61107</v>
      </c>
      <c r="G64" s="23" t="s">
        <v>24</v>
      </c>
      <c r="H64" s="11">
        <f>H61+H62+H63</f>
        <v>1658.8881441005356</v>
      </c>
      <c r="I64" s="11">
        <f>I61+I62+I63</f>
        <v>0</v>
      </c>
      <c r="J64" s="285"/>
      <c r="K64" s="100" t="s">
        <v>12</v>
      </c>
      <c r="N64" s="2" t="s">
        <v>12</v>
      </c>
    </row>
    <row r="65" spans="1:14" s="2" customFormat="1" ht="19.5" customHeight="1">
      <c r="A65" s="81" t="s">
        <v>34</v>
      </c>
      <c r="B65" s="65">
        <v>4440</v>
      </c>
      <c r="C65" s="66" t="s">
        <v>113</v>
      </c>
      <c r="D65" s="11" t="s">
        <v>58</v>
      </c>
      <c r="E65" s="11" t="s">
        <v>24</v>
      </c>
      <c r="F65" s="11">
        <f>F41+F42+F43+F45+F46+F47+F48</f>
        <v>81720</v>
      </c>
      <c r="G65" s="23" t="s">
        <v>24</v>
      </c>
      <c r="H65" s="11">
        <f>H41+H42+H43+H45+H46+H47+H48</f>
        <v>1858.3092647208919</v>
      </c>
      <c r="I65" s="11">
        <f>I41+I42+I43+I45+I46+I47+I48</f>
        <v>13267.1</v>
      </c>
      <c r="J65" s="285"/>
      <c r="K65" s="100" t="s">
        <v>12</v>
      </c>
      <c r="L65" s="2" t="s">
        <v>12</v>
      </c>
      <c r="N65" s="2" t="s">
        <v>12</v>
      </c>
    </row>
    <row r="66" spans="1:10" ht="15">
      <c r="A66" s="290" t="s">
        <v>88</v>
      </c>
      <c r="B66" s="290"/>
      <c r="C66" s="71"/>
      <c r="D66" s="71"/>
      <c r="E66" s="71"/>
      <c r="F66" s="71"/>
      <c r="G66" s="71"/>
      <c r="H66" s="82"/>
      <c r="I66" s="82"/>
      <c r="J66" s="83"/>
    </row>
    <row r="67" spans="1:10" ht="15">
      <c r="A67" s="84" t="s">
        <v>46</v>
      </c>
      <c r="B67" s="294" t="s">
        <v>47</v>
      </c>
      <c r="C67" s="294"/>
      <c r="D67" s="294"/>
      <c r="E67" s="294"/>
      <c r="F67" s="294"/>
      <c r="G67" s="294"/>
      <c r="H67" s="289"/>
      <c r="I67" s="289"/>
      <c r="J67" s="289"/>
    </row>
    <row r="68" spans="1:10" ht="15">
      <c r="A68" s="31" t="s">
        <v>17</v>
      </c>
      <c r="B68" s="286" t="s">
        <v>116</v>
      </c>
      <c r="C68" s="286"/>
      <c r="D68" s="286"/>
      <c r="E68" s="286"/>
      <c r="F68" s="286"/>
      <c r="G68" s="286"/>
      <c r="H68" s="286"/>
      <c r="I68" s="287"/>
      <c r="J68" s="287"/>
    </row>
    <row r="69" spans="1:10" ht="15">
      <c r="A69" s="31" t="s">
        <v>16</v>
      </c>
      <c r="B69" s="286" t="s">
        <v>117</v>
      </c>
      <c r="C69" s="286"/>
      <c r="D69" s="286"/>
      <c r="E69" s="286"/>
      <c r="F69" s="286"/>
      <c r="G69" s="286"/>
      <c r="H69" s="286"/>
      <c r="I69" s="287"/>
      <c r="J69" s="287"/>
    </row>
    <row r="70" spans="1:10" ht="15">
      <c r="A70" s="31" t="s">
        <v>14</v>
      </c>
      <c r="B70" s="292" t="s">
        <v>121</v>
      </c>
      <c r="C70" s="292"/>
      <c r="D70" s="292"/>
      <c r="E70" s="292"/>
      <c r="F70" s="292"/>
      <c r="G70" s="292"/>
      <c r="H70" s="292"/>
      <c r="I70" s="293"/>
      <c r="J70" s="293"/>
    </row>
    <row r="71" spans="1:10" ht="15">
      <c r="A71" s="31" t="s">
        <v>8</v>
      </c>
      <c r="B71" s="286" t="s">
        <v>115</v>
      </c>
      <c r="C71" s="286"/>
      <c r="D71" s="286"/>
      <c r="E71" s="286"/>
      <c r="F71" s="286"/>
      <c r="G71" s="286"/>
      <c r="H71" s="286"/>
      <c r="I71" s="287"/>
      <c r="J71" s="287"/>
    </row>
    <row r="72" spans="1:10" ht="15">
      <c r="A72" s="31" t="s">
        <v>114</v>
      </c>
      <c r="B72" s="286" t="s">
        <v>115</v>
      </c>
      <c r="C72" s="286"/>
      <c r="D72" s="286"/>
      <c r="E72" s="286"/>
      <c r="F72" s="286"/>
      <c r="G72" s="286"/>
      <c r="H72" s="286"/>
      <c r="I72" s="287"/>
      <c r="J72" s="287"/>
    </row>
    <row r="73" spans="1:10" ht="15">
      <c r="A73" s="31" t="s">
        <v>23</v>
      </c>
      <c r="B73" s="286" t="s">
        <v>118</v>
      </c>
      <c r="C73" s="286"/>
      <c r="D73" s="286"/>
      <c r="E73" s="286"/>
      <c r="F73" s="286"/>
      <c r="G73" s="286"/>
      <c r="H73" s="286"/>
      <c r="I73" s="287"/>
      <c r="J73" s="287"/>
    </row>
    <row r="74" spans="1:10" ht="15">
      <c r="A74" s="31" t="s">
        <v>7</v>
      </c>
      <c r="B74" s="292" t="s">
        <v>121</v>
      </c>
      <c r="C74" s="292"/>
      <c r="D74" s="292"/>
      <c r="E74" s="292"/>
      <c r="F74" s="292"/>
      <c r="G74" s="292"/>
      <c r="H74" s="292"/>
      <c r="I74" s="293"/>
      <c r="J74" s="293"/>
    </row>
    <row r="75" spans="1:10" ht="15">
      <c r="A75" s="81" t="s">
        <v>61</v>
      </c>
      <c r="B75" s="286" t="s">
        <v>92</v>
      </c>
      <c r="C75" s="286"/>
      <c r="D75" s="286"/>
      <c r="E75" s="286"/>
      <c r="F75" s="286"/>
      <c r="G75" s="286"/>
      <c r="H75" s="286"/>
      <c r="I75" s="287"/>
      <c r="J75" s="287"/>
    </row>
    <row r="76" spans="1:10" ht="15.75" customHeight="1">
      <c r="A76" s="291" t="s">
        <v>123</v>
      </c>
      <c r="B76" s="291"/>
      <c r="C76" s="291"/>
      <c r="D76" s="291"/>
      <c r="E76" s="291"/>
      <c r="F76" s="291"/>
      <c r="G76" s="291"/>
      <c r="H76" s="291"/>
      <c r="I76" s="291"/>
      <c r="J76" s="291"/>
    </row>
    <row r="77" spans="1:10" ht="15" customHeight="1">
      <c r="A77" s="291"/>
      <c r="B77" s="291"/>
      <c r="C77" s="291"/>
      <c r="D77" s="291"/>
      <c r="E77" s="291"/>
      <c r="F77" s="291"/>
      <c r="G77" s="291"/>
      <c r="H77" s="291"/>
      <c r="I77" s="291"/>
      <c r="J77" s="291"/>
    </row>
    <row r="78" spans="1:10" ht="12.75">
      <c r="A78" s="291"/>
      <c r="B78" s="291"/>
      <c r="C78" s="291"/>
      <c r="D78" s="291"/>
      <c r="E78" s="291"/>
      <c r="F78" s="291"/>
      <c r="G78" s="291"/>
      <c r="H78" s="291"/>
      <c r="I78" s="291"/>
      <c r="J78" s="291"/>
    </row>
    <row r="79" spans="1:10" ht="12.75">
      <c r="A79" s="291"/>
      <c r="B79" s="291"/>
      <c r="C79" s="291"/>
      <c r="D79" s="291"/>
      <c r="E79" s="291"/>
      <c r="F79" s="291"/>
      <c r="G79" s="291"/>
      <c r="H79" s="291"/>
      <c r="I79" s="291"/>
      <c r="J79" s="291"/>
    </row>
    <row r="80" spans="1:10" ht="12.75">
      <c r="A80" s="291"/>
      <c r="B80" s="291"/>
      <c r="C80" s="291"/>
      <c r="D80" s="291"/>
      <c r="E80" s="291"/>
      <c r="F80" s="291"/>
      <c r="G80" s="291"/>
      <c r="H80" s="291"/>
      <c r="I80" s="291"/>
      <c r="J80" s="291"/>
    </row>
    <row r="81" spans="1:10" ht="12.75">
      <c r="A81" s="291"/>
      <c r="B81" s="291"/>
      <c r="C81" s="291"/>
      <c r="D81" s="291"/>
      <c r="E81" s="291"/>
      <c r="F81" s="291"/>
      <c r="G81" s="291"/>
      <c r="H81" s="291"/>
      <c r="I81" s="291"/>
      <c r="J81" s="291"/>
    </row>
  </sheetData>
  <sheetProtection/>
  <mergeCells count="25">
    <mergeCell ref="A76:J81"/>
    <mergeCell ref="B68:J68"/>
    <mergeCell ref="B69:J69"/>
    <mergeCell ref="B70:J70"/>
    <mergeCell ref="B72:J72"/>
    <mergeCell ref="B67:J67"/>
    <mergeCell ref="B74:J74"/>
    <mergeCell ref="B71:J71"/>
    <mergeCell ref="A1:F1"/>
    <mergeCell ref="J61:J65"/>
    <mergeCell ref="B73:J73"/>
    <mergeCell ref="B75:J75"/>
    <mergeCell ref="A35:J35"/>
    <mergeCell ref="A36:J36"/>
    <mergeCell ref="A37:J37"/>
    <mergeCell ref="C10:J10"/>
    <mergeCell ref="A66:B66"/>
    <mergeCell ref="C11:J11"/>
    <mergeCell ref="C3:J3"/>
    <mergeCell ref="C4:J4"/>
    <mergeCell ref="C5:J5"/>
    <mergeCell ref="C6:J6"/>
    <mergeCell ref="C8:J8"/>
    <mergeCell ref="C9:J9"/>
    <mergeCell ref="C7:J7"/>
  </mergeCells>
  <printOptions gridLines="1" horizontalCentered="1" verticalCentered="1"/>
  <pageMargins left="0.25" right="0.25" top="0.25" bottom="0.25" header="0.3" footer="0.3"/>
  <pageSetup fitToHeight="1" fitToWidth="1" horizontalDpi="600" verticalDpi="600" orientation="portrait" scale="47" r:id="rId1"/>
  <rowBreaks count="1" manualBreakCount="1">
    <brk id="36" max="255" man="1"/>
  </rowBreaks>
  <colBreaks count="1" manualBreakCount="1">
    <brk id="7" max="80" man="1"/>
  </colBreaks>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 sqref="A1:B1"/>
    </sheetView>
  </sheetViews>
  <sheetFormatPr defaultColWidth="9.140625" defaultRowHeight="12.75"/>
  <cols>
    <col min="1" max="1" width="71.140625" style="0" customWidth="1"/>
    <col min="2" max="2" width="14.57421875" style="0" customWidth="1"/>
    <col min="3" max="10" width="15.7109375" style="0" customWidth="1"/>
  </cols>
  <sheetData>
    <row r="1" spans="1:5" ht="19.5" customHeight="1">
      <c r="A1" s="295" t="s">
        <v>201</v>
      </c>
      <c r="B1" s="295"/>
      <c r="C1" s="8"/>
      <c r="D1" s="16" t="s">
        <v>12</v>
      </c>
      <c r="E1" s="18" t="s">
        <v>12</v>
      </c>
    </row>
    <row r="2" spans="1:10" ht="19.5" customHeight="1">
      <c r="A2" s="45" t="s">
        <v>69</v>
      </c>
      <c r="B2" s="195">
        <f>'3rd IA Parameters'!B6</f>
        <v>1.0913</v>
      </c>
      <c r="C2" s="196" t="s">
        <v>12</v>
      </c>
      <c r="D2" s="197"/>
      <c r="E2" s="197" t="s">
        <v>12</v>
      </c>
      <c r="F2" s="110"/>
      <c r="G2" s="109" t="s">
        <v>12</v>
      </c>
      <c r="H2" s="110"/>
      <c r="I2" s="110"/>
      <c r="J2" s="110"/>
    </row>
    <row r="3" spans="1:10" ht="19.5" customHeight="1">
      <c r="A3" s="87" t="s">
        <v>70</v>
      </c>
      <c r="B3" s="88">
        <f>'3rd IA Parameters'!B7</f>
        <v>0.951</v>
      </c>
      <c r="C3" s="196"/>
      <c r="D3" s="197"/>
      <c r="E3" s="197"/>
      <c r="F3" s="110"/>
      <c r="G3" s="110"/>
      <c r="H3" s="110"/>
      <c r="I3" s="110"/>
      <c r="J3" s="110"/>
    </row>
    <row r="4" spans="1:10" ht="19.5" customHeight="1">
      <c r="A4" s="89" t="s">
        <v>110</v>
      </c>
      <c r="B4" s="51" t="s">
        <v>71</v>
      </c>
      <c r="C4" s="51" t="s">
        <v>17</v>
      </c>
      <c r="D4" s="51" t="s">
        <v>16</v>
      </c>
      <c r="E4" s="51" t="s">
        <v>14</v>
      </c>
      <c r="F4" s="51" t="s">
        <v>8</v>
      </c>
      <c r="G4" s="51" t="s">
        <v>49</v>
      </c>
      <c r="H4" s="51" t="s">
        <v>50</v>
      </c>
      <c r="I4" s="51" t="s">
        <v>7</v>
      </c>
      <c r="J4" s="51" t="s">
        <v>61</v>
      </c>
    </row>
    <row r="5" spans="1:10" ht="19.5" customHeight="1">
      <c r="A5" s="106" t="s">
        <v>53</v>
      </c>
      <c r="B5" s="90">
        <f>'3rd IA Parameters'!B18</f>
        <v>153800.2</v>
      </c>
      <c r="C5" s="90">
        <f>'3rd IA Parameters'!C18</f>
        <v>67692</v>
      </c>
      <c r="D5" s="90">
        <f>'3rd IA Parameters'!D18</f>
        <v>37243</v>
      </c>
      <c r="E5" s="90">
        <f>'3rd IA Parameters'!E18</f>
        <v>16058</v>
      </c>
      <c r="F5" s="90">
        <f>'3rd IA Parameters'!F18</f>
        <v>12195</v>
      </c>
      <c r="G5" s="90">
        <f>'3rd IA Parameters'!G18</f>
        <v>6272</v>
      </c>
      <c r="H5" s="90">
        <f>'3rd IA Parameters'!H18</f>
        <v>3065</v>
      </c>
      <c r="I5" s="90">
        <f>'3rd IA Parameters'!I18</f>
        <v>8336</v>
      </c>
      <c r="J5" s="90">
        <f>'3rd IA Parameters'!J18</f>
        <v>15649</v>
      </c>
    </row>
    <row r="6" spans="1:10" ht="19.5" customHeight="1">
      <c r="A6" s="91" t="s">
        <v>11</v>
      </c>
      <c r="B6" s="90" t="s">
        <v>24</v>
      </c>
      <c r="C6" s="90">
        <f>'3rd IA Parameters'!C14</f>
        <v>6156</v>
      </c>
      <c r="D6" s="90">
        <f>'3rd IA Parameters'!D14</f>
        <v>9177</v>
      </c>
      <c r="E6" s="90">
        <f>'3rd IA Parameters'!E14</f>
        <v>8373</v>
      </c>
      <c r="F6" s="90">
        <f>'3rd IA Parameters'!F14</f>
        <v>6220</v>
      </c>
      <c r="G6" s="90">
        <f>'3rd IA Parameters'!G14</f>
        <v>2972</v>
      </c>
      <c r="H6" s="90">
        <f>'3rd IA Parameters'!H14</f>
        <v>1822</v>
      </c>
      <c r="I6" s="90">
        <f>'3rd IA Parameters'!I14</f>
        <v>6522</v>
      </c>
      <c r="J6" s="90">
        <f>'3rd IA Parameters'!J14</f>
        <v>5417.8</v>
      </c>
    </row>
    <row r="7" spans="1:10" ht="19.5" customHeight="1">
      <c r="A7" s="91" t="s">
        <v>213</v>
      </c>
      <c r="B7" s="92">
        <f>'3rd IA Parameters'!B8</f>
        <v>155823.3</v>
      </c>
      <c r="C7" s="92">
        <v>57201</v>
      </c>
      <c r="D7" s="92">
        <v>31254</v>
      </c>
      <c r="E7" s="92">
        <v>13256</v>
      </c>
      <c r="F7" s="92">
        <v>9926</v>
      </c>
      <c r="G7" s="92">
        <v>4814.1</v>
      </c>
      <c r="H7" s="92">
        <v>2329.9</v>
      </c>
      <c r="I7" s="92">
        <v>6398</v>
      </c>
      <c r="J7" s="92">
        <v>12742</v>
      </c>
    </row>
    <row r="8" spans="1:10" ht="19.5" customHeight="1">
      <c r="A8" s="91" t="s">
        <v>72</v>
      </c>
      <c r="B8" s="92">
        <f>'3rd IA Parameters'!B16</f>
        <v>14890.3</v>
      </c>
      <c r="C8" s="92">
        <f>'BRA Parameters'!C16</f>
        <v>0</v>
      </c>
      <c r="D8" s="92">
        <f>'BRA Parameters'!D16</f>
        <v>0</v>
      </c>
      <c r="E8" s="92">
        <f>'BRA Parameters'!E16</f>
        <v>0</v>
      </c>
      <c r="F8" s="92">
        <f>'BRA Parameters'!F16</f>
        <v>0</v>
      </c>
      <c r="G8" s="92">
        <f>'BRA Parameters'!G16</f>
        <v>0</v>
      </c>
      <c r="H8" s="92">
        <f>'BRA Parameters'!H16</f>
        <v>0</v>
      </c>
      <c r="I8" s="92">
        <f>'BRA Parameters'!I16</f>
        <v>0</v>
      </c>
      <c r="J8" s="92">
        <f>'BRA Parameters'!J16</f>
        <v>0</v>
      </c>
    </row>
    <row r="9" spans="1:10" ht="19.5" customHeight="1">
      <c r="A9" s="91" t="s">
        <v>73</v>
      </c>
      <c r="B9" s="92">
        <f aca="true" t="shared" si="0" ref="B9:J9">B7-B8</f>
        <v>140933</v>
      </c>
      <c r="C9" s="92">
        <f t="shared" si="0"/>
        <v>57201</v>
      </c>
      <c r="D9" s="92">
        <f t="shared" si="0"/>
        <v>31254</v>
      </c>
      <c r="E9" s="92">
        <f t="shared" si="0"/>
        <v>13256</v>
      </c>
      <c r="F9" s="92">
        <f t="shared" si="0"/>
        <v>9926</v>
      </c>
      <c r="G9" s="92">
        <f t="shared" si="0"/>
        <v>4814.1</v>
      </c>
      <c r="H9" s="92">
        <f t="shared" si="0"/>
        <v>2329.9</v>
      </c>
      <c r="I9" s="92">
        <f t="shared" si="0"/>
        <v>6398</v>
      </c>
      <c r="J9" s="92">
        <f t="shared" si="0"/>
        <v>12742</v>
      </c>
    </row>
    <row r="10" spans="1:10" ht="19.5" customHeight="1">
      <c r="A10" s="93" t="s">
        <v>109</v>
      </c>
      <c r="B10" s="94"/>
      <c r="C10" s="94"/>
      <c r="D10" s="94"/>
      <c r="E10" s="94"/>
      <c r="F10" s="94"/>
      <c r="G10" s="94"/>
      <c r="H10" s="94"/>
      <c r="I10" s="94"/>
      <c r="J10" s="94"/>
    </row>
    <row r="11" spans="1:10" ht="19.5" customHeight="1">
      <c r="A11" s="91" t="s">
        <v>214</v>
      </c>
      <c r="B11" s="95">
        <v>0.049</v>
      </c>
      <c r="C11" s="95">
        <v>0.061</v>
      </c>
      <c r="D11" s="95">
        <v>0.062</v>
      </c>
      <c r="E11" s="95">
        <v>0.07</v>
      </c>
      <c r="F11" s="95">
        <v>0.069</v>
      </c>
      <c r="G11" s="95">
        <v>0.069</v>
      </c>
      <c r="H11" s="95">
        <v>0.059</v>
      </c>
      <c r="I11" s="95">
        <v>0.065</v>
      </c>
      <c r="J11" s="95">
        <v>0.051</v>
      </c>
    </row>
    <row r="12" spans="1:10" ht="19.5" customHeight="1">
      <c r="A12" s="91" t="s">
        <v>74</v>
      </c>
      <c r="B12" s="96">
        <f>B9*B11*$B$2*$B$3</f>
        <v>7166.9347229571</v>
      </c>
      <c r="C12" s="96">
        <f aca="true" t="shared" si="1" ref="C12:I12">C9*C11*$B$2*$B$3</f>
        <v>3621.2468333642996</v>
      </c>
      <c r="D12" s="96">
        <f t="shared" si="1"/>
        <v>2011.0458371723998</v>
      </c>
      <c r="E12" s="96">
        <f t="shared" si="1"/>
        <v>963.0197802959999</v>
      </c>
      <c r="F12" s="96">
        <f t="shared" si="1"/>
        <v>710.8010059121999</v>
      </c>
      <c r="G12" s="96">
        <f t="shared" si="1"/>
        <v>344.73777176727</v>
      </c>
      <c r="H12" s="96">
        <f t="shared" si="1"/>
        <v>142.66385828582997</v>
      </c>
      <c r="I12" s="96">
        <f t="shared" si="1"/>
        <v>431.600823381</v>
      </c>
      <c r="J12" s="96">
        <f>J9*J11*$B$2*$B$3</f>
        <v>674.4231184445999</v>
      </c>
    </row>
    <row r="13" spans="1:10" ht="19.5" customHeight="1">
      <c r="A13" s="93" t="s">
        <v>107</v>
      </c>
      <c r="B13" s="97"/>
      <c r="C13" s="97"/>
      <c r="D13" s="97"/>
      <c r="E13" s="97"/>
      <c r="F13" s="97"/>
      <c r="G13" s="97"/>
      <c r="H13" s="97"/>
      <c r="I13" s="97"/>
      <c r="J13" s="97"/>
    </row>
    <row r="14" spans="1:10" ht="19.5" customHeight="1">
      <c r="A14" s="91" t="s">
        <v>214</v>
      </c>
      <c r="B14" s="95">
        <v>0.092</v>
      </c>
      <c r="C14" s="95">
        <v>0.125</v>
      </c>
      <c r="D14" s="95">
        <v>0.189</v>
      </c>
      <c r="E14" s="95">
        <v>0.138</v>
      </c>
      <c r="F14" s="95">
        <v>0.205</v>
      </c>
      <c r="G14" s="95">
        <v>0.201</v>
      </c>
      <c r="H14" s="95">
        <v>0.119</v>
      </c>
      <c r="I14" s="95">
        <v>0.212</v>
      </c>
      <c r="J14" s="95">
        <v>0.101</v>
      </c>
    </row>
    <row r="15" spans="1:10" ht="19.5" customHeight="1">
      <c r="A15" s="91" t="s">
        <v>74</v>
      </c>
      <c r="B15" s="98">
        <f>B9*B14*$B$2*$B$3</f>
        <v>13456.285602286798</v>
      </c>
      <c r="C15" s="98">
        <f aca="true" t="shared" si="2" ref="C15:I15">C9*C14*$B$2*$B$3</f>
        <v>7420.587773287499</v>
      </c>
      <c r="D15" s="98">
        <f t="shared" si="2"/>
        <v>6130.4461810578</v>
      </c>
      <c r="E15" s="98">
        <f t="shared" si="2"/>
        <v>1898.5247097264</v>
      </c>
      <c r="F15" s="98">
        <f t="shared" si="2"/>
        <v>2111.800090029</v>
      </c>
      <c r="G15" s="98">
        <f t="shared" si="2"/>
        <v>1004.23611775683</v>
      </c>
      <c r="H15" s="98">
        <f t="shared" si="2"/>
        <v>287.74574806802997</v>
      </c>
      <c r="I15" s="98">
        <f t="shared" si="2"/>
        <v>1407.6826854887997</v>
      </c>
      <c r="J15" s="98">
        <f>J9*J14*$B$2*$B$3</f>
        <v>1335.6222541746</v>
      </c>
    </row>
    <row r="16" spans="1:10" ht="19.5" customHeight="1">
      <c r="A16" s="99" t="s">
        <v>86</v>
      </c>
      <c r="B16" s="97"/>
      <c r="C16" s="97"/>
      <c r="D16" s="97"/>
      <c r="E16" s="97"/>
      <c r="F16" s="97"/>
      <c r="G16" s="97"/>
      <c r="H16" s="97"/>
      <c r="I16" s="97"/>
      <c r="J16" s="97"/>
    </row>
    <row r="17" spans="1:10" ht="19.5" customHeight="1">
      <c r="A17" s="91" t="s">
        <v>66</v>
      </c>
      <c r="B17" s="98">
        <f>ROUND(B5-B12,1)</f>
        <v>146633.3</v>
      </c>
      <c r="C17" s="98">
        <f>ROUND(C5-C6-C12,1)</f>
        <v>57914.8</v>
      </c>
      <c r="D17" s="98">
        <f aca="true" t="shared" si="3" ref="D17:I17">ROUND(D5-D6-D12,1)</f>
        <v>26055</v>
      </c>
      <c r="E17" s="98">
        <f t="shared" si="3"/>
        <v>6722</v>
      </c>
      <c r="F17" s="98">
        <f t="shared" si="3"/>
        <v>5264.2</v>
      </c>
      <c r="G17" s="98">
        <f t="shared" si="3"/>
        <v>2955.3</v>
      </c>
      <c r="H17" s="98">
        <f t="shared" si="3"/>
        <v>1100.3</v>
      </c>
      <c r="I17" s="98">
        <f t="shared" si="3"/>
        <v>1382.4</v>
      </c>
      <c r="J17" s="98">
        <f>ROUND(J5-J6-J12,1)</f>
        <v>9556.8</v>
      </c>
    </row>
    <row r="18" spans="1:10" ht="19.5" customHeight="1">
      <c r="A18" s="91" t="s">
        <v>75</v>
      </c>
      <c r="B18" s="98">
        <f>ROUND(B5-B15,1)</f>
        <v>140343.9</v>
      </c>
      <c r="C18" s="98">
        <f>ROUND(C5-C6-C15,1)</f>
        <v>54115.4</v>
      </c>
      <c r="D18" s="98">
        <f aca="true" t="shared" si="4" ref="D18:I18">ROUND(D5-D6-D15,1)</f>
        <v>21935.6</v>
      </c>
      <c r="E18" s="98">
        <f t="shared" si="4"/>
        <v>5786.5</v>
      </c>
      <c r="F18" s="98">
        <f t="shared" si="4"/>
        <v>3863.2</v>
      </c>
      <c r="G18" s="98">
        <f t="shared" si="4"/>
        <v>2295.8</v>
      </c>
      <c r="H18" s="98">
        <f t="shared" si="4"/>
        <v>955.3</v>
      </c>
      <c r="I18" s="98">
        <f t="shared" si="4"/>
        <v>406.3</v>
      </c>
      <c r="J18" s="98">
        <f>ROUND(J5-J6-J15,1)</f>
        <v>8895.6</v>
      </c>
    </row>
    <row r="19" spans="1:10" ht="19.5" customHeight="1">
      <c r="A19" s="93" t="s">
        <v>108</v>
      </c>
      <c r="B19" s="97"/>
      <c r="C19" s="97"/>
      <c r="D19" s="97"/>
      <c r="E19" s="97"/>
      <c r="F19" s="97"/>
      <c r="G19" s="97"/>
      <c r="H19" s="97"/>
      <c r="I19" s="97"/>
      <c r="J19" s="97"/>
    </row>
    <row r="20" spans="1:10" ht="19.5" customHeight="1">
      <c r="A20" s="91" t="s">
        <v>66</v>
      </c>
      <c r="B20" s="161">
        <f>(B5-B9*B11*$B$2*$B$3)/B5</f>
        <v>0.9534010051810263</v>
      </c>
      <c r="C20" s="52" t="s">
        <v>24</v>
      </c>
      <c r="D20" s="52" t="s">
        <v>24</v>
      </c>
      <c r="E20" s="52" t="s">
        <v>24</v>
      </c>
      <c r="F20" s="52" t="s">
        <v>24</v>
      </c>
      <c r="G20" s="52" t="s">
        <v>24</v>
      </c>
      <c r="H20" s="52" t="s">
        <v>24</v>
      </c>
      <c r="I20" s="52" t="s">
        <v>24</v>
      </c>
      <c r="J20" s="52" t="s">
        <v>24</v>
      </c>
    </row>
    <row r="21" spans="1:10" ht="19.5" customHeight="1">
      <c r="A21" s="91" t="s">
        <v>75</v>
      </c>
      <c r="B21" s="161">
        <f>(B5-B9*B14*$B$2*$B$3)/B5</f>
        <v>0.9125080097276415</v>
      </c>
      <c r="C21" s="52" t="s">
        <v>24</v>
      </c>
      <c r="D21" s="52" t="s">
        <v>24</v>
      </c>
      <c r="E21" s="52" t="s">
        <v>24</v>
      </c>
      <c r="F21" s="52" t="s">
        <v>24</v>
      </c>
      <c r="G21" s="52" t="s">
        <v>24</v>
      </c>
      <c r="H21" s="52" t="s">
        <v>24</v>
      </c>
      <c r="I21" s="52" t="s">
        <v>24</v>
      </c>
      <c r="J21" s="52" t="s">
        <v>24</v>
      </c>
    </row>
    <row r="22" spans="1:10" ht="12.75">
      <c r="A22" s="198"/>
      <c r="B22" s="199"/>
      <c r="C22" s="199"/>
      <c r="D22" s="199"/>
      <c r="E22" s="199"/>
      <c r="F22" s="199"/>
      <c r="G22" s="199"/>
      <c r="H22" s="199"/>
      <c r="I22" s="199"/>
      <c r="J22" s="110"/>
    </row>
    <row r="23" spans="1:10" ht="12.75">
      <c r="A23" s="110"/>
      <c r="B23" s="109" t="s">
        <v>12</v>
      </c>
      <c r="C23" s="109" t="s">
        <v>12</v>
      </c>
      <c r="D23" s="110"/>
      <c r="E23" s="110"/>
      <c r="F23" s="110"/>
      <c r="G23" s="110"/>
      <c r="H23" s="110"/>
      <c r="I23" s="110"/>
      <c r="J23" s="110"/>
    </row>
    <row r="24" spans="1:10" ht="19.5" customHeight="1">
      <c r="A24" s="99" t="s">
        <v>218</v>
      </c>
      <c r="B24" s="51" t="s">
        <v>71</v>
      </c>
      <c r="C24" s="51" t="s">
        <v>17</v>
      </c>
      <c r="D24" s="51" t="s">
        <v>16</v>
      </c>
      <c r="E24" s="51" t="s">
        <v>14</v>
      </c>
      <c r="F24" s="51" t="s">
        <v>8</v>
      </c>
      <c r="G24" s="51" t="s">
        <v>49</v>
      </c>
      <c r="H24" s="51" t="s">
        <v>50</v>
      </c>
      <c r="I24" s="51" t="s">
        <v>7</v>
      </c>
      <c r="J24" s="51" t="s">
        <v>61</v>
      </c>
    </row>
    <row r="25" spans="1:10" ht="19.5" customHeight="1">
      <c r="A25" s="80" t="s">
        <v>133</v>
      </c>
      <c r="B25" s="162">
        <f>9247.2-1373.9+49.1-107.8</f>
        <v>7814.600000000001</v>
      </c>
      <c r="C25" s="162">
        <f>3936.1-475-61.3-7.8</f>
        <v>3391.9999999999995</v>
      </c>
      <c r="D25" s="162">
        <f>1530.7-378.5-6.9-3.1</f>
        <v>1142.2</v>
      </c>
      <c r="E25" s="162">
        <f>1286.3-99.1-13.5-0.6</f>
        <v>1173.1000000000001</v>
      </c>
      <c r="F25" s="162">
        <f>405.3-117.9+0.9-3.1</f>
        <v>285.19999999999993</v>
      </c>
      <c r="G25" s="162">
        <f>174.5-66.5+0.2-0</f>
        <v>108.2</v>
      </c>
      <c r="H25" s="162">
        <f>76.4-19.8-0-0</f>
        <v>56.60000000000001</v>
      </c>
      <c r="I25" s="162">
        <f>491.5-65.1-14.8-0.6</f>
        <v>410.99999999999994</v>
      </c>
      <c r="J25" s="162">
        <f>604.8-377.5+10.2-0</f>
        <v>237.49999999999994</v>
      </c>
    </row>
    <row r="26" spans="1:10" ht="19.5" customHeight="1">
      <c r="A26" s="81" t="s">
        <v>135</v>
      </c>
      <c r="B26" s="162">
        <f>5202.3-1183.1-789-213.3</f>
        <v>3016.9</v>
      </c>
      <c r="C26" s="162">
        <f>2677.9-549.5-672.9-79.1</f>
        <v>1376.4</v>
      </c>
      <c r="D26" s="162">
        <f>1057.1-255.8-211.9-40.8</f>
        <v>548.6</v>
      </c>
      <c r="E26" s="162">
        <f>721.1-112.8-216.1-12.6</f>
        <v>379.6</v>
      </c>
      <c r="F26" s="162">
        <f>372.3-153.9-11.3-12.7</f>
        <v>194.4</v>
      </c>
      <c r="G26" s="162">
        <f>88.8-22.8-2.7-4</f>
        <v>59.3</v>
      </c>
      <c r="H26" s="207">
        <f>9.9-1.6-8.3-0</f>
        <v>0</v>
      </c>
      <c r="I26" s="162">
        <f>375.9-66.6-22.8-5.6</f>
        <v>280.8999999999999</v>
      </c>
      <c r="J26" s="162">
        <f>836.3-296.7-17.9-0</f>
        <v>521.6999999999999</v>
      </c>
    </row>
    <row r="27" spans="1:10" ht="19.5" customHeight="1">
      <c r="A27" s="31" t="s">
        <v>130</v>
      </c>
      <c r="B27" s="162">
        <f>150111.7+741.1-173.3</f>
        <v>150679.50000000003</v>
      </c>
      <c r="C27" s="162">
        <f>59176.4+224-43.1</f>
        <v>59357.3</v>
      </c>
      <c r="D27" s="162">
        <f>30459.9-411.1-422.5</f>
        <v>29626.300000000003</v>
      </c>
      <c r="E27" s="162">
        <f>8992.4-4.5+377.1</f>
        <v>9365</v>
      </c>
      <c r="F27" s="162">
        <f>5952.2+61.1-8.9</f>
        <v>6004.400000000001</v>
      </c>
      <c r="G27" s="162">
        <f>3377.9+268.5-11.8</f>
        <v>3634.6</v>
      </c>
      <c r="H27" s="162">
        <f>1635.8+0+2.3</f>
        <v>1638.1</v>
      </c>
      <c r="I27" s="162">
        <f>5268.3-659.3-47</f>
        <v>4562</v>
      </c>
      <c r="J27" s="162">
        <f>9226.5+674.2-128.2</f>
        <v>9772.5</v>
      </c>
    </row>
    <row r="28" spans="1:10" ht="19.5" customHeight="1">
      <c r="A28" s="31" t="s">
        <v>163</v>
      </c>
      <c r="B28" s="162">
        <f>SUM(B26:B27)</f>
        <v>153696.40000000002</v>
      </c>
      <c r="C28" s="162">
        <f aca="true" t="shared" si="5" ref="C28:I28">SUM(C26:C27)</f>
        <v>60733.700000000004</v>
      </c>
      <c r="D28" s="162">
        <f t="shared" si="5"/>
        <v>30174.9</v>
      </c>
      <c r="E28" s="162">
        <f t="shared" si="5"/>
        <v>9744.6</v>
      </c>
      <c r="F28" s="162">
        <f t="shared" si="5"/>
        <v>6198.8</v>
      </c>
      <c r="G28" s="162">
        <f t="shared" si="5"/>
        <v>3693.9</v>
      </c>
      <c r="H28" s="162">
        <f t="shared" si="5"/>
        <v>1638.1</v>
      </c>
      <c r="I28" s="162">
        <f t="shared" si="5"/>
        <v>4842.9</v>
      </c>
      <c r="J28" s="162">
        <f>SUM(J26:J27)</f>
        <v>10294.2</v>
      </c>
    </row>
    <row r="29" spans="1:10" ht="19.5" customHeight="1">
      <c r="A29" s="31" t="s">
        <v>131</v>
      </c>
      <c r="B29" s="162">
        <f>B25+B28</f>
        <v>161511.00000000003</v>
      </c>
      <c r="C29" s="162">
        <f aca="true" t="shared" si="6" ref="C29:I29">C25+C28</f>
        <v>64125.700000000004</v>
      </c>
      <c r="D29" s="162">
        <f t="shared" si="6"/>
        <v>31317.100000000002</v>
      </c>
      <c r="E29" s="162">
        <f t="shared" si="6"/>
        <v>10917.7</v>
      </c>
      <c r="F29" s="162">
        <f t="shared" si="6"/>
        <v>6484</v>
      </c>
      <c r="G29" s="162">
        <f t="shared" si="6"/>
        <v>3802.1</v>
      </c>
      <c r="H29" s="162">
        <f t="shared" si="6"/>
        <v>1694.6999999999998</v>
      </c>
      <c r="I29" s="162">
        <f t="shared" si="6"/>
        <v>5253.9</v>
      </c>
      <c r="J29" s="162">
        <f>J25+J28</f>
        <v>10531.7</v>
      </c>
    </row>
    <row r="30" spans="1:10" ht="19.5" customHeight="1">
      <c r="A30" s="296" t="s">
        <v>219</v>
      </c>
      <c r="B30" s="296"/>
      <c r="C30" s="296"/>
      <c r="D30" s="296"/>
      <c r="E30" s="296"/>
      <c r="F30" s="296"/>
      <c r="G30" s="296"/>
      <c r="H30" s="296"/>
      <c r="I30" s="296"/>
      <c r="J30" s="296"/>
    </row>
  </sheetData>
  <sheetProtection/>
  <mergeCells count="2">
    <mergeCell ref="A1:B1"/>
    <mergeCell ref="A30:J30"/>
  </mergeCells>
  <printOptions horizontalCentered="1" verticalCentered="1"/>
  <pageMargins left="0.25" right="0.25" top="0.25" bottom="0.25" header="0.3" footer="0.3"/>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Bernstein, Jared</cp:lastModifiedBy>
  <cp:lastPrinted>2015-01-23T14:37:48Z</cp:lastPrinted>
  <dcterms:created xsi:type="dcterms:W3CDTF">2007-01-26T13:56:48Z</dcterms:created>
  <dcterms:modified xsi:type="dcterms:W3CDTF">2015-03-25T14:41:57Z</dcterms:modified>
  <cp:category/>
  <cp:version/>
  <cp:contentType/>
  <cp:contentStatus/>
</cp:coreProperties>
</file>