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marzes\My Documents\Postings\21-22 3rd IA\"/>
    </mc:Choice>
  </mc:AlternateContent>
  <bookViews>
    <workbookView xWindow="285" yWindow="180" windowWidth="15450" windowHeight="11700"/>
  </bookViews>
  <sheets>
    <sheet name="2021-22 Excess Commit MW" sheetId="13" r:id="rId1"/>
    <sheet name="Calculation of Excess Commit MW" sheetId="14" r:id="rId2"/>
  </sheets>
  <definedNames>
    <definedName name="_xlnm.Print_Area" localSheetId="0">'2021-22 Excess Commit MW'!$A$2:$G$51</definedName>
    <definedName name="_xlnm.Print_Area" localSheetId="1">'Calculation of Excess Commit MW'!$A$1:$F$69</definedName>
  </definedNames>
  <calcPr calcId="162913"/>
</workbook>
</file>

<file path=xl/calcChain.xml><?xml version="1.0" encoding="utf-8"?>
<calcChain xmlns="http://schemas.openxmlformats.org/spreadsheetml/2006/main">
  <c r="F19" i="14" l="1"/>
  <c r="F20" i="14"/>
  <c r="F21" i="14"/>
  <c r="F22" i="14"/>
  <c r="F18" i="14"/>
  <c r="F14" i="14"/>
  <c r="F15" i="14"/>
  <c r="F16" i="14"/>
  <c r="F13" i="14"/>
  <c r="F9" i="14"/>
  <c r="F10" i="14"/>
  <c r="F11" i="14"/>
  <c r="F8" i="14"/>
  <c r="E42" i="14" l="1"/>
  <c r="E41" i="14"/>
  <c r="E40" i="14"/>
  <c r="E39" i="14"/>
  <c r="E38" i="14"/>
  <c r="E37" i="14"/>
  <c r="E36" i="14"/>
  <c r="E35" i="14"/>
  <c r="E34" i="14"/>
  <c r="E33" i="14"/>
  <c r="E32" i="14"/>
  <c r="E31" i="14"/>
  <c r="E30" i="14"/>
  <c r="E29" i="14"/>
  <c r="E28" i="14"/>
  <c r="D29" i="14"/>
  <c r="D28" i="14" l="1"/>
  <c r="D30" i="14" l="1"/>
  <c r="D31" i="14"/>
  <c r="D32" i="14"/>
  <c r="D33" i="14"/>
  <c r="D34" i="14"/>
  <c r="D35" i="14"/>
  <c r="D36" i="14"/>
  <c r="D37" i="14"/>
  <c r="D38" i="14"/>
  <c r="D39" i="14"/>
  <c r="D40" i="14"/>
  <c r="D41" i="14"/>
  <c r="D42" i="14"/>
  <c r="D11" i="14"/>
  <c r="D47" i="14"/>
  <c r="D48" i="14"/>
  <c r="D50" i="14"/>
  <c r="D51" i="14"/>
  <c r="D52" i="14"/>
  <c r="D53" i="14"/>
  <c r="D54" i="14"/>
  <c r="D55" i="14"/>
  <c r="D56" i="14"/>
  <c r="D58" i="14"/>
  <c r="D59" i="14"/>
  <c r="D60" i="14"/>
  <c r="D61" i="14"/>
  <c r="D62" i="14"/>
  <c r="D63" i="14"/>
  <c r="D64" i="14"/>
  <c r="D65" i="14"/>
  <c r="D67" i="14"/>
  <c r="D68" i="14"/>
  <c r="D46" i="14"/>
  <c r="E2" i="14" l="1"/>
  <c r="E3" i="14" l="1"/>
  <c r="B17" i="14" l="1"/>
  <c r="B8" i="14"/>
  <c r="B66" i="14"/>
  <c r="D66" i="14" s="1"/>
  <c r="B57" i="14"/>
  <c r="D57" i="14" s="1"/>
  <c r="B49" i="14"/>
  <c r="C66" i="14"/>
  <c r="C57" i="14"/>
  <c r="C49" i="14"/>
  <c r="C69" i="14" s="1"/>
  <c r="B69" i="14" l="1"/>
  <c r="D49" i="14"/>
  <c r="D69" i="14" s="1"/>
  <c r="B22" i="14"/>
  <c r="B21" i="14"/>
  <c r="B20" i="14"/>
  <c r="B19" i="14"/>
  <c r="B18" i="14"/>
  <c r="B15" i="14"/>
  <c r="B14" i="14"/>
  <c r="B13" i="14"/>
  <c r="B9" i="14"/>
  <c r="C8" i="14" l="1"/>
  <c r="D8" i="14" s="1"/>
  <c r="C22" i="14"/>
  <c r="D22" i="14" s="1"/>
  <c r="C21" i="14"/>
  <c r="D21" i="14" s="1"/>
  <c r="B12" i="14" l="1"/>
  <c r="B10" i="14"/>
  <c r="B16" i="14"/>
  <c r="B23" i="14" l="1"/>
  <c r="E4" i="14" l="1"/>
  <c r="B116" i="14" l="1"/>
  <c r="C116" i="14" l="1"/>
  <c r="C20" i="14" l="1"/>
  <c r="D20" i="14" s="1"/>
  <c r="C19" i="14"/>
  <c r="D19" i="14" s="1"/>
  <c r="C18" i="14"/>
  <c r="D18" i="14" s="1"/>
  <c r="C17" i="14"/>
  <c r="D17" i="14" s="1"/>
  <c r="C15" i="14"/>
  <c r="D15" i="14" s="1"/>
  <c r="C14" i="14"/>
  <c r="D14" i="14" s="1"/>
  <c r="C13" i="14"/>
  <c r="D13" i="14" s="1"/>
  <c r="C9" i="14"/>
  <c r="D9" i="14" s="1"/>
  <c r="C12" i="14"/>
  <c r="D12" i="14" s="1"/>
  <c r="C10" i="14"/>
  <c r="D10" i="14" s="1"/>
  <c r="C16" i="14"/>
  <c r="D16" i="14" s="1"/>
  <c r="C23" i="14" l="1"/>
  <c r="D116" i="14" l="1"/>
  <c r="D23" i="14" l="1"/>
  <c r="E11" i="14" l="1"/>
  <c r="E22" i="14"/>
  <c r="E54" i="14" s="1"/>
  <c r="E8" i="14"/>
  <c r="E21" i="14"/>
  <c r="E12" i="14"/>
  <c r="E66" i="14" s="1"/>
  <c r="B31" i="13" s="1"/>
  <c r="E13" i="14"/>
  <c r="E67" i="14" s="1"/>
  <c r="B32" i="13" s="1"/>
  <c r="E19" i="14"/>
  <c r="E51" i="14" s="1"/>
  <c r="E9" i="14"/>
  <c r="E18" i="14"/>
  <c r="E52" i="14" s="1"/>
  <c r="E15" i="14"/>
  <c r="E64" i="14" s="1"/>
  <c r="E14" i="14"/>
  <c r="E58" i="14" s="1"/>
  <c r="B30" i="13" s="1"/>
  <c r="E17" i="14"/>
  <c r="E50" i="14" s="1"/>
  <c r="B28" i="13" s="1"/>
  <c r="E10" i="14"/>
  <c r="E20" i="14"/>
  <c r="E65" i="14" s="1"/>
  <c r="B20" i="13" s="1"/>
  <c r="E16" i="14"/>
  <c r="E49" i="14" s="1"/>
  <c r="E53" i="14" l="1"/>
  <c r="B9" i="13" s="1"/>
  <c r="E63" i="14"/>
  <c r="B18" i="13" s="1"/>
  <c r="E61" i="14"/>
  <c r="B16" i="13" s="1"/>
  <c r="E56" i="14"/>
  <c r="B12" i="13" s="1"/>
  <c r="E48" i="14"/>
  <c r="B5" i="13" s="1"/>
  <c r="E59" i="14"/>
  <c r="B14" i="13" s="1"/>
  <c r="E55" i="14"/>
  <c r="E47" i="14"/>
  <c r="B4" i="13" s="1"/>
  <c r="F23" i="14"/>
  <c r="E68" i="14"/>
  <c r="B22" i="13" s="1"/>
  <c r="E60" i="14"/>
  <c r="B15" i="13" s="1"/>
  <c r="E46" i="14"/>
  <c r="E57" i="14"/>
  <c r="B29" i="13" s="1"/>
  <c r="B13" i="13" s="1"/>
  <c r="E62" i="14"/>
  <c r="B17" i="13" s="1"/>
  <c r="E23" i="14"/>
  <c r="B21" i="13"/>
  <c r="B19" i="13"/>
  <c r="B27" i="13"/>
  <c r="B8" i="13"/>
  <c r="B7" i="13"/>
  <c r="B10" i="13"/>
  <c r="B11" i="13"/>
  <c r="B3" i="13" l="1"/>
  <c r="E69" i="14"/>
  <c r="B6" i="13"/>
  <c r="B23" i="13" s="1"/>
  <c r="E116" i="14"/>
</calcChain>
</file>

<file path=xl/sharedStrings.xml><?xml version="1.0" encoding="utf-8"?>
<sst xmlns="http://schemas.openxmlformats.org/spreadsheetml/2006/main" count="183" uniqueCount="72">
  <si>
    <t>Zone</t>
  </si>
  <si>
    <t>PECO</t>
  </si>
  <si>
    <t>BGE</t>
  </si>
  <si>
    <t>JCPL</t>
  </si>
  <si>
    <t>METED</t>
  </si>
  <si>
    <t>PEPCO</t>
  </si>
  <si>
    <t>RECO</t>
  </si>
  <si>
    <t>APS</t>
  </si>
  <si>
    <t xml:space="preserve"> </t>
  </si>
  <si>
    <t>DOM</t>
  </si>
  <si>
    <t>AEP</t>
  </si>
  <si>
    <t>COMED</t>
  </si>
  <si>
    <t>PENELEC</t>
  </si>
  <si>
    <t>PPL</t>
  </si>
  <si>
    <t>PSEG</t>
  </si>
  <si>
    <t>DLCO</t>
  </si>
  <si>
    <t>Reduction in Reliability Requirement [MW]</t>
  </si>
  <si>
    <t>Final Reliability Requirement [MW]</t>
  </si>
  <si>
    <t>RTO</t>
  </si>
  <si>
    <t>MAAC</t>
  </si>
  <si>
    <t>EMAAC</t>
  </si>
  <si>
    <t>SWMAAC</t>
  </si>
  <si>
    <t>PSNORTH</t>
  </si>
  <si>
    <t>LDA</t>
  </si>
  <si>
    <t>Total</t>
  </si>
  <si>
    <t>DPLSOUTH</t>
  </si>
  <si>
    <t>Rest of DPL</t>
  </si>
  <si>
    <t>Rest of PSEG</t>
  </si>
  <si>
    <t>Location</t>
  </si>
  <si>
    <t>Rest of RTO</t>
  </si>
  <si>
    <t>Rest of EMAAC</t>
  </si>
  <si>
    <t>Rest of MAAC</t>
  </si>
  <si>
    <t>ATSI</t>
  </si>
  <si>
    <t>AE</t>
  </si>
  <si>
    <t>DAYTON</t>
  </si>
  <si>
    <t>Rest of  SWMAAC</t>
  </si>
  <si>
    <t>BRA Reliability Requirement    [MW]</t>
  </si>
  <si>
    <t>DEOK</t>
  </si>
  <si>
    <t>EKPC</t>
  </si>
  <si>
    <t>ATSI-C</t>
  </si>
  <si>
    <t>Rest of ATSI</t>
  </si>
  <si>
    <t>Zone/ Subzone</t>
  </si>
  <si>
    <t>ATSI-CLEVELAND</t>
  </si>
  <si>
    <t>RTO Total</t>
  </si>
  <si>
    <t>PJM Sell Offers less PJM Buy Bids in 3rd Incremental Auction (1)</t>
  </si>
  <si>
    <t>Cleared PJM Sell Offers less Cleared PJM Buy Bids in 3rd Incremental Auction (2)</t>
  </si>
  <si>
    <t>Zonal Allocation of Excess Commitment Credits [MW]</t>
  </si>
  <si>
    <t>Subzonal Allocation of Excess Commitment Credits [MW]</t>
  </si>
  <si>
    <t>Subzone</t>
  </si>
  <si>
    <t>Notes:</t>
  </si>
  <si>
    <t>Excess Commitment Credits for Allocation (1) - (2)</t>
  </si>
  <si>
    <t xml:space="preserve">PEPCO </t>
  </si>
  <si>
    <t>All LSEs in a zone will receive a pro-rata share (based on Daily UCAP obligation as of 6/1/2021) of the Excess Commitment Credits assigned to such zone.</t>
  </si>
  <si>
    <t xml:space="preserve">Reduction in LDA Reliability Requirement </t>
  </si>
  <si>
    <r>
      <t>PSEG</t>
    </r>
    <r>
      <rPr>
        <vertAlign val="superscript"/>
        <sz val="10"/>
        <rFont val="Arial"/>
        <family val="2"/>
      </rPr>
      <t>3</t>
    </r>
  </si>
  <si>
    <r>
      <t>DPL</t>
    </r>
    <r>
      <rPr>
        <vertAlign val="superscript"/>
        <sz val="10"/>
        <rFont val="Arial"/>
        <family val="2"/>
      </rPr>
      <t>2</t>
    </r>
  </si>
  <si>
    <r>
      <t>ATSI</t>
    </r>
    <r>
      <rPr>
        <vertAlign val="superscript"/>
        <sz val="10"/>
        <rFont val="Arial"/>
        <family val="2"/>
      </rPr>
      <t>1</t>
    </r>
  </si>
  <si>
    <r>
      <rPr>
        <vertAlign val="superscript"/>
        <sz val="10"/>
        <rFont val="Arial"/>
        <family val="2"/>
      </rPr>
      <t>2</t>
    </r>
    <r>
      <rPr>
        <sz val="10"/>
        <rFont val="Arial"/>
        <family val="2"/>
      </rPr>
      <t xml:space="preserve">LSEs in DPL Zone will receive a pro-rata share (based on Daily UCAP obligation as of 6/1/2021) of the Excess Commitment Credits assigned to the Rest of DPL subzone and the DPL South subzone. </t>
    </r>
  </si>
  <si>
    <r>
      <rPr>
        <vertAlign val="superscript"/>
        <sz val="10"/>
        <rFont val="Arial"/>
        <family val="2"/>
      </rPr>
      <t>1</t>
    </r>
    <r>
      <rPr>
        <sz val="10"/>
        <rFont val="Arial"/>
        <family val="2"/>
      </rPr>
      <t>LSEs in ATSI Zone will receive a pro-rata share (based on Daily UCAP obligation as of 6/1/2021) of the Excess Commitment Credits assigned to the Rest of ATSI and the ATSI-CLEVELAND subzone.</t>
    </r>
  </si>
  <si>
    <r>
      <rPr>
        <vertAlign val="superscript"/>
        <sz val="10"/>
        <rFont val="Arial"/>
        <family val="2"/>
      </rPr>
      <t>3</t>
    </r>
    <r>
      <rPr>
        <sz val="10"/>
        <rFont val="Arial"/>
        <family val="2"/>
      </rPr>
      <t>LSEs in PSEG Zone will receive a pro-rata share (based on Daily UCAP obligation as of 6/1/2021) of the Excess Commitment Credits assigned to the Rest of PSEG subzone and PSNORTH subzone.</t>
    </r>
  </si>
  <si>
    <t>Adjusted LDA Allocation of Excess Commitment Credits [MW]*</t>
  </si>
  <si>
    <t>LDA Allocation of Excess Commitment Credits [MW]</t>
  </si>
  <si>
    <t>Preliminary Peak Load Forecast less FRR Load [MW]</t>
  </si>
  <si>
    <t>Final Peak Load Forecast less FRR Load [MW]</t>
  </si>
  <si>
    <t>Reduction in  Peak Load Forecast [MW]</t>
  </si>
  <si>
    <t>Reduction Peak Load Forecast [MW]</t>
  </si>
  <si>
    <t>Allocation of Total Excess Commitment Credits to LDA</t>
  </si>
  <si>
    <t>Allocation of LDA Excess Commitment Credits to Zone/Sub-zone</t>
  </si>
  <si>
    <t>Zone/Sub-Zone Allocation of LDA Excess Commitment Credits [MW]</t>
  </si>
  <si>
    <t>Initial Allocation of Excess Commitment Credits [MW]</t>
  </si>
  <si>
    <t>* Adjusted Excess Commitment Credit MW cannot exceed the reduction in corresponding LDA Reliability Requirement. The table below shows that this requirement results in the need to adjust the Excess Commitment Credits MW allocated to the rest of PSEG LDA and the ATSI-Cleveland LDA.</t>
  </si>
  <si>
    <t>Dated:  4/20/2021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</si>
</sst>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
    <numFmt numFmtId="166" formatCode="_(* #,##0.0_);_(* \(#,##0.0\);_(* &quot;-&quot;??_);_(@_)"/>
    <numFmt numFmtId="167" formatCode="_(* #,##0.0_);_(* \(#,##0.0\);_(* &quot;-&quot;?_);_(@_)"/>
    <numFmt numFmtId="168" formatCode="0.0_);[Red]\(0.0\)"/>
    <numFmt numFmtId="169" formatCode="#,##0.0_);[Red]\(#,##0.0\)"/>
  </numFmts>
  <fonts count="8" x14ac:knownFonts="1">
    <font>
      <sz val="10"/>
      <name val="Arial"/>
    </font>
    <font>
      <sz val="10"/>
      <name val="Arial"/>
      <family val="2"/>
    </font>
    <font>
      <b/>
      <sz val="10"/>
      <name val="Arial"/>
      <family val="2"/>
    </font>
    <font>
      <b/>
      <sz val="12"/>
      <name val="Arial"/>
      <family val="2"/>
    </font>
    <font>
      <sz val="10"/>
      <name val="Arial"/>
      <family val="2"/>
    </font>
    <font>
      <b/>
      <sz val="10"/>
      <color rgb="FFFF0000"/>
      <name val="Arial"/>
      <family val="2"/>
    </font>
    <font>
      <i/>
      <sz val="10"/>
      <name val="Arial"/>
      <family val="2"/>
    </font>
    <font>
      <vertAlign val="superscript"/>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2">
    <xf numFmtId="0" fontId="0" fillId="0" borderId="0" xfId="0"/>
    <xf numFmtId="0" fontId="1" fillId="0" borderId="0" xfId="0" applyFont="1"/>
    <xf numFmtId="164" fontId="1"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165" fontId="2" fillId="0" borderId="0" xfId="0" applyNumberFormat="1" applyFont="1"/>
    <xf numFmtId="0" fontId="1" fillId="0" borderId="0" xfId="0" applyFont="1" applyAlignment="1">
      <alignment horizontal="centerContinuous"/>
    </xf>
    <xf numFmtId="0" fontId="3" fillId="0" borderId="0" xfId="0" applyFont="1" applyAlignment="1">
      <alignment horizontal="left"/>
    </xf>
    <xf numFmtId="0" fontId="1" fillId="0" borderId="0" xfId="0" applyFont="1" applyAlignment="1">
      <alignment vertical="center"/>
    </xf>
    <xf numFmtId="165" fontId="1" fillId="4" borderId="1" xfId="0" applyNumberFormat="1" applyFont="1" applyFill="1" applyBorder="1" applyAlignment="1">
      <alignment vertical="center"/>
    </xf>
    <xf numFmtId="165" fontId="2" fillId="4" borderId="1" xfId="0" applyNumberFormat="1" applyFont="1" applyFill="1" applyBorder="1" applyAlignment="1">
      <alignment vertical="center"/>
    </xf>
    <xf numFmtId="0" fontId="3"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166" fontId="2" fillId="0" borderId="1" xfId="1" applyNumberFormat="1" applyFont="1" applyBorder="1" applyAlignment="1">
      <alignment vertical="center"/>
    </xf>
    <xf numFmtId="0" fontId="2" fillId="3"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64" fontId="1" fillId="0" borderId="1" xfId="0" applyNumberFormat="1" applyFont="1" applyBorder="1" applyAlignment="1">
      <alignment vertical="center"/>
    </xf>
    <xf numFmtId="0" fontId="1" fillId="4" borderId="3" xfId="0" applyFont="1" applyFill="1" applyBorder="1" applyAlignment="1">
      <alignment horizontal="right" vertical="center"/>
    </xf>
    <xf numFmtId="0" fontId="1" fillId="4" borderId="4" xfId="0" applyFont="1" applyFill="1" applyBorder="1" applyAlignment="1">
      <alignment horizontal="right" vertical="center"/>
    </xf>
    <xf numFmtId="164" fontId="1" fillId="4" borderId="2" xfId="0" applyNumberFormat="1" applyFont="1" applyFill="1" applyBorder="1" applyAlignment="1">
      <alignment horizontal="right" vertical="center"/>
    </xf>
    <xf numFmtId="164" fontId="1" fillId="4" borderId="3" xfId="0" applyNumberFormat="1" applyFont="1" applyFill="1" applyBorder="1" applyAlignment="1">
      <alignment horizontal="right" vertical="center"/>
    </xf>
    <xf numFmtId="0" fontId="1" fillId="5" borderId="0" xfId="0" applyFont="1" applyFill="1" applyBorder="1"/>
    <xf numFmtId="0" fontId="2" fillId="5" borderId="0" xfId="0" applyFont="1" applyFill="1" applyBorder="1" applyAlignment="1">
      <alignment horizontal="center" vertical="center" wrapText="1"/>
    </xf>
    <xf numFmtId="164" fontId="1" fillId="5" borderId="0" xfId="0" applyNumberFormat="1" applyFont="1" applyFill="1" applyBorder="1" applyAlignment="1">
      <alignment horizontal="center"/>
    </xf>
    <xf numFmtId="164" fontId="5" fillId="0" borderId="0" xfId="0" applyNumberFormat="1" applyFont="1" applyBorder="1" applyAlignment="1">
      <alignment vertical="center"/>
    </xf>
    <xf numFmtId="0" fontId="6" fillId="0" borderId="0" xfId="0" applyFont="1"/>
    <xf numFmtId="164" fontId="1" fillId="0" borderId="1" xfId="1" applyNumberFormat="1" applyFont="1" applyBorder="1" applyAlignment="1">
      <alignment horizontal="right" vertical="center"/>
    </xf>
    <xf numFmtId="166" fontId="2" fillId="0" borderId="1" xfId="1" applyNumberFormat="1" applyFont="1" applyBorder="1" applyAlignment="1">
      <alignment horizontal="right" vertical="center"/>
    </xf>
    <xf numFmtId="0" fontId="1" fillId="0" borderId="0" xfId="0" applyFont="1" applyBorder="1" applyAlignment="1">
      <alignment horizontal="center" vertical="center"/>
    </xf>
    <xf numFmtId="164" fontId="1" fillId="0" borderId="0" xfId="0" applyNumberFormat="1" applyFont="1" applyBorder="1" applyAlignment="1">
      <alignment vertical="center"/>
    </xf>
    <xf numFmtId="0" fontId="2" fillId="0" borderId="0" xfId="0" applyFont="1" applyFill="1" applyBorder="1" applyAlignment="1">
      <alignment horizontal="left" vertical="center"/>
    </xf>
    <xf numFmtId="0" fontId="1" fillId="4" borderId="2" xfId="0" applyFont="1" applyFill="1" applyBorder="1" applyAlignment="1">
      <alignment horizontal="right" vertical="center"/>
    </xf>
    <xf numFmtId="164" fontId="1" fillId="4" borderId="1" xfId="0" applyNumberFormat="1" applyFont="1" applyFill="1" applyBorder="1" applyAlignment="1">
      <alignment horizontal="right" vertical="center"/>
    </xf>
    <xf numFmtId="165" fontId="1" fillId="0" borderId="1"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67" fontId="1" fillId="0" borderId="0" xfId="0" applyNumberFormat="1" applyFont="1"/>
    <xf numFmtId="168" fontId="1" fillId="0" borderId="1" xfId="0" applyNumberFormat="1" applyFont="1" applyFill="1" applyBorder="1" applyAlignment="1">
      <alignment horizontal="right" vertical="center" wrapText="1"/>
    </xf>
    <xf numFmtId="164" fontId="1" fillId="0" borderId="0" xfId="0" applyNumberFormat="1" applyFont="1" applyAlignment="1">
      <alignment horizontal="center"/>
    </xf>
    <xf numFmtId="166" fontId="0" fillId="0" borderId="1" xfId="1" applyNumberFormat="1" applyFont="1" applyBorder="1" applyAlignment="1"/>
    <xf numFmtId="0" fontId="1" fillId="0" borderId="0" xfId="0" applyFont="1" applyBorder="1" applyAlignment="1">
      <alignment horizontal="left" vertical="top"/>
    </xf>
    <xf numFmtId="164" fontId="3" fillId="0" borderId="1" xfId="0" applyNumberFormat="1" applyFont="1" applyBorder="1" applyAlignment="1">
      <alignment horizontal="center" wrapText="1"/>
    </xf>
    <xf numFmtId="164" fontId="3" fillId="0" borderId="0" xfId="0" applyNumberFormat="1" applyFont="1" applyBorder="1" applyAlignment="1">
      <alignment horizontal="center"/>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1"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9" fontId="1" fillId="0" borderId="1" xfId="0" applyNumberFormat="1" applyFont="1" applyFill="1" applyBorder="1" applyAlignment="1">
      <alignment horizontal="right" vertical="center" wrapText="1"/>
    </xf>
    <xf numFmtId="0" fontId="3" fillId="0" borderId="0" xfId="0" applyFont="1" applyBorder="1" applyAlignment="1">
      <alignment horizontal="left"/>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wrapText="1"/>
    </xf>
    <xf numFmtId="0" fontId="3" fillId="0" borderId="0" xfId="0" applyFont="1" applyBorder="1"/>
    <xf numFmtId="169" fontId="1" fillId="6" borderId="1" xfId="0" applyNumberFormat="1" applyFont="1" applyFill="1" applyBorder="1" applyAlignment="1">
      <alignment horizontal="righ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Layout" zoomScale="120" zoomScaleNormal="100" zoomScalePageLayoutView="120" workbookViewId="0"/>
  </sheetViews>
  <sheetFormatPr defaultColWidth="9.140625" defaultRowHeight="12.75" x14ac:dyDescent="0.2"/>
  <cols>
    <col min="1" max="1" width="20.42578125" style="1" customWidth="1"/>
    <col min="2" max="2" width="20" style="1" customWidth="1"/>
    <col min="3" max="4" width="19.85546875" style="1" customWidth="1"/>
    <col min="5" max="6" width="17.85546875" style="1" customWidth="1"/>
    <col min="7" max="7" width="7.85546875" style="1" customWidth="1"/>
    <col min="8" max="8" width="17.85546875" style="1" customWidth="1"/>
    <col min="9" max="9" width="20.42578125" style="1" customWidth="1"/>
    <col min="10" max="10" width="20.7109375" style="1" customWidth="1"/>
    <col min="11" max="11" width="15.7109375" style="1" customWidth="1"/>
    <col min="12" max="12" width="16.7109375" style="1" customWidth="1"/>
    <col min="13" max="13" width="15.7109375" style="1" customWidth="1"/>
    <col min="14" max="16384" width="9.140625" style="1"/>
  </cols>
  <sheetData>
    <row r="1" spans="1:4" x14ac:dyDescent="0.2">
      <c r="A1" s="3"/>
      <c r="B1" s="4"/>
      <c r="C1" s="5"/>
    </row>
    <row r="2" spans="1:4" ht="63" x14ac:dyDescent="0.25">
      <c r="A2" s="11" t="s">
        <v>0</v>
      </c>
      <c r="B2" s="43" t="s">
        <v>46</v>
      </c>
      <c r="C2" s="44"/>
      <c r="D2" s="44"/>
    </row>
    <row r="3" spans="1:4" ht="15" customHeight="1" x14ac:dyDescent="0.2">
      <c r="A3" s="13" t="s">
        <v>33</v>
      </c>
      <c r="B3" s="28">
        <f>'Calculation of Excess Commit MW'!E46</f>
        <v>0</v>
      </c>
    </row>
    <row r="4" spans="1:4" ht="15" customHeight="1" x14ac:dyDescent="0.2">
      <c r="A4" s="13" t="s">
        <v>10</v>
      </c>
      <c r="B4" s="28">
        <f>'Calculation of Excess Commit MW'!E47</f>
        <v>0</v>
      </c>
    </row>
    <row r="5" spans="1:4" ht="15" customHeight="1" x14ac:dyDescent="0.2">
      <c r="A5" s="13" t="s">
        <v>7</v>
      </c>
      <c r="B5" s="28">
        <f>'Calculation of Excess Commit MW'!E48</f>
        <v>0</v>
      </c>
    </row>
    <row r="6" spans="1:4" ht="15" customHeight="1" x14ac:dyDescent="0.2">
      <c r="A6" s="13" t="s">
        <v>56</v>
      </c>
      <c r="B6" s="28">
        <f>B27+B28</f>
        <v>65.986902477684168</v>
      </c>
      <c r="C6" s="38" t="s">
        <v>8</v>
      </c>
    </row>
    <row r="7" spans="1:4" ht="15" customHeight="1" x14ac:dyDescent="0.2">
      <c r="A7" s="13" t="s">
        <v>2</v>
      </c>
      <c r="B7" s="28">
        <f>'Calculation of Excess Commit MW'!E51</f>
        <v>0.46633853341119552</v>
      </c>
    </row>
    <row r="8" spans="1:4" ht="15" customHeight="1" x14ac:dyDescent="0.2">
      <c r="A8" s="13" t="s">
        <v>11</v>
      </c>
      <c r="B8" s="28">
        <f>'Calculation of Excess Commit MW'!E52</f>
        <v>326.12608103222942</v>
      </c>
    </row>
    <row r="9" spans="1:4" ht="15" customHeight="1" x14ac:dyDescent="0.2">
      <c r="A9" s="13" t="s">
        <v>34</v>
      </c>
      <c r="B9" s="28">
        <f>'Calculation of Excess Commit MW'!E53</f>
        <v>0</v>
      </c>
    </row>
    <row r="10" spans="1:4" ht="15" customHeight="1" x14ac:dyDescent="0.2">
      <c r="A10" s="13" t="s">
        <v>37</v>
      </c>
      <c r="B10" s="28">
        <f>'Calculation of Excess Commit MW'!E54</f>
        <v>5.3318038986680305</v>
      </c>
    </row>
    <row r="11" spans="1:4" ht="15" customHeight="1" x14ac:dyDescent="0.2">
      <c r="A11" s="13" t="s">
        <v>15</v>
      </c>
      <c r="B11" s="28">
        <f>'Calculation of Excess Commit MW'!E55</f>
        <v>0</v>
      </c>
    </row>
    <row r="12" spans="1:4" ht="15" customHeight="1" x14ac:dyDescent="0.2">
      <c r="A12" s="13" t="s">
        <v>9</v>
      </c>
      <c r="B12" s="28">
        <f>'Calculation of Excess Commit MW'!E56</f>
        <v>0</v>
      </c>
    </row>
    <row r="13" spans="1:4" ht="15" customHeight="1" x14ac:dyDescent="0.2">
      <c r="A13" s="13" t="s">
        <v>55</v>
      </c>
      <c r="B13" s="28">
        <f>B29+B30</f>
        <v>16.933434145225121</v>
      </c>
      <c r="C13" s="2" t="s">
        <v>8</v>
      </c>
    </row>
    <row r="14" spans="1:4" ht="15" customHeight="1" x14ac:dyDescent="0.2">
      <c r="A14" s="13" t="s">
        <v>38</v>
      </c>
      <c r="B14" s="28">
        <f>'Calculation of Excess Commit MW'!E59</f>
        <v>0</v>
      </c>
      <c r="C14" s="2"/>
    </row>
    <row r="15" spans="1:4" ht="15" customHeight="1" x14ac:dyDescent="0.2">
      <c r="A15" s="13" t="s">
        <v>3</v>
      </c>
      <c r="B15" s="28">
        <f>'Calculation of Excess Commit MW'!E60</f>
        <v>0</v>
      </c>
    </row>
    <row r="16" spans="1:4" ht="15" customHeight="1" x14ac:dyDescent="0.2">
      <c r="A16" s="13" t="s">
        <v>4</v>
      </c>
      <c r="B16" s="28">
        <f>'Calculation of Excess Commit MW'!E61</f>
        <v>0</v>
      </c>
    </row>
    <row r="17" spans="1:4" ht="15" customHeight="1" x14ac:dyDescent="0.2">
      <c r="A17" s="13" t="s">
        <v>1</v>
      </c>
      <c r="B17" s="28">
        <f>'Calculation of Excess Commit MW'!E62</f>
        <v>30.712601145751506</v>
      </c>
    </row>
    <row r="18" spans="1:4" ht="15" customHeight="1" x14ac:dyDescent="0.2">
      <c r="A18" s="13" t="s">
        <v>12</v>
      </c>
      <c r="B18" s="28">
        <f>'Calculation of Excess Commit MW'!E63</f>
        <v>0</v>
      </c>
    </row>
    <row r="19" spans="1:4" ht="15" customHeight="1" x14ac:dyDescent="0.2">
      <c r="A19" s="13" t="s">
        <v>5</v>
      </c>
      <c r="B19" s="28">
        <f>'Calculation of Excess Commit MW'!E15</f>
        <v>57.048747253969587</v>
      </c>
    </row>
    <row r="20" spans="1:4" ht="15" customHeight="1" x14ac:dyDescent="0.2">
      <c r="A20" s="13" t="s">
        <v>13</v>
      </c>
      <c r="B20" s="28">
        <f>'Calculation of Excess Commit MW'!E65</f>
        <v>0</v>
      </c>
      <c r="C20" s="26" t="s">
        <v>8</v>
      </c>
    </row>
    <row r="21" spans="1:4" ht="15" customHeight="1" x14ac:dyDescent="0.2">
      <c r="A21" s="13" t="s">
        <v>54</v>
      </c>
      <c r="B21" s="28">
        <f>B31+B32</f>
        <v>0</v>
      </c>
    </row>
    <row r="22" spans="1:4" ht="15" customHeight="1" x14ac:dyDescent="0.2">
      <c r="A22" s="13" t="s">
        <v>6</v>
      </c>
      <c r="B22" s="28">
        <f>'Calculation of Excess Commit MW'!E68</f>
        <v>0.3557444148156545</v>
      </c>
    </row>
    <row r="23" spans="1:4" ht="15" customHeight="1" x14ac:dyDescent="0.2">
      <c r="A23" s="8"/>
      <c r="B23" s="29">
        <f>SUM(B3:B22)</f>
        <v>502.96165290175475</v>
      </c>
    </row>
    <row r="24" spans="1:4" x14ac:dyDescent="0.2">
      <c r="C24" s="2" t="s">
        <v>8</v>
      </c>
      <c r="D24" s="2"/>
    </row>
    <row r="26" spans="1:4" ht="78.75" x14ac:dyDescent="0.25">
      <c r="A26" s="11" t="s">
        <v>48</v>
      </c>
      <c r="B26" s="43" t="s">
        <v>47</v>
      </c>
    </row>
    <row r="27" spans="1:4" ht="15" customHeight="1" x14ac:dyDescent="0.2">
      <c r="A27" s="13" t="s">
        <v>40</v>
      </c>
      <c r="B27" s="18">
        <f>'Calculation of Excess Commit MW'!E49</f>
        <v>65.986902477684168</v>
      </c>
      <c r="C27" s="2" t="s">
        <v>8</v>
      </c>
      <c r="D27" s="2" t="s">
        <v>8</v>
      </c>
    </row>
    <row r="28" spans="1:4" ht="15" customHeight="1" x14ac:dyDescent="0.2">
      <c r="A28" s="13" t="s">
        <v>42</v>
      </c>
      <c r="B28" s="18">
        <f>'Calculation of Excess Commit MW'!E50</f>
        <v>0</v>
      </c>
    </row>
    <row r="29" spans="1:4" ht="15" customHeight="1" x14ac:dyDescent="0.2">
      <c r="A29" s="13" t="s">
        <v>26</v>
      </c>
      <c r="B29" s="18">
        <f>'Calculation of Excess Commit MW'!E57</f>
        <v>16.933434145225121</v>
      </c>
    </row>
    <row r="30" spans="1:4" ht="15" customHeight="1" x14ac:dyDescent="0.2">
      <c r="A30" s="13" t="s">
        <v>25</v>
      </c>
      <c r="B30" s="18">
        <f>'Calculation of Excess Commit MW'!E58</f>
        <v>0</v>
      </c>
    </row>
    <row r="31" spans="1:4" ht="15" customHeight="1" x14ac:dyDescent="0.2">
      <c r="A31" s="13" t="s">
        <v>27</v>
      </c>
      <c r="B31" s="18">
        <f>'Calculation of Excess Commit MW'!E66</f>
        <v>0</v>
      </c>
    </row>
    <row r="32" spans="1:4" ht="15" customHeight="1" x14ac:dyDescent="0.2">
      <c r="A32" s="13" t="s">
        <v>22</v>
      </c>
      <c r="B32" s="28">
        <f>'Calculation of Excess Commit MW'!E67</f>
        <v>0</v>
      </c>
    </row>
    <row r="33" spans="1:7" ht="15" customHeight="1" x14ac:dyDescent="0.2">
      <c r="A33" s="30"/>
      <c r="B33" s="31"/>
      <c r="C33" s="31"/>
      <c r="D33" s="31"/>
    </row>
    <row r="34" spans="1:7" x14ac:dyDescent="0.2">
      <c r="A34" s="32" t="s">
        <v>49</v>
      </c>
    </row>
    <row r="35" spans="1:7" x14ac:dyDescent="0.2">
      <c r="A35" s="57" t="s">
        <v>52</v>
      </c>
      <c r="B35" s="57"/>
      <c r="C35" s="57"/>
      <c r="D35" s="57"/>
      <c r="E35" s="57"/>
      <c r="F35" s="57"/>
      <c r="G35" s="57"/>
    </row>
    <row r="36" spans="1:7" ht="32.25" customHeight="1" x14ac:dyDescent="0.2">
      <c r="A36" s="58" t="s">
        <v>58</v>
      </c>
      <c r="B36" s="58"/>
      <c r="C36" s="58"/>
      <c r="D36" s="58"/>
      <c r="E36" s="58"/>
      <c r="F36" s="58"/>
      <c r="G36" s="58"/>
    </row>
    <row r="37" spans="1:7" ht="32.25" customHeight="1" x14ac:dyDescent="0.2">
      <c r="A37" s="58" t="s">
        <v>57</v>
      </c>
      <c r="B37" s="58"/>
      <c r="C37" s="58"/>
      <c r="D37" s="58"/>
      <c r="E37" s="58"/>
      <c r="F37" s="58"/>
      <c r="G37" s="58"/>
    </row>
    <row r="38" spans="1:7" ht="31.9" customHeight="1" x14ac:dyDescent="0.2">
      <c r="A38" s="58" t="s">
        <v>59</v>
      </c>
      <c r="B38" s="58"/>
      <c r="C38" s="58"/>
      <c r="D38" s="58"/>
      <c r="E38" s="58"/>
      <c r="F38" s="58"/>
      <c r="G38" s="58"/>
    </row>
    <row r="39" spans="1:7" ht="28.5" customHeight="1" x14ac:dyDescent="0.2"/>
    <row r="40" spans="1:7" ht="17.25" customHeight="1" x14ac:dyDescent="0.2"/>
    <row r="41" spans="1:7" ht="14.25" customHeight="1" x14ac:dyDescent="0.2"/>
    <row r="42" spans="1:7" ht="14.25" customHeight="1" x14ac:dyDescent="0.2"/>
    <row r="43" spans="1:7" ht="27" customHeight="1" x14ac:dyDescent="0.2"/>
    <row r="44" spans="1:7" ht="14.25" customHeight="1" x14ac:dyDescent="0.2"/>
    <row r="45" spans="1:7" ht="14.25" customHeight="1" x14ac:dyDescent="0.2"/>
    <row r="46" spans="1:7" ht="14.25" customHeight="1" x14ac:dyDescent="0.2"/>
    <row r="47" spans="1:7" ht="14.25" customHeight="1" x14ac:dyDescent="0.2"/>
    <row r="48" spans="1:7" ht="14.25" customHeight="1" x14ac:dyDescent="0.2"/>
    <row r="49" spans="1:1" ht="45" customHeight="1" x14ac:dyDescent="0.2"/>
    <row r="50" spans="1:1" x14ac:dyDescent="0.2">
      <c r="A50" s="27"/>
    </row>
    <row r="52" spans="1:1" x14ac:dyDescent="0.2">
      <c r="A52" s="27" t="s">
        <v>71</v>
      </c>
    </row>
  </sheetData>
  <mergeCells count="4">
    <mergeCell ref="A35:G35"/>
    <mergeCell ref="A38:G38"/>
    <mergeCell ref="A36:G36"/>
    <mergeCell ref="A37:G37"/>
  </mergeCells>
  <pageMargins left="0.5" right="0.5" top="0.5" bottom="0.5" header="0" footer="0"/>
  <pageSetup scale="78" orientation="portrait" horizontalDpi="4294967295" verticalDpi="4294967295" r:id="rId1"/>
  <headerFooter>
    <oddHeader xml:space="preserve">&amp;L&amp;"Arial,Bold"&amp;14Zonal Allocation of 2021/2022 Delivery Year Excess Commitment Credits&amp;"Arial,Regular"&amp;10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showGridLines="0" view="pageLayout" zoomScale="120" zoomScaleNormal="100" zoomScalePageLayoutView="120" workbookViewId="0"/>
  </sheetViews>
  <sheetFormatPr defaultColWidth="0.28515625" defaultRowHeight="12.75" x14ac:dyDescent="0.2"/>
  <cols>
    <col min="1" max="1" width="17.85546875" style="1" customWidth="1"/>
    <col min="2" max="2" width="18" style="1" customWidth="1"/>
    <col min="3" max="3" width="17.7109375" style="1" customWidth="1"/>
    <col min="4" max="4" width="15.7109375" style="1" customWidth="1"/>
    <col min="5" max="7" width="18.7109375" style="1" customWidth="1"/>
    <col min="8" max="8" width="17.7109375" style="1" customWidth="1"/>
    <col min="9" max="11" width="10.7109375" style="1" customWidth="1"/>
    <col min="12" max="16384" width="0.28515625" style="1"/>
  </cols>
  <sheetData>
    <row r="1" spans="1:8" ht="20.100000000000001" customHeight="1" x14ac:dyDescent="0.2">
      <c r="A1" s="8"/>
      <c r="B1" s="8"/>
      <c r="C1" s="8"/>
      <c r="D1" s="8"/>
      <c r="E1" s="45" t="s">
        <v>43</v>
      </c>
      <c r="F1" s="47"/>
      <c r="G1" s="47"/>
      <c r="H1" s="47"/>
    </row>
    <row r="2" spans="1:8" ht="15" customHeight="1" x14ac:dyDescent="0.2">
      <c r="A2" s="33"/>
      <c r="B2" s="19"/>
      <c r="C2" s="19"/>
      <c r="D2" s="20" t="s">
        <v>44</v>
      </c>
      <c r="E2" s="9">
        <f>643-803.1</f>
        <v>-160.10000000000002</v>
      </c>
      <c r="F2" s="48"/>
    </row>
    <row r="3" spans="1:8" ht="15" customHeight="1" x14ac:dyDescent="0.2">
      <c r="A3" s="33"/>
      <c r="B3" s="19"/>
      <c r="C3" s="19"/>
      <c r="D3" s="20" t="s">
        <v>45</v>
      </c>
      <c r="E3" s="9">
        <f>84-803.1</f>
        <v>-719.1</v>
      </c>
      <c r="F3" s="48"/>
    </row>
    <row r="4" spans="1:8" ht="15" customHeight="1" x14ac:dyDescent="0.2">
      <c r="A4" s="21"/>
      <c r="B4" s="22"/>
      <c r="C4" s="22"/>
      <c r="D4" s="34" t="s">
        <v>50</v>
      </c>
      <c r="E4" s="10">
        <f>E2-E3</f>
        <v>559</v>
      </c>
      <c r="F4" s="49"/>
    </row>
    <row r="5" spans="1:8" x14ac:dyDescent="0.2">
      <c r="B5" s="3"/>
      <c r="C5" s="4"/>
      <c r="D5" s="5"/>
    </row>
    <row r="6" spans="1:8" ht="15.75" x14ac:dyDescent="0.25">
      <c r="A6" s="51" t="s">
        <v>66</v>
      </c>
      <c r="G6" s="6"/>
    </row>
    <row r="7" spans="1:8" ht="60" customHeight="1" x14ac:dyDescent="0.2">
      <c r="A7" s="15" t="s">
        <v>23</v>
      </c>
      <c r="B7" s="12" t="s">
        <v>62</v>
      </c>
      <c r="C7" s="12" t="s">
        <v>63</v>
      </c>
      <c r="D7" s="12" t="s">
        <v>64</v>
      </c>
      <c r="E7" s="46" t="s">
        <v>61</v>
      </c>
      <c r="F7" s="46" t="s">
        <v>60</v>
      </c>
    </row>
    <row r="8" spans="1:8" ht="15" customHeight="1" x14ac:dyDescent="0.2">
      <c r="A8" s="16" t="s">
        <v>29</v>
      </c>
      <c r="B8" s="35">
        <f>B47+B48+B55+B56+B59</f>
        <v>44027.799999999996</v>
      </c>
      <c r="C8" s="35">
        <f>C47+C48+C55+C56+C59</f>
        <v>44128</v>
      </c>
      <c r="D8" s="39">
        <f>MAX(0,B8-C8)</f>
        <v>0</v>
      </c>
      <c r="E8" s="39">
        <f>$E$4*D8/$D$23</f>
        <v>0</v>
      </c>
      <c r="F8" s="39">
        <f>E8</f>
        <v>0</v>
      </c>
    </row>
    <row r="9" spans="1:8" ht="15" customHeight="1" x14ac:dyDescent="0.2">
      <c r="A9" s="16" t="s">
        <v>31</v>
      </c>
      <c r="B9" s="35">
        <f>B61+B63</f>
        <v>5621</v>
      </c>
      <c r="C9" s="35">
        <f>C61+C63</f>
        <v>5753</v>
      </c>
      <c r="D9" s="39">
        <f t="shared" ref="D9:D22" si="0">MAX(0,B9-C9)</f>
        <v>0</v>
      </c>
      <c r="E9" s="39">
        <f t="shared" ref="E9:E22" si="1">$E$4*D9/$D$23</f>
        <v>0</v>
      </c>
      <c r="F9" s="39">
        <f t="shared" ref="F9:F11" si="2">E9</f>
        <v>0</v>
      </c>
    </row>
    <row r="10" spans="1:8" ht="15" customHeight="1" x14ac:dyDescent="0.2">
      <c r="A10" s="16" t="s">
        <v>30</v>
      </c>
      <c r="B10" s="35">
        <f>B46+B57+B60+B62+B68</f>
        <v>18196.599999999999</v>
      </c>
      <c r="C10" s="35">
        <f>C46+C57+C60+C62+C68</f>
        <v>17887.8</v>
      </c>
      <c r="D10" s="39">
        <f t="shared" si="0"/>
        <v>308.79999999999927</v>
      </c>
      <c r="E10" s="39">
        <f t="shared" si="1"/>
        <v>48.001779705792281</v>
      </c>
      <c r="F10" s="39">
        <f t="shared" si="2"/>
        <v>48.001779705792281</v>
      </c>
    </row>
    <row r="11" spans="1:8" ht="15" customHeight="1" x14ac:dyDescent="0.2">
      <c r="A11" s="16" t="s">
        <v>35</v>
      </c>
      <c r="B11" s="35">
        <v>0</v>
      </c>
      <c r="C11" s="35">
        <v>0</v>
      </c>
      <c r="D11" s="39">
        <f t="shared" si="0"/>
        <v>0</v>
      </c>
      <c r="E11" s="39">
        <f t="shared" si="1"/>
        <v>0</v>
      </c>
      <c r="F11" s="39">
        <f t="shared" si="2"/>
        <v>0</v>
      </c>
    </row>
    <row r="12" spans="1:8" ht="15" customHeight="1" x14ac:dyDescent="0.2">
      <c r="A12" s="16" t="s">
        <v>27</v>
      </c>
      <c r="B12" s="35">
        <f>B66</f>
        <v>4779.8</v>
      </c>
      <c r="C12" s="35">
        <f>C66</f>
        <v>4493.8</v>
      </c>
      <c r="D12" s="39">
        <f t="shared" si="0"/>
        <v>286</v>
      </c>
      <c r="E12" s="39">
        <f t="shared" si="1"/>
        <v>44.457606851867304</v>
      </c>
      <c r="F12" s="39">
        <v>0</v>
      </c>
    </row>
    <row r="13" spans="1:8" ht="15" customHeight="1" x14ac:dyDescent="0.2">
      <c r="A13" s="16" t="s">
        <v>22</v>
      </c>
      <c r="B13" s="35">
        <f>B67</f>
        <v>4583.2</v>
      </c>
      <c r="C13" s="35">
        <f>C67</f>
        <v>4868.2</v>
      </c>
      <c r="D13" s="39">
        <f t="shared" si="0"/>
        <v>0</v>
      </c>
      <c r="E13" s="39">
        <f t="shared" si="1"/>
        <v>0</v>
      </c>
      <c r="F13" s="39">
        <f>E13</f>
        <v>0</v>
      </c>
    </row>
    <row r="14" spans="1:8" ht="15" customHeight="1" x14ac:dyDescent="0.2">
      <c r="A14" s="17" t="s">
        <v>25</v>
      </c>
      <c r="B14" s="36">
        <f>B58</f>
        <v>2213.4</v>
      </c>
      <c r="C14" s="36">
        <f>C58</f>
        <v>2323.1999999999998</v>
      </c>
      <c r="D14" s="39">
        <f t="shared" si="0"/>
        <v>0</v>
      </c>
      <c r="E14" s="39">
        <f t="shared" si="1"/>
        <v>0</v>
      </c>
      <c r="F14" s="39">
        <f t="shared" ref="F14:F16" si="3">E14</f>
        <v>0</v>
      </c>
    </row>
    <row r="15" spans="1:8" ht="15" customHeight="1" x14ac:dyDescent="0.2">
      <c r="A15" s="17" t="s">
        <v>5</v>
      </c>
      <c r="B15" s="36">
        <f>B64</f>
        <v>6112</v>
      </c>
      <c r="C15" s="36">
        <f>C64</f>
        <v>5745</v>
      </c>
      <c r="D15" s="39">
        <f t="shared" si="0"/>
        <v>367</v>
      </c>
      <c r="E15" s="39">
        <f t="shared" si="1"/>
        <v>57.048747253969587</v>
      </c>
      <c r="F15" s="39">
        <f t="shared" si="3"/>
        <v>57.048747253969587</v>
      </c>
    </row>
    <row r="16" spans="1:8" ht="15" customHeight="1" x14ac:dyDescent="0.2">
      <c r="A16" s="17" t="s">
        <v>40</v>
      </c>
      <c r="B16" s="36">
        <f>B49</f>
        <v>8223.4</v>
      </c>
      <c r="C16" s="36">
        <f>C49</f>
        <v>7798.9</v>
      </c>
      <c r="D16" s="39">
        <f t="shared" si="0"/>
        <v>424.5</v>
      </c>
      <c r="E16" s="39">
        <f t="shared" si="1"/>
        <v>65.986902477684168</v>
      </c>
      <c r="F16" s="39">
        <f t="shared" si="3"/>
        <v>65.986902477684168</v>
      </c>
    </row>
    <row r="17" spans="1:6" ht="15" customHeight="1" x14ac:dyDescent="0.2">
      <c r="A17" s="17" t="s">
        <v>42</v>
      </c>
      <c r="B17" s="36">
        <f>B50</f>
        <v>4200.6000000000004</v>
      </c>
      <c r="C17" s="36">
        <f>C50</f>
        <v>4126.1000000000004</v>
      </c>
      <c r="D17" s="39">
        <f t="shared" si="0"/>
        <v>74.5</v>
      </c>
      <c r="E17" s="39">
        <f t="shared" si="1"/>
        <v>11.580740246378022</v>
      </c>
      <c r="F17" s="39">
        <v>0</v>
      </c>
    </row>
    <row r="18" spans="1:6" ht="15" customHeight="1" x14ac:dyDescent="0.2">
      <c r="A18" s="17" t="s">
        <v>11</v>
      </c>
      <c r="B18" s="36">
        <f>B52</f>
        <v>21458</v>
      </c>
      <c r="C18" s="36">
        <f>C52</f>
        <v>19360</v>
      </c>
      <c r="D18" s="39">
        <f t="shared" si="0"/>
        <v>2098</v>
      </c>
      <c r="E18" s="39">
        <f t="shared" si="1"/>
        <v>326.12608103222942</v>
      </c>
      <c r="F18" s="39">
        <f>E18</f>
        <v>326.12608103222942</v>
      </c>
    </row>
    <row r="19" spans="1:6" ht="15" customHeight="1" x14ac:dyDescent="0.2">
      <c r="A19" s="17" t="s">
        <v>2</v>
      </c>
      <c r="B19" s="36">
        <f>B51</f>
        <v>6386</v>
      </c>
      <c r="C19" s="36">
        <f>C51</f>
        <v>6383</v>
      </c>
      <c r="D19" s="39">
        <f t="shared" si="0"/>
        <v>3</v>
      </c>
      <c r="E19" s="39">
        <f t="shared" si="1"/>
        <v>0.46633853341119552</v>
      </c>
      <c r="F19" s="39">
        <f t="shared" ref="F19:F22" si="4">E19</f>
        <v>0.46633853341119552</v>
      </c>
    </row>
    <row r="20" spans="1:6" ht="15" customHeight="1" x14ac:dyDescent="0.2">
      <c r="A20" s="17" t="s">
        <v>13</v>
      </c>
      <c r="B20" s="36">
        <f>B65</f>
        <v>7029</v>
      </c>
      <c r="C20" s="36">
        <f>C65</f>
        <v>7173</v>
      </c>
      <c r="D20" s="39">
        <f t="shared" si="0"/>
        <v>0</v>
      </c>
      <c r="E20" s="39">
        <f t="shared" si="1"/>
        <v>0</v>
      </c>
      <c r="F20" s="39">
        <f t="shared" si="4"/>
        <v>0</v>
      </c>
    </row>
    <row r="21" spans="1:6" ht="15" customHeight="1" x14ac:dyDescent="0.2">
      <c r="A21" s="17" t="s">
        <v>34</v>
      </c>
      <c r="B21" s="36">
        <f>B53</f>
        <v>3252</v>
      </c>
      <c r="C21" s="36">
        <f>C53</f>
        <v>3302</v>
      </c>
      <c r="D21" s="39">
        <f t="shared" si="0"/>
        <v>0</v>
      </c>
      <c r="E21" s="39">
        <f t="shared" si="1"/>
        <v>0</v>
      </c>
      <c r="F21" s="39">
        <f t="shared" si="4"/>
        <v>0</v>
      </c>
    </row>
    <row r="22" spans="1:6" ht="15" customHeight="1" x14ac:dyDescent="0.2">
      <c r="A22" s="17" t="s">
        <v>37</v>
      </c>
      <c r="B22" s="36">
        <f>B54</f>
        <v>4457.5</v>
      </c>
      <c r="C22" s="36">
        <f>C54</f>
        <v>4423.2</v>
      </c>
      <c r="D22" s="39">
        <f t="shared" si="0"/>
        <v>34.300000000000182</v>
      </c>
      <c r="E22" s="39">
        <f t="shared" si="1"/>
        <v>5.3318038986680305</v>
      </c>
      <c r="F22" s="39">
        <f t="shared" si="4"/>
        <v>5.3318038986680305</v>
      </c>
    </row>
    <row r="23" spans="1:6" ht="15" customHeight="1" x14ac:dyDescent="0.2">
      <c r="A23" s="17" t="s">
        <v>24</v>
      </c>
      <c r="B23" s="37">
        <f>SUM(B8:B22)</f>
        <v>140540.29999999999</v>
      </c>
      <c r="C23" s="37">
        <f>SUM(C8:C22)</f>
        <v>137765.20000000001</v>
      </c>
      <c r="D23" s="37">
        <f>SUM(D8:D22)</f>
        <v>3596.0999999999995</v>
      </c>
      <c r="E23" s="37">
        <f>SUM(E8:E22)</f>
        <v>559</v>
      </c>
      <c r="F23" s="37">
        <f>SUM(F8:F22)</f>
        <v>502.96165290175469</v>
      </c>
    </row>
    <row r="24" spans="1:6" ht="39" customHeight="1" x14ac:dyDescent="0.2">
      <c r="A24" s="59" t="s">
        <v>70</v>
      </c>
      <c r="B24" s="60"/>
      <c r="C24" s="60"/>
      <c r="D24" s="60"/>
      <c r="E24" s="60"/>
      <c r="F24" s="61"/>
    </row>
    <row r="26" spans="1:6" ht="15.75" x14ac:dyDescent="0.25">
      <c r="A26" s="7" t="s">
        <v>53</v>
      </c>
    </row>
    <row r="27" spans="1:6" ht="51" x14ac:dyDescent="0.2">
      <c r="A27" s="15" t="s">
        <v>23</v>
      </c>
      <c r="B27" s="12" t="s">
        <v>36</v>
      </c>
      <c r="C27" s="12" t="s">
        <v>17</v>
      </c>
      <c r="D27" s="46" t="s">
        <v>16</v>
      </c>
      <c r="E27" s="46" t="s">
        <v>69</v>
      </c>
    </row>
    <row r="28" spans="1:6" x14ac:dyDescent="0.2">
      <c r="A28" s="16" t="s">
        <v>18</v>
      </c>
      <c r="B28" s="41">
        <v>153160.80000000002</v>
      </c>
      <c r="C28" s="41">
        <v>149764.6</v>
      </c>
      <c r="D28" s="50">
        <f>MAX(B28-C28,0)</f>
        <v>3396.2000000000116</v>
      </c>
      <c r="E28" s="50">
        <f>E23</f>
        <v>559</v>
      </c>
    </row>
    <row r="29" spans="1:6" x14ac:dyDescent="0.2">
      <c r="A29" s="16" t="s">
        <v>19</v>
      </c>
      <c r="B29" s="41">
        <v>64919</v>
      </c>
      <c r="C29" s="41">
        <v>64113</v>
      </c>
      <c r="D29" s="50">
        <f>MAX(B29-C29,0)</f>
        <v>806</v>
      </c>
      <c r="E29" s="50">
        <f>E9+E10+E11+E12+E13+E14+E15+E19</f>
        <v>149.97447234504037</v>
      </c>
    </row>
    <row r="30" spans="1:6" x14ac:dyDescent="0.2">
      <c r="A30" s="16" t="s">
        <v>20</v>
      </c>
      <c r="B30" s="41">
        <v>35994</v>
      </c>
      <c r="C30" s="41">
        <v>35660</v>
      </c>
      <c r="D30" s="50">
        <f t="shared" ref="D30:D42" si="5">MAX(B30-C30,0)</f>
        <v>334</v>
      </c>
      <c r="E30" s="50">
        <f>E10+E12+E13+E14</f>
        <v>92.459386557659585</v>
      </c>
    </row>
    <row r="31" spans="1:6" x14ac:dyDescent="0.2">
      <c r="A31" s="16" t="s">
        <v>21</v>
      </c>
      <c r="B31" s="41">
        <v>15259</v>
      </c>
      <c r="C31" s="41">
        <v>14925</v>
      </c>
      <c r="D31" s="50">
        <f t="shared" si="5"/>
        <v>334</v>
      </c>
      <c r="E31" s="50">
        <f>E11+E15+E19</f>
        <v>57.515085787380784</v>
      </c>
    </row>
    <row r="32" spans="1:6" x14ac:dyDescent="0.2">
      <c r="A32" s="16" t="s">
        <v>14</v>
      </c>
      <c r="B32" s="41">
        <v>11501</v>
      </c>
      <c r="C32" s="41">
        <v>11605</v>
      </c>
      <c r="D32" s="56">
        <f t="shared" si="5"/>
        <v>0</v>
      </c>
      <c r="E32" s="56">
        <f>E12+E13</f>
        <v>44.457606851867304</v>
      </c>
    </row>
    <row r="33" spans="1:6" x14ac:dyDescent="0.2">
      <c r="A33" s="16" t="s">
        <v>22</v>
      </c>
      <c r="B33" s="41">
        <v>5810</v>
      </c>
      <c r="C33" s="41">
        <v>6139</v>
      </c>
      <c r="D33" s="50">
        <f t="shared" si="5"/>
        <v>0</v>
      </c>
      <c r="E33" s="50">
        <f>E13</f>
        <v>0</v>
      </c>
    </row>
    <row r="34" spans="1:6" x14ac:dyDescent="0.2">
      <c r="A34" s="17" t="s">
        <v>25</v>
      </c>
      <c r="B34" s="41">
        <v>2907</v>
      </c>
      <c r="C34" s="41">
        <v>3137</v>
      </c>
      <c r="D34" s="50">
        <f t="shared" si="5"/>
        <v>0</v>
      </c>
      <c r="E34" s="50">
        <f>E14</f>
        <v>0</v>
      </c>
    </row>
    <row r="35" spans="1:6" x14ac:dyDescent="0.2">
      <c r="A35" s="17" t="s">
        <v>51</v>
      </c>
      <c r="B35" s="41">
        <v>8073</v>
      </c>
      <c r="C35" s="41">
        <v>7716</v>
      </c>
      <c r="D35" s="50">
        <f t="shared" si="5"/>
        <v>357</v>
      </c>
      <c r="E35" s="50">
        <f>E15</f>
        <v>57.048747253969587</v>
      </c>
    </row>
    <row r="36" spans="1:6" x14ac:dyDescent="0.2">
      <c r="A36" s="17" t="s">
        <v>32</v>
      </c>
      <c r="B36" s="41">
        <v>15598</v>
      </c>
      <c r="C36" s="41">
        <v>14855</v>
      </c>
      <c r="D36" s="50">
        <f t="shared" si="5"/>
        <v>743</v>
      </c>
      <c r="E36" s="50">
        <f>E16+E17</f>
        <v>77.567642724062196</v>
      </c>
    </row>
    <row r="37" spans="1:6" x14ac:dyDescent="0.2">
      <c r="A37" s="17" t="s">
        <v>42</v>
      </c>
      <c r="B37" s="41">
        <v>5258</v>
      </c>
      <c r="C37" s="41">
        <v>5730</v>
      </c>
      <c r="D37" s="56">
        <f t="shared" si="5"/>
        <v>0</v>
      </c>
      <c r="E37" s="56">
        <f t="shared" ref="E37:E42" si="6">E17</f>
        <v>11.580740246378022</v>
      </c>
    </row>
    <row r="38" spans="1:6" x14ac:dyDescent="0.2">
      <c r="A38" s="17" t="s">
        <v>11</v>
      </c>
      <c r="B38" s="41">
        <v>26112</v>
      </c>
      <c r="C38" s="41">
        <v>23863</v>
      </c>
      <c r="D38" s="50">
        <f t="shared" si="5"/>
        <v>2249</v>
      </c>
      <c r="E38" s="50">
        <f t="shared" si="6"/>
        <v>326.12608103222942</v>
      </c>
    </row>
    <row r="39" spans="1:6" x14ac:dyDescent="0.2">
      <c r="A39" s="17" t="s">
        <v>2</v>
      </c>
      <c r="B39" s="41">
        <v>7910</v>
      </c>
      <c r="C39" s="41">
        <v>7773</v>
      </c>
      <c r="D39" s="50">
        <f t="shared" si="5"/>
        <v>137</v>
      </c>
      <c r="E39" s="50">
        <f t="shared" si="6"/>
        <v>0.46633853341119552</v>
      </c>
    </row>
    <row r="40" spans="1:6" x14ac:dyDescent="0.2">
      <c r="A40" s="17" t="s">
        <v>13</v>
      </c>
      <c r="B40" s="41">
        <v>9974</v>
      </c>
      <c r="C40" s="41">
        <v>10199</v>
      </c>
      <c r="D40" s="50">
        <f t="shared" si="5"/>
        <v>0</v>
      </c>
      <c r="E40" s="50">
        <f t="shared" si="6"/>
        <v>0</v>
      </c>
    </row>
    <row r="41" spans="1:6" x14ac:dyDescent="0.2">
      <c r="A41" s="17" t="s">
        <v>34</v>
      </c>
      <c r="B41" s="41">
        <v>3979</v>
      </c>
      <c r="C41" s="41">
        <v>3922</v>
      </c>
      <c r="D41" s="50">
        <f t="shared" si="5"/>
        <v>57</v>
      </c>
      <c r="E41" s="50">
        <f t="shared" si="6"/>
        <v>0</v>
      </c>
    </row>
    <row r="42" spans="1:6" x14ac:dyDescent="0.2">
      <c r="A42" s="17" t="s">
        <v>37</v>
      </c>
      <c r="B42" s="41">
        <v>7129.0421999999999</v>
      </c>
      <c r="C42" s="41">
        <v>6981.2719999999999</v>
      </c>
      <c r="D42" s="50">
        <f t="shared" si="5"/>
        <v>147.77019999999993</v>
      </c>
      <c r="E42" s="50">
        <f t="shared" si="6"/>
        <v>5.3318038986680305</v>
      </c>
    </row>
    <row r="44" spans="1:6" ht="15.75" x14ac:dyDescent="0.25">
      <c r="A44" s="55" t="s">
        <v>67</v>
      </c>
    </row>
    <row r="45" spans="1:6" ht="63.75" x14ac:dyDescent="0.2">
      <c r="A45" s="11" t="s">
        <v>41</v>
      </c>
      <c r="B45" s="12" t="s">
        <v>62</v>
      </c>
      <c r="C45" s="12" t="s">
        <v>63</v>
      </c>
      <c r="D45" s="12" t="s">
        <v>65</v>
      </c>
      <c r="E45" s="12" t="s">
        <v>68</v>
      </c>
      <c r="F45" s="12" t="s">
        <v>28</v>
      </c>
    </row>
    <row r="46" spans="1:6" x14ac:dyDescent="0.2">
      <c r="A46" s="13" t="s">
        <v>33</v>
      </c>
      <c r="B46" s="35">
        <v>2308</v>
      </c>
      <c r="C46" s="35">
        <v>2395</v>
      </c>
      <c r="D46" s="39">
        <f>MAX(0,B46-C46)</f>
        <v>0</v>
      </c>
      <c r="E46" s="39">
        <f>IFERROR(D46/(D46+D57+D60+D62+D68)*F10,0)</f>
        <v>0</v>
      </c>
      <c r="F46" s="13" t="s">
        <v>30</v>
      </c>
    </row>
    <row r="47" spans="1:6" x14ac:dyDescent="0.2">
      <c r="A47" s="13" t="s">
        <v>10</v>
      </c>
      <c r="B47" s="35">
        <v>10914.7</v>
      </c>
      <c r="C47" s="35">
        <v>11081.6</v>
      </c>
      <c r="D47" s="39">
        <f t="shared" ref="D47:D68" si="7">MAX(0,B47-C47)</f>
        <v>0</v>
      </c>
      <c r="E47" s="39">
        <f>IFERROR(D47/(D47+D48+D55+D56+D59)*F8,0)</f>
        <v>0</v>
      </c>
      <c r="F47" s="13" t="s">
        <v>29</v>
      </c>
    </row>
    <row r="48" spans="1:6" x14ac:dyDescent="0.2">
      <c r="A48" s="13" t="s">
        <v>7</v>
      </c>
      <c r="B48" s="35">
        <v>8862</v>
      </c>
      <c r="C48" s="35">
        <v>8573</v>
      </c>
      <c r="D48" s="39">
        <f t="shared" si="7"/>
        <v>289</v>
      </c>
      <c r="E48" s="39">
        <f>IFERROR(D48/(D47+D48+D55+D56+D59)*F8,0)</f>
        <v>0</v>
      </c>
      <c r="F48" s="13" t="s">
        <v>29</v>
      </c>
    </row>
    <row r="49" spans="1:12" x14ac:dyDescent="0.2">
      <c r="A49" s="13" t="s">
        <v>40</v>
      </c>
      <c r="B49" s="35">
        <f>12424-B50</f>
        <v>8223.4</v>
      </c>
      <c r="C49" s="35">
        <f>11925-C50</f>
        <v>7798.9</v>
      </c>
      <c r="D49" s="39">
        <f t="shared" si="7"/>
        <v>424.5</v>
      </c>
      <c r="E49" s="39">
        <f>IFERROR(D49*F16/D16,0)</f>
        <v>65.986902477684168</v>
      </c>
      <c r="F49" s="13" t="s">
        <v>40</v>
      </c>
    </row>
    <row r="50" spans="1:12" x14ac:dyDescent="0.2">
      <c r="A50" s="13" t="s">
        <v>42</v>
      </c>
      <c r="B50" s="35">
        <v>4200.6000000000004</v>
      </c>
      <c r="C50" s="35">
        <v>4126.1000000000004</v>
      </c>
      <c r="D50" s="39">
        <f t="shared" si="7"/>
        <v>74.5</v>
      </c>
      <c r="E50" s="39">
        <f>IFERROR(D50*F17/D17,0)</f>
        <v>0</v>
      </c>
      <c r="F50" s="13" t="s">
        <v>39</v>
      </c>
    </row>
    <row r="51" spans="1:12" x14ac:dyDescent="0.2">
      <c r="A51" s="13" t="s">
        <v>2</v>
      </c>
      <c r="B51" s="35">
        <v>6386</v>
      </c>
      <c r="C51" s="35">
        <v>6383</v>
      </c>
      <c r="D51" s="39">
        <f t="shared" si="7"/>
        <v>3</v>
      </c>
      <c r="E51" s="39">
        <f>IFERROR(D51*F19/D19,0)</f>
        <v>0.46633853341119552</v>
      </c>
      <c r="F51" s="13" t="s">
        <v>2</v>
      </c>
    </row>
    <row r="52" spans="1:12" x14ac:dyDescent="0.2">
      <c r="A52" s="13" t="s">
        <v>11</v>
      </c>
      <c r="B52" s="35">
        <v>21458</v>
      </c>
      <c r="C52" s="35">
        <v>19360</v>
      </c>
      <c r="D52" s="39">
        <f t="shared" si="7"/>
        <v>2098</v>
      </c>
      <c r="E52" s="39">
        <f>IFERROR(D52*F18/D18,0)</f>
        <v>326.12608103222942</v>
      </c>
      <c r="F52" s="13" t="s">
        <v>11</v>
      </c>
      <c r="G52" s="6"/>
      <c r="H52" s="23"/>
    </row>
    <row r="53" spans="1:12" x14ac:dyDescent="0.2">
      <c r="A53" s="13" t="s">
        <v>34</v>
      </c>
      <c r="B53" s="35">
        <v>3252</v>
      </c>
      <c r="C53" s="35">
        <v>3302</v>
      </c>
      <c r="D53" s="39">
        <f t="shared" si="7"/>
        <v>0</v>
      </c>
      <c r="E53" s="39">
        <f>IFERROR(D53*F21/D21,0)</f>
        <v>0</v>
      </c>
      <c r="F53" s="13" t="s">
        <v>34</v>
      </c>
      <c r="H53" s="24"/>
    </row>
    <row r="54" spans="1:12" ht="15" customHeight="1" x14ac:dyDescent="0.2">
      <c r="A54" s="13" t="s">
        <v>37</v>
      </c>
      <c r="B54" s="35">
        <v>4457.5</v>
      </c>
      <c r="C54" s="35">
        <v>4423.2</v>
      </c>
      <c r="D54" s="39">
        <f t="shared" si="7"/>
        <v>34.300000000000182</v>
      </c>
      <c r="E54" s="39">
        <f>IFERROR(D54*F22/D22,0)</f>
        <v>5.3318038986680305</v>
      </c>
      <c r="F54" s="13" t="s">
        <v>37</v>
      </c>
      <c r="G54" s="40" t="s">
        <v>8</v>
      </c>
      <c r="H54" s="25" t="s">
        <v>8</v>
      </c>
      <c r="I54" s="1" t="s">
        <v>8</v>
      </c>
      <c r="J54" s="1" t="s">
        <v>8</v>
      </c>
      <c r="K54" s="1" t="s">
        <v>8</v>
      </c>
      <c r="L54" s="1" t="s">
        <v>8</v>
      </c>
    </row>
    <row r="55" spans="1:12" ht="15" customHeight="1" x14ac:dyDescent="0.2">
      <c r="A55" s="13" t="s">
        <v>15</v>
      </c>
      <c r="B55" s="35">
        <v>2744</v>
      </c>
      <c r="C55" s="35">
        <v>2629</v>
      </c>
      <c r="D55" s="39">
        <f t="shared" si="7"/>
        <v>115</v>
      </c>
      <c r="E55" s="39">
        <f>IFERROR(D55/(D47+D48+D55+D56+D59)*F8,0)</f>
        <v>0</v>
      </c>
      <c r="F55" s="13" t="s">
        <v>29</v>
      </c>
      <c r="G55" s="40" t="s">
        <v>8</v>
      </c>
      <c r="H55" s="25" t="s">
        <v>8</v>
      </c>
      <c r="I55" s="1" t="s">
        <v>8</v>
      </c>
      <c r="J55" s="1" t="s">
        <v>8</v>
      </c>
      <c r="K55" s="1" t="s">
        <v>8</v>
      </c>
      <c r="L55" s="1" t="s">
        <v>8</v>
      </c>
    </row>
    <row r="56" spans="1:12" ht="15" customHeight="1" x14ac:dyDescent="0.2">
      <c r="A56" s="13" t="s">
        <v>9</v>
      </c>
      <c r="B56" s="35">
        <v>19330</v>
      </c>
      <c r="C56" s="35">
        <v>19540</v>
      </c>
      <c r="D56" s="39">
        <f t="shared" si="7"/>
        <v>0</v>
      </c>
      <c r="E56" s="39">
        <f>IFERROR(D56/(D47+D48+D55+D56+D59)*F8,0)</f>
        <v>0</v>
      </c>
      <c r="F56" s="13" t="s">
        <v>29</v>
      </c>
      <c r="G56" s="40" t="s">
        <v>8</v>
      </c>
      <c r="H56" s="25" t="s">
        <v>8</v>
      </c>
    </row>
    <row r="57" spans="1:12" ht="15" customHeight="1" x14ac:dyDescent="0.2">
      <c r="A57" s="13" t="s">
        <v>26</v>
      </c>
      <c r="B57" s="35">
        <f>3756-B58</f>
        <v>1542.6</v>
      </c>
      <c r="C57" s="35">
        <f>3723-C58</f>
        <v>1399.8000000000002</v>
      </c>
      <c r="D57" s="39">
        <f t="shared" si="7"/>
        <v>142.79999999999973</v>
      </c>
      <c r="E57" s="39">
        <f>IFERROR(D57/(D46+D57+D60+D62+D68)*F10,0)</f>
        <v>16.933434145225121</v>
      </c>
      <c r="F57" s="13" t="s">
        <v>30</v>
      </c>
      <c r="G57" s="40" t="s">
        <v>8</v>
      </c>
      <c r="H57" s="25" t="s">
        <v>8</v>
      </c>
    </row>
    <row r="58" spans="1:12" ht="15" customHeight="1" x14ac:dyDescent="0.2">
      <c r="A58" s="13" t="s">
        <v>25</v>
      </c>
      <c r="B58" s="35">
        <v>2213.4</v>
      </c>
      <c r="C58" s="35">
        <v>2323.1999999999998</v>
      </c>
      <c r="D58" s="39">
        <f t="shared" si="7"/>
        <v>0</v>
      </c>
      <c r="E58" s="39">
        <f>IFERROR(D58*F14/D14,0)</f>
        <v>0</v>
      </c>
      <c r="F58" s="13" t="s">
        <v>25</v>
      </c>
      <c r="G58" s="40" t="s">
        <v>8</v>
      </c>
      <c r="H58" s="25" t="s">
        <v>8</v>
      </c>
    </row>
    <row r="59" spans="1:12" ht="15" customHeight="1" x14ac:dyDescent="0.2">
      <c r="A59" s="13" t="s">
        <v>38</v>
      </c>
      <c r="B59" s="35">
        <v>2177.1</v>
      </c>
      <c r="C59" s="35">
        <v>2304.4</v>
      </c>
      <c r="D59" s="39">
        <f t="shared" si="7"/>
        <v>0</v>
      </c>
      <c r="E59" s="39">
        <f>IFERROR(D59/(D47+D48+D55+D56+D59)*F8,0)</f>
        <v>0</v>
      </c>
      <c r="F59" s="13" t="s">
        <v>29</v>
      </c>
      <c r="G59" s="40" t="s">
        <v>8</v>
      </c>
      <c r="H59" s="25" t="s">
        <v>8</v>
      </c>
    </row>
    <row r="60" spans="1:12" ht="15" customHeight="1" x14ac:dyDescent="0.2">
      <c r="A60" s="13" t="s">
        <v>3</v>
      </c>
      <c r="B60" s="35">
        <v>5616</v>
      </c>
      <c r="C60" s="35">
        <v>5625</v>
      </c>
      <c r="D60" s="39">
        <f t="shared" si="7"/>
        <v>0</v>
      </c>
      <c r="E60" s="39">
        <f>IFERROR(D60/(D46+D57+D60+D62+D68)*F10,0)</f>
        <v>0</v>
      </c>
      <c r="F60" s="13" t="s">
        <v>30</v>
      </c>
      <c r="G60" s="40" t="s">
        <v>8</v>
      </c>
      <c r="H60" s="25" t="s">
        <v>8</v>
      </c>
    </row>
    <row r="61" spans="1:12" ht="15" customHeight="1" x14ac:dyDescent="0.2">
      <c r="A61" s="13" t="s">
        <v>4</v>
      </c>
      <c r="B61" s="35">
        <v>2867</v>
      </c>
      <c r="C61" s="35">
        <v>2962</v>
      </c>
      <c r="D61" s="39">
        <f t="shared" si="7"/>
        <v>0</v>
      </c>
      <c r="E61" s="39">
        <f>IFERROR(D61/(D61+D63)*F9,0)</f>
        <v>0</v>
      </c>
      <c r="F61" s="13" t="s">
        <v>31</v>
      </c>
      <c r="G61" s="40" t="s">
        <v>8</v>
      </c>
      <c r="H61" s="25" t="s">
        <v>8</v>
      </c>
    </row>
    <row r="62" spans="1:12" ht="15" customHeight="1" x14ac:dyDescent="0.2">
      <c r="A62" s="13" t="s">
        <v>1</v>
      </c>
      <c r="B62" s="35">
        <v>8351</v>
      </c>
      <c r="C62" s="35">
        <v>8092</v>
      </c>
      <c r="D62" s="39">
        <f t="shared" si="7"/>
        <v>259</v>
      </c>
      <c r="E62" s="39">
        <f>IFERROR(D62/(D46+D57+D60+D62+D68)*F10,0)</f>
        <v>30.712601145751506</v>
      </c>
      <c r="F62" s="13" t="s">
        <v>30</v>
      </c>
      <c r="G62" s="40" t="s">
        <v>8</v>
      </c>
      <c r="H62" s="25" t="s">
        <v>8</v>
      </c>
    </row>
    <row r="63" spans="1:12" ht="15" customHeight="1" x14ac:dyDescent="0.2">
      <c r="A63" s="13" t="s">
        <v>12</v>
      </c>
      <c r="B63" s="35">
        <v>2754</v>
      </c>
      <c r="C63" s="35">
        <v>2791</v>
      </c>
      <c r="D63" s="39">
        <f t="shared" si="7"/>
        <v>0</v>
      </c>
      <c r="E63" s="39">
        <f>IFERROR(D63/(D61+D63)*F9,0)</f>
        <v>0</v>
      </c>
      <c r="F63" s="13" t="s">
        <v>31</v>
      </c>
      <c r="G63" s="40" t="s">
        <v>8</v>
      </c>
      <c r="H63" s="25" t="s">
        <v>8</v>
      </c>
    </row>
    <row r="64" spans="1:12" ht="15" customHeight="1" x14ac:dyDescent="0.2">
      <c r="A64" s="13" t="s">
        <v>5</v>
      </c>
      <c r="B64" s="35">
        <v>6112</v>
      </c>
      <c r="C64" s="35">
        <v>5745</v>
      </c>
      <c r="D64" s="39">
        <f t="shared" si="7"/>
        <v>367</v>
      </c>
      <c r="E64" s="39">
        <f>IFERROR(D64*F15/D15,0)</f>
        <v>57.048747253969587</v>
      </c>
      <c r="F64" s="13" t="s">
        <v>5</v>
      </c>
      <c r="G64" s="40" t="s">
        <v>8</v>
      </c>
      <c r="H64" s="25" t="s">
        <v>8</v>
      </c>
    </row>
    <row r="65" spans="1:8" ht="15" customHeight="1" x14ac:dyDescent="0.2">
      <c r="A65" s="13" t="s">
        <v>13</v>
      </c>
      <c r="B65" s="35">
        <v>7029</v>
      </c>
      <c r="C65" s="35">
        <v>7173</v>
      </c>
      <c r="D65" s="39">
        <f t="shared" si="7"/>
        <v>0</v>
      </c>
      <c r="E65" s="39">
        <f>IFERROR(D65*F20/D20,0)</f>
        <v>0</v>
      </c>
      <c r="F65" s="13" t="s">
        <v>13</v>
      </c>
      <c r="G65" s="40" t="s">
        <v>8</v>
      </c>
      <c r="H65" s="25" t="s">
        <v>8</v>
      </c>
    </row>
    <row r="66" spans="1:8" ht="15" customHeight="1" x14ac:dyDescent="0.2">
      <c r="A66" s="13" t="s">
        <v>27</v>
      </c>
      <c r="B66" s="35">
        <f>9363-B67</f>
        <v>4779.8</v>
      </c>
      <c r="C66" s="35">
        <f>9362-C67</f>
        <v>4493.8</v>
      </c>
      <c r="D66" s="39">
        <f t="shared" si="7"/>
        <v>286</v>
      </c>
      <c r="E66" s="39">
        <f>IFERROR(D66*F12/D12,0)</f>
        <v>0</v>
      </c>
      <c r="F66" s="13" t="s">
        <v>27</v>
      </c>
      <c r="G66" s="40" t="s">
        <v>8</v>
      </c>
      <c r="H66" s="25" t="s">
        <v>8</v>
      </c>
    </row>
    <row r="67" spans="1:8" ht="15" customHeight="1" x14ac:dyDescent="0.2">
      <c r="A67" s="13" t="s">
        <v>22</v>
      </c>
      <c r="B67" s="35">
        <v>4583.2</v>
      </c>
      <c r="C67" s="35">
        <v>4868.2</v>
      </c>
      <c r="D67" s="39">
        <f t="shared" si="7"/>
        <v>0</v>
      </c>
      <c r="E67" s="39">
        <f>IFERROR(D67*F13/D13,0)</f>
        <v>0</v>
      </c>
      <c r="F67" s="13" t="s">
        <v>22</v>
      </c>
      <c r="G67" s="40" t="s">
        <v>8</v>
      </c>
      <c r="H67" s="25" t="s">
        <v>8</v>
      </c>
    </row>
    <row r="68" spans="1:8" ht="15" customHeight="1" x14ac:dyDescent="0.2">
      <c r="A68" s="13" t="s">
        <v>6</v>
      </c>
      <c r="B68" s="35">
        <v>379</v>
      </c>
      <c r="C68" s="35">
        <v>376</v>
      </c>
      <c r="D68" s="39">
        <f t="shared" si="7"/>
        <v>3</v>
      </c>
      <c r="E68" s="39">
        <f>IFERROR(D68/(D46+D57+D60+D62+D68)*F10,0)</f>
        <v>0.3557444148156545</v>
      </c>
      <c r="F68" s="13" t="s">
        <v>30</v>
      </c>
      <c r="G68" s="40" t="s">
        <v>8</v>
      </c>
      <c r="H68" s="25" t="s">
        <v>8</v>
      </c>
    </row>
    <row r="69" spans="1:8" x14ac:dyDescent="0.2">
      <c r="A69" s="52" t="s">
        <v>24</v>
      </c>
      <c r="B69" s="53">
        <f>SUM(B46:B68)</f>
        <v>140540.30000000002</v>
      </c>
      <c r="C69" s="53">
        <f t="shared" ref="C69:E69" si="8">SUM(C46:C68)</f>
        <v>137765.20000000001</v>
      </c>
      <c r="D69" s="54">
        <f t="shared" si="8"/>
        <v>4096.1000000000004</v>
      </c>
      <c r="E69" s="54">
        <f t="shared" si="8"/>
        <v>502.96165290175475</v>
      </c>
      <c r="F69" s="42"/>
      <c r="G69" s="42"/>
      <c r="H69" s="42"/>
    </row>
    <row r="71" spans="1:8" ht="16.899999999999999" customHeight="1" x14ac:dyDescent="0.2"/>
    <row r="116" spans="1:5" x14ac:dyDescent="0.2">
      <c r="A116" s="8"/>
      <c r="B116" s="14">
        <f>SUM(B46:B68)</f>
        <v>140540.30000000002</v>
      </c>
      <c r="C116" s="14">
        <f>SUM(C46:C68)</f>
        <v>137765.20000000001</v>
      </c>
      <c r="D116" s="14">
        <f>SUM(D46:D68)</f>
        <v>4096.1000000000004</v>
      </c>
      <c r="E116" s="14">
        <f>SUM(E46:E68)</f>
        <v>502.96165290175475</v>
      </c>
    </row>
  </sheetData>
  <mergeCells count="1">
    <mergeCell ref="A24:F24"/>
  </mergeCells>
  <pageMargins left="0.45" right="0.45" top="0.5" bottom="0.5" header="0" footer="0.05"/>
  <pageSetup scale="43" orientation="portrait" horizontalDpi="4294967295" verticalDpi="4294967295" r:id="rId1"/>
  <headerFooter>
    <oddHeader>&amp;L&amp;"Arial,Bold"&amp;14Calculation of 2021/2022 Delivery Year Excess Commitment Credits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2021-22 Excess Commit MW</vt:lpstr>
      <vt:lpstr>Calculation of Excess Commit MW</vt:lpstr>
      <vt:lpstr>'2021-22 Excess Commit MW'!Print_Area</vt:lpstr>
      <vt:lpstr>'Calculation of Excess Commit MW'!Print_Area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Marzewski, Skyler</cp:lastModifiedBy>
  <cp:lastPrinted>2020-03-30T19:34:38Z</cp:lastPrinted>
  <dcterms:created xsi:type="dcterms:W3CDTF">2007-03-21T19:37:11Z</dcterms:created>
  <dcterms:modified xsi:type="dcterms:W3CDTF">2021-04-29T16:25:49Z</dcterms:modified>
</cp:coreProperties>
</file>