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2 Formula Rate/"/>
    </mc:Choice>
  </mc:AlternateContent>
  <xr:revisionPtr revIDLastSave="559" documentId="8_{1BB3FF67-5280-42C8-B5F2-3B8947E8E19F}" xr6:coauthVersionLast="46" xr6:coauthVersionMax="47" xr10:uidLastSave="{6955EBB3-5566-4B1E-9823-D3FDDD67786B}"/>
  <workbookProtection workbookAlgorithmName="SHA-512" workbookHashValue="2+/rYZ4KYorHAzSybCs9XqpZ5DDN91aDNq/x39Xmb/xMSobwxHXNESsf1GMjU7xO1wAu2U3BjtkylgWWWn5SiQ==" workbookSaltValue="cRjQaZ813djfmKuzeyhJaQ==" workbookSpinCount="100000" lockStructure="1"/>
  <bookViews>
    <workbookView xWindow="-289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8" l="1"/>
  <c r="J38" i="8"/>
  <c r="J40" i="8"/>
  <c r="K40" i="8"/>
  <c r="I41" i="8"/>
  <c r="H296" i="7" l="1"/>
  <c r="T117" i="7"/>
  <c r="H138" i="1"/>
  <c r="H278" i="1"/>
  <c r="I296" i="7" l="1"/>
  <c r="H73" i="1"/>
  <c r="H297" i="7" l="1"/>
  <c r="I297" i="7" s="1"/>
  <c r="J296" i="7"/>
  <c r="E21" i="47"/>
  <c r="K296" i="7" l="1"/>
  <c r="J297" i="7"/>
  <c r="D83" i="14"/>
  <c r="G82" i="14"/>
  <c r="F81" i="14"/>
  <c r="D79" i="14"/>
  <c r="D78" i="14"/>
  <c r="G77" i="14"/>
  <c r="C59" i="14"/>
  <c r="D37" i="14"/>
  <c r="D36" i="14"/>
  <c r="D35" i="14"/>
  <c r="F34" i="14"/>
  <c r="D33" i="14"/>
  <c r="G32" i="14"/>
  <c r="D31" i="14"/>
  <c r="G30" i="14"/>
  <c r="F29" i="14"/>
  <c r="G28" i="14"/>
  <c r="D27" i="14"/>
  <c r="G26" i="14"/>
  <c r="G38" i="14" s="1"/>
  <c r="L296" i="7" l="1"/>
  <c r="T230" i="7"/>
  <c r="T229" i="7"/>
  <c r="T222" i="7"/>
  <c r="T51" i="7"/>
  <c r="T48" i="7"/>
  <c r="T49" i="7"/>
  <c r="T50" i="7"/>
  <c r="T47" i="7"/>
  <c r="M296" i="7" l="1"/>
  <c r="K297" i="7"/>
  <c r="L297" i="7" l="1"/>
  <c r="M297" i="7" s="1"/>
  <c r="N296" i="7"/>
  <c r="N297" i="7" l="1"/>
  <c r="O296" i="7"/>
  <c r="P296" i="7" l="1"/>
  <c r="O297" i="7"/>
  <c r="D88" i="2"/>
  <c r="G87" i="2"/>
  <c r="F86" i="2"/>
  <c r="D85" i="2"/>
  <c r="D84" i="2"/>
  <c r="E84" i="2" s="1"/>
  <c r="D83" i="2"/>
  <c r="G82" i="2"/>
  <c r="Q296" i="7" l="1"/>
  <c r="P297" i="7"/>
  <c r="D18" i="5"/>
  <c r="R296" i="7" l="1"/>
  <c r="Q297" i="7"/>
  <c r="D26" i="5"/>
  <c r="T215" i="7"/>
  <c r="T213" i="7"/>
  <c r="T212" i="7"/>
  <c r="J214" i="7"/>
  <c r="I214" i="7"/>
  <c r="H214" i="7"/>
  <c r="T214" i="7" s="1"/>
  <c r="G214" i="7"/>
  <c r="S296" i="7" l="1"/>
  <c r="T298" i="7" s="1"/>
  <c r="R297" i="7"/>
  <c r="S297" i="7" s="1"/>
  <c r="S70" i="7"/>
  <c r="F281" i="1" l="1"/>
  <c r="A26" i="47" l="1"/>
  <c r="I17" i="2"/>
  <c r="S143" i="7" l="1"/>
  <c r="R143" i="7"/>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G64" i="40" s="1"/>
  <c r="G66" i="40" s="1"/>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N57" i="40" s="1"/>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E62" i="40" l="1"/>
  <c r="D62" i="40"/>
  <c r="U61" i="40"/>
  <c r="Y61" i="40"/>
  <c r="Q52" i="40"/>
  <c r="Q53" i="40" s="1"/>
  <c r="N18" i="40"/>
  <c r="P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P16" i="40"/>
  <c r="M14" i="40"/>
  <c r="L14" i="40"/>
  <c r="O14" i="40"/>
  <c r="N19" i="40"/>
  <c r="P19" i="40" s="1"/>
  <c r="I53" i="40"/>
  <c r="L51" i="40"/>
  <c r="G24" i="40"/>
  <c r="E24" i="40"/>
  <c r="S60" i="40"/>
  <c r="S58" i="40"/>
  <c r="G27" i="40"/>
  <c r="N59" i="40"/>
  <c r="P59" i="40" s="1"/>
  <c r="L56" i="40"/>
  <c r="I62" i="40"/>
  <c r="O56" i="40"/>
  <c r="O62" i="40" s="1"/>
  <c r="O64" i="40" s="1"/>
  <c r="M56" i="40"/>
  <c r="M62" i="40" s="1"/>
  <c r="M64" i="40" s="1"/>
  <c r="N15" i="40"/>
  <c r="P15" i="40" s="1"/>
  <c r="P57" i="40"/>
  <c r="Q18" i="40"/>
  <c r="R18" i="40" s="1"/>
  <c r="Y18" i="40"/>
  <c r="S18" i="40"/>
  <c r="U18" i="40"/>
  <c r="W18" i="40"/>
  <c r="N17" i="40"/>
  <c r="P17" i="40" s="1"/>
  <c r="N20" i="40"/>
  <c r="P20" i="40" s="1"/>
  <c r="R52" i="40" l="1"/>
  <c r="T52" i="40" s="1"/>
  <c r="V52" i="40" s="1"/>
  <c r="X52" i="40" s="1"/>
  <c r="Z52" i="40" s="1"/>
  <c r="T23" i="40"/>
  <c r="V23" i="40" s="1"/>
  <c r="X23" i="40" s="1"/>
  <c r="Z23" i="40" s="1"/>
  <c r="W21" i="40"/>
  <c r="V61" i="40"/>
  <c r="X61" i="40" s="1"/>
  <c r="Z61" i="40" s="1"/>
  <c r="W60" i="40"/>
  <c r="I64" i="40"/>
  <c r="I66" i="40" s="1"/>
  <c r="Q13" i="40"/>
  <c r="R13" i="40" s="1"/>
  <c r="U21" i="40"/>
  <c r="Y13" i="40"/>
  <c r="Y60" i="40"/>
  <c r="S13" i="40"/>
  <c r="N32" i="40"/>
  <c r="L36" i="40"/>
  <c r="S21" i="40"/>
  <c r="Y58" i="40"/>
  <c r="Q21" i="40"/>
  <c r="R21" i="40" s="1"/>
  <c r="T21" i="40" s="1"/>
  <c r="V21" i="40" s="1"/>
  <c r="X21" i="40" s="1"/>
  <c r="Z21" i="40" s="1"/>
  <c r="G29" i="40"/>
  <c r="I27" i="40"/>
  <c r="I29" i="40" s="1"/>
  <c r="W58" i="40"/>
  <c r="Q60" i="40"/>
  <c r="R60" i="40" s="1"/>
  <c r="T60" i="40" s="1"/>
  <c r="V60" i="40" s="1"/>
  <c r="X60" i="40" s="1"/>
  <c r="Z60" i="40" s="1"/>
  <c r="Q58" i="40"/>
  <c r="R58" i="40" s="1"/>
  <c r="N14" i="40"/>
  <c r="P14" i="40" s="1"/>
  <c r="Q14" i="40" s="1"/>
  <c r="R14" i="40" s="1"/>
  <c r="S22" i="40"/>
  <c r="T13" i="40"/>
  <c r="V13" i="40" s="1"/>
  <c r="X13" i="40" s="1"/>
  <c r="Z13" i="40" s="1"/>
  <c r="W22" i="40"/>
  <c r="Q22" i="40"/>
  <c r="R22" i="40" s="1"/>
  <c r="E38" i="40"/>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T57" i="40" s="1"/>
  <c r="W57" i="40"/>
  <c r="S57" i="40"/>
  <c r="T58" i="40"/>
  <c r="V58" i="40" s="1"/>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X58" i="40" l="1"/>
  <c r="Z58" i="40" s="1"/>
  <c r="T22" i="40"/>
  <c r="V22" i="40" s="1"/>
  <c r="X22" i="40" s="1"/>
  <c r="Z22" i="40" s="1"/>
  <c r="U14" i="40"/>
  <c r="T16" i="40"/>
  <c r="L27" i="40"/>
  <c r="L29" i="40" s="1"/>
  <c r="W14" i="40"/>
  <c r="P32" i="40"/>
  <c r="N36" i="40"/>
  <c r="S14" i="40"/>
  <c r="Y14" i="40"/>
  <c r="V57" i="40"/>
  <c r="X57" i="40" s="1"/>
  <c r="Z57" i="40" s="1"/>
  <c r="V17" i="40"/>
  <c r="T19" i="40"/>
  <c r="V19" i="40" s="1"/>
  <c r="X19" i="40" s="1"/>
  <c r="Z19" i="40" s="1"/>
  <c r="T15" i="40"/>
  <c r="V15" i="40" s="1"/>
  <c r="V16" i="40"/>
  <c r="X16" i="40" s="1"/>
  <c r="Z16" i="40" s="1"/>
  <c r="T59" i="40"/>
  <c r="V59" i="40" s="1"/>
  <c r="X59" i="40" s="1"/>
  <c r="Z59" i="40" s="1"/>
  <c r="T14" i="40"/>
  <c r="X17" i="40"/>
  <c r="Z17" i="40" s="1"/>
  <c r="O38" i="40"/>
  <c r="O70" i="40" s="1"/>
  <c r="P56" i="40"/>
  <c r="N62" i="40"/>
  <c r="T20" i="40"/>
  <c r="V20" i="40" s="1"/>
  <c r="X20" i="40" s="1"/>
  <c r="Z20" i="40" s="1"/>
  <c r="N12" i="40"/>
  <c r="L24" i="40"/>
  <c r="G40" i="40"/>
  <c r="G68" i="40" s="1"/>
  <c r="X15" i="40"/>
  <c r="Z15"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Q203" i="7" s="1"/>
  <c r="R56" i="40"/>
  <c r="R62" i="40" s="1"/>
  <c r="T32" i="40"/>
  <c r="R36" i="40"/>
  <c r="L40" i="40"/>
  <c r="L68" i="40" s="1"/>
  <c r="P66" i="40"/>
  <c r="N66" i="40"/>
  <c r="T56" i="40"/>
  <c r="R53" i="40"/>
  <c r="T51" i="40"/>
  <c r="Y12" i="40"/>
  <c r="Y24" i="40" s="1"/>
  <c r="U12" i="40"/>
  <c r="U24" i="40" s="1"/>
  <c r="Q12" i="40"/>
  <c r="Q24" i="40" s="1"/>
  <c r="P24" i="40"/>
  <c r="W12" i="40"/>
  <c r="W24" i="40" s="1"/>
  <c r="S12" i="40"/>
  <c r="S24" i="40" s="1"/>
  <c r="N38" i="40"/>
  <c r="R64" i="40" l="1"/>
  <c r="N40" i="40"/>
  <c r="V32" i="40"/>
  <c r="T36" i="40"/>
  <c r="N68" i="40"/>
  <c r="Q38" i="40"/>
  <c r="Q70" i="40" s="1"/>
  <c r="R203" i="7" s="1"/>
  <c r="H234" i="1" s="1"/>
  <c r="V51" i="40"/>
  <c r="T53" i="40"/>
  <c r="U38" i="40"/>
  <c r="U70" i="40" s="1"/>
  <c r="S38" i="40"/>
  <c r="S70" i="40" s="1"/>
  <c r="Y38" i="40"/>
  <c r="Y70" i="40" s="1"/>
  <c r="W38" i="40"/>
  <c r="W70" i="40" s="1"/>
  <c r="P38" i="40"/>
  <c r="P40" i="40" s="1"/>
  <c r="P68" i="40" s="1"/>
  <c r="R12" i="40"/>
  <c r="V56" i="40"/>
  <c r="T62" i="40"/>
  <c r="R66" i="40" l="1"/>
  <c r="S203" i="7"/>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S85" i="7" l="1"/>
  <c r="S84" i="7"/>
  <c r="T40" i="40"/>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F20" i="45"/>
  <c r="U18" i="45"/>
  <c r="U16" i="45"/>
  <c r="U12" i="45"/>
  <c r="H94" i="1"/>
  <c r="T61" i="7"/>
  <c r="H84" i="1" s="1"/>
  <c r="T60" i="7"/>
  <c r="H85" i="1" s="1"/>
  <c r="T59" i="7"/>
  <c r="H81" i="1" s="1"/>
  <c r="H76" i="1" l="1"/>
  <c r="U20" i="45"/>
  <c r="S20" i="45"/>
  <c r="F94" i="43"/>
  <c r="D94" i="43"/>
  <c r="C84" i="14"/>
  <c r="H128" i="1"/>
  <c r="H99" i="1"/>
  <c r="E179" i="1"/>
  <c r="T138" i="7"/>
  <c r="H179" i="1" s="1"/>
  <c r="E124" i="1"/>
  <c r="E99" i="1"/>
  <c r="E253" i="1"/>
  <c r="E33" i="1"/>
  <c r="D40" i="43" l="1"/>
  <c r="I18" i="43"/>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G16" i="47"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D40" i="2" l="1"/>
  <c r="D36" i="2" l="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E24" i="4"/>
  <c r="H149" i="1" l="1"/>
  <c r="E12" i="4"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F62" i="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216" i="1" s="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89" i="2"/>
  <c r="C92" i="2" s="1"/>
  <c r="H229" i="1" l="1"/>
  <c r="I17" i="46"/>
  <c r="H230" i="1"/>
  <c r="M17" i="46"/>
  <c r="Y17" i="46"/>
  <c r="Q17" i="46"/>
  <c r="H235" i="1"/>
  <c r="H236" i="1" s="1"/>
  <c r="U17" i="46"/>
  <c r="G17" i="46"/>
  <c r="H224" i="1"/>
  <c r="S17" i="46"/>
  <c r="W17" i="46"/>
  <c r="K17" i="46"/>
  <c r="O17" i="46"/>
  <c r="F21" i="1"/>
  <c r="H184" i="1"/>
  <c r="A14" i="1"/>
  <c r="F16" i="1" s="1"/>
  <c r="H16" i="1"/>
  <c r="H258" i="1"/>
  <c r="H215" i="1"/>
  <c r="H231" i="1" l="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I40" i="8" l="1"/>
  <c r="C64" i="2" l="1"/>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c r="H26" i="1" l="1"/>
  <c r="H243" i="1"/>
  <c r="H27" i="1" l="1"/>
  <c r="L15" i="42" l="1"/>
  <c r="M15" i="42" s="1"/>
  <c r="N15" i="42" s="1"/>
  <c r="L14" i="42"/>
  <c r="M14" i="42" s="1"/>
  <c r="N14" i="42" s="1"/>
  <c r="L22" i="42"/>
  <c r="M22" i="42" s="1"/>
  <c r="N22" i="42" s="1"/>
  <c r="F43" i="44"/>
  <c r="G43" i="44" s="1"/>
  <c r="F38" i="44"/>
  <c r="G38" i="44" s="1"/>
  <c r="E14" i="2"/>
  <c r="E15" i="2" s="1"/>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E15" i="14" s="1"/>
  <c r="L16" i="42"/>
  <c r="M16" i="42" s="1"/>
  <c r="N16" i="42" s="1"/>
  <c r="F39" i="44"/>
  <c r="G39" i="44" s="1"/>
  <c r="H139" i="1"/>
  <c r="L20" i="42"/>
  <c r="M20" i="42" s="1"/>
  <c r="N20" i="42" s="1"/>
  <c r="F42" i="44"/>
  <c r="G42" i="44" s="1"/>
  <c r="L13" i="42"/>
  <c r="M13" i="42" s="1"/>
  <c r="N13" i="42" s="1"/>
  <c r="F45" i="44"/>
  <c r="G45" i="44" s="1"/>
  <c r="F40" i="44"/>
  <c r="G40" i="44" s="1"/>
  <c r="F34" i="44"/>
  <c r="G34" i="44" s="1"/>
  <c r="T137" i="7"/>
  <c r="H178" i="1" s="1"/>
  <c r="H96" i="1" l="1"/>
  <c r="E19" i="43"/>
  <c r="E20" i="43" s="1"/>
  <c r="E16" i="2"/>
  <c r="E17" i="2" s="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E19" i="2"/>
  <c r="H198" i="1"/>
  <c r="N36" i="44"/>
  <c r="L18" i="44" s="1"/>
  <c r="N45" i="44"/>
  <c r="L27" i="44" s="1"/>
  <c r="N34" i="44"/>
  <c r="L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M16" i="44"/>
  <c r="N16"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26" i="44" l="1"/>
  <c r="N27" i="44"/>
  <c r="O23" i="44"/>
  <c r="N17" i="44"/>
  <c r="O21" i="44"/>
  <c r="N19" i="44"/>
  <c r="P28" i="44"/>
  <c r="O18" i="44"/>
  <c r="O25" i="44"/>
  <c r="O20" i="44"/>
  <c r="N24" i="44"/>
  <c r="N22" i="44"/>
  <c r="O16" i="44"/>
  <c r="M28" i="44"/>
  <c r="N28" i="44" l="1"/>
  <c r="O28" i="44"/>
  <c r="Q16" i="44"/>
  <c r="Q17" i="44" s="1"/>
  <c r="Q18" i="44" s="1"/>
  <c r="Q19" i="44" s="1"/>
  <c r="Q20" i="44" s="1"/>
  <c r="Q21" i="44" s="1"/>
  <c r="Q22" i="44" s="1"/>
  <c r="Q23" i="44" s="1"/>
  <c r="Q24" i="44" s="1"/>
  <c r="Q25" i="44" s="1"/>
  <c r="Q26" i="44" s="1"/>
  <c r="Q27" i="44" s="1"/>
  <c r="H21" i="43" s="1"/>
  <c r="H119" i="1" l="1"/>
  <c r="H120" i="1" l="1"/>
  <c r="H121" i="1" l="1"/>
  <c r="H144" i="1" l="1"/>
  <c r="T134" i="7"/>
  <c r="H172" i="1" s="1"/>
  <c r="H176" i="1" l="1"/>
  <c r="H247" i="1"/>
  <c r="H89" i="1"/>
  <c r="H91" i="1" l="1"/>
  <c r="H191" i="1"/>
  <c r="H192" i="1" l="1"/>
  <c r="H196" i="1" l="1"/>
  <c r="K16" i="46"/>
  <c r="K18" i="46" s="1"/>
  <c r="H194" i="1"/>
  <c r="H195" i="1"/>
  <c r="O16" i="46"/>
  <c r="O18" i="46" s="1"/>
  <c r="M16" i="46"/>
  <c r="M18" i="46" s="1"/>
  <c r="E64" i="2"/>
  <c r="D10" i="2" s="1"/>
  <c r="D12" i="2" s="1"/>
  <c r="D15" i="2" s="1"/>
  <c r="H15" i="2" s="1"/>
  <c r="U16" i="46" l="1"/>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H18" i="2" l="1"/>
  <c r="C61" i="14"/>
  <c r="E60" i="14"/>
  <c r="E61" i="14"/>
  <c r="D10" i="14" s="1"/>
  <c r="D12" i="14" s="1"/>
  <c r="D15" i="14" s="1"/>
  <c r="H15" i="14" l="1"/>
  <c r="D19" i="43"/>
  <c r="D16" i="2"/>
  <c r="H16" i="2" l="1"/>
  <c r="D17" i="2"/>
  <c r="H19" i="43"/>
  <c r="D20" i="43"/>
  <c r="H20" i="43" s="1"/>
  <c r="H22" i="43" s="1"/>
  <c r="H17" i="2" l="1"/>
  <c r="H19" i="2" s="1"/>
  <c r="H62" i="1" s="1"/>
  <c r="D19" i="2"/>
  <c r="H112" i="1" l="1"/>
  <c r="H114" i="1" l="1"/>
  <c r="H244" i="1"/>
  <c r="H245" i="1" l="1"/>
  <c r="H237" i="1"/>
  <c r="H207" i="1"/>
  <c r="H250" i="1" l="1"/>
  <c r="H238" i="1"/>
  <c r="H251" i="1" l="1"/>
  <c r="H253" i="1" s="1"/>
  <c r="H260" i="1" l="1"/>
  <c r="H271" i="1"/>
  <c r="H274" i="1" l="1"/>
  <c r="H273" i="1"/>
  <c r="H275" i="1"/>
  <c r="H261" i="1"/>
  <c r="H266" i="1" l="1"/>
  <c r="O14" i="47"/>
  <c r="O15" i="47" s="1"/>
  <c r="O19" i="47" s="1"/>
  <c r="I14" i="47"/>
  <c r="I15" i="47" s="1"/>
  <c r="I19" i="47" s="1"/>
  <c r="Q14" i="47"/>
  <c r="Q15" i="47" s="1"/>
  <c r="Q19" i="47" s="1"/>
  <c r="W14" i="47"/>
  <c r="W15" i="47" s="1"/>
  <c r="W19" i="47" s="1"/>
  <c r="G14" i="47"/>
  <c r="G15" i="47" s="1"/>
  <c r="G19" i="47" s="1"/>
  <c r="K14" i="47"/>
  <c r="K15" i="47" s="1"/>
  <c r="K19" i="47" s="1"/>
  <c r="S14" i="47"/>
  <c r="S15" i="47" s="1"/>
  <c r="S19" i="47" s="1"/>
  <c r="M14" i="47"/>
  <c r="M15" i="47" s="1"/>
  <c r="M19" i="47" s="1"/>
  <c r="Y14" i="47"/>
  <c r="Y15" i="47" s="1"/>
  <c r="Y19" i="47" s="1"/>
  <c r="U14" i="47"/>
  <c r="U15" i="47" s="1"/>
  <c r="U19" i="47" s="1"/>
  <c r="E19" i="47" l="1"/>
  <c r="E23" i="47" s="1"/>
  <c r="H281" i="1" s="1"/>
  <c r="H277" i="1"/>
  <c r="I21" i="47" l="1"/>
  <c r="I23" i="47" s="1"/>
  <c r="I28" i="47" s="1"/>
  <c r="W21" i="47"/>
  <c r="W23" i="47" s="1"/>
  <c r="W28" i="47" s="1"/>
  <c r="S21" i="47"/>
  <c r="S23" i="47" s="1"/>
  <c r="S28" i="47" s="1"/>
  <c r="K21" i="47"/>
  <c r="K23" i="47" s="1"/>
  <c r="K28" i="47" s="1"/>
  <c r="U21" i="47"/>
  <c r="U23" i="47" s="1"/>
  <c r="U28" i="47" s="1"/>
  <c r="Y21" i="47"/>
  <c r="Y23" i="47" s="1"/>
  <c r="Y28" i="47" s="1"/>
  <c r="G21" i="47"/>
  <c r="G23" i="47" s="1"/>
  <c r="G28" i="47" s="1"/>
  <c r="H283" i="1"/>
  <c r="Q21" i="47"/>
  <c r="Q23" i="47" s="1"/>
  <c r="Q28" i="47" s="1"/>
  <c r="O21" i="47"/>
  <c r="O23" i="47" s="1"/>
  <c r="O28" i="47" s="1"/>
  <c r="M21" i="47"/>
  <c r="M23" i="47" s="1"/>
  <c r="M28" i="47" s="1"/>
  <c r="E28" i="47" l="1"/>
  <c r="H287" i="1"/>
  <c r="H289" i="1" l="1"/>
  <c r="H290" i="1" l="1"/>
  <c r="H291" i="1"/>
  <c r="H293" i="1" l="1"/>
  <c r="H292" i="1"/>
</calcChain>
</file>

<file path=xl/sharedStrings.xml><?xml version="1.0" encoding="utf-8"?>
<sst xmlns="http://schemas.openxmlformats.org/spreadsheetml/2006/main" count="2136" uniqueCount="1020">
  <si>
    <t>Dayton Power and Light</t>
  </si>
  <si>
    <t xml:space="preserve">ATTACHMENT H-15A </t>
  </si>
  <si>
    <t xml:space="preserve">Projected for </t>
  </si>
  <si>
    <t>Formula Rate -- Appendix A (electric only)</t>
  </si>
  <si>
    <t>Notes</t>
  </si>
  <si>
    <t>Formula Rate Attachment Reference or Instruction</t>
  </si>
  <si>
    <t>12 Months Ended December 31, 2022</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</si>
  <si>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</si>
  <si>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</si>
  <si>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</si>
  <si>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</si>
  <si>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</si>
  <si>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</si>
  <si>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</si>
  <si>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</si>
  <si>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</si>
  <si>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</si>
  <si>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</si>
  <si>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</si>
  <si>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</si>
  <si>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</si>
  <si>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</si>
  <si>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</si>
  <si>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</si>
  <si>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</si>
  <si>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</si>
  <si>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</si>
  <si>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</si>
  <si>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</si>
  <si>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</si>
  <si>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</si>
  <si>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</si>
  <si>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</si>
  <si>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</si>
  <si>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</si>
  <si>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</si>
  <si>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</si>
  <si>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</si>
  <si>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</si>
  <si>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</si>
  <si>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</si>
  <si>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</si>
  <si>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</si>
  <si>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</si>
  <si>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</si>
  <si>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</si>
  <si>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</si>
  <si>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</si>
  <si>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</si>
  <si>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</si>
  <si>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</si>
  <si>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</si>
  <si>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</si>
  <si>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</si>
  <si>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</si>
  <si>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</si>
  <si>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</si>
  <si>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</si>
  <si>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</si>
  <si>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</si>
  <si>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</si>
  <si>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</si>
  <si>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</si>
  <si>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</si>
  <si>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</si>
  <si>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</si>
  <si>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</si>
  <si>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</si>
  <si>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</si>
  <si>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</si>
  <si>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</si>
  <si>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</si>
  <si>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</si>
  <si>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</si>
  <si>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</si>
  <si>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</si>
  <si>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</si>
  <si>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</si>
  <si>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</si>
  <si>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</si>
  <si>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</si>
  <si>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</si>
  <si>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</si>
  <si>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</si>
  <si>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</si>
  <si>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</si>
  <si>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</si>
  <si>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</si>
  <si>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</si>
  <si>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</si>
  <si>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</si>
  <si>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</si>
  <si>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</si>
  <si>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</si>
  <si>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</si>
  <si>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</si>
  <si>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</si>
  <si>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</si>
  <si>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</si>
  <si>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</si>
  <si>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</si>
  <si>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</si>
  <si>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</si>
  <si>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</si>
  <si>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</si>
  <si>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</si>
  <si>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</si>
  <si>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</si>
  <si>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</si>
  <si>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</si>
  <si>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</si>
  <si>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</si>
  <si>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</si>
  <si>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</si>
  <si>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</si>
  <si>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</si>
  <si>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</si>
  <si>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</si>
  <si>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</si>
  <si>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</si>
  <si>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</si>
  <si>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</si>
  <si>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</si>
  <si>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</si>
  <si>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</si>
  <si>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</si>
  <si>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</si>
  <si>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</si>
  <si>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</si>
  <si>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</si>
  <si>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</si>
  <si>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</si>
  <si>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</si>
  <si>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</si>
  <si>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</si>
  <si>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</si>
  <si>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</si>
  <si>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</si>
  <si>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</si>
  <si>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</si>
  <si>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</si>
  <si>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</si>
  <si>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</si>
  <si>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</si>
  <si>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</si>
  <si>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</si>
  <si>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</si>
  <si>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</si>
  <si>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</si>
  <si>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</si>
  <si>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</si>
  <si>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</si>
  <si>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</si>
  <si>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</si>
  <si>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</si>
  <si>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</si>
  <si>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</si>
  <si>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</si>
  <si>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</si>
  <si>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</si>
  <si>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</si>
  <si>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</si>
  <si>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</si>
  <si>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</si>
  <si>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</si>
  <si>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</si>
  <si>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</si>
  <si>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</si>
  <si>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</si>
  <si>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</si>
  <si>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</si>
  <si>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</si>
  <si>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</si>
  <si>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</si>
  <si>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</si>
  <si>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</si>
  <si>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</si>
  <si>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</si>
  <si>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</si>
  <si>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</si>
  <si>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</si>
  <si>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</si>
  <si>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</si>
  <si>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</si>
  <si>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</si>
  <si>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</si>
  <si>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</si>
  <si>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</si>
  <si>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</si>
  <si>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</si>
  <si>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</si>
  <si>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</si>
  <si>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</si>
  <si>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</si>
  <si>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</si>
  <si>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</si>
  <si>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</si>
  <si>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</si>
  <si>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</si>
  <si>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</si>
  <si>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</si>
  <si>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</si>
  <si>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</si>
  <si>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</si>
  <si>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</si>
  <si>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</si>
  <si>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</si>
  <si>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</si>
  <si>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</si>
  <si>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</si>
  <si>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</si>
  <si>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</si>
  <si>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</si>
  <si>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</si>
  <si>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</si>
  <si>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</si>
  <si>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</si>
  <si>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</si>
  <si>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</si>
  <si>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</si>
  <si>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</si>
  <si>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</si>
  <si>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</si>
  <si>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</si>
  <si>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</si>
  <si>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</si>
  <si>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</si>
  <si>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</si>
  <si>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</si>
  <si>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</si>
  <si>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</si>
  <si>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</si>
  <si>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</si>
  <si>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</si>
  <si>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</si>
  <si>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</si>
  <si>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</si>
  <si>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</si>
  <si>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</si>
  <si>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</si>
  <si>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</si>
  <si>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</si>
  <si>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</si>
  <si>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</si>
  <si>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</si>
  <si>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</si>
  <si>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</si>
  <si>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</si>
  <si>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</si>
  <si>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</si>
  <si>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</si>
  <si>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</si>
  <si>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</si>
  <si>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</si>
  <si>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</si>
  <si>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</si>
  <si>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</si>
  <si>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</si>
  <si>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</si>
  <si>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</si>
  <si>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</si>
  <si>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</si>
  <si>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</si>
  <si>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</si>
  <si>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</si>
  <si>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</si>
  <si>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</si>
  <si>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</si>
  <si>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</si>
  <si>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</si>
  <si>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</si>
  <si>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</si>
  <si>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</si>
  <si>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</si>
  <si>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</si>
  <si>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</si>
  <si>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</si>
  <si>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</si>
  <si>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</si>
  <si>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</si>
  <si>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</si>
  <si>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</si>
  <si>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</si>
  <si>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</si>
  <si>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</si>
  <si>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</si>
  <si>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</si>
  <si>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</si>
  <si>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</si>
  <si>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</si>
  <si>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</si>
  <si>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</si>
  <si>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</si>
  <si>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</si>
  <si>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</si>
  <si>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</si>
  <si>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</si>
  <si>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</si>
  <si>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</si>
  <si>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</si>
  <si>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</si>
  <si>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</si>
  <si>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</si>
  <si>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</si>
  <si>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</si>
  <si>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</si>
  <si>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</si>
  <si>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</si>
  <si>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</si>
  <si>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</si>
  <si>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</si>
  <si>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</si>
  <si>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</si>
  <si>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</si>
  <si>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</si>
  <si>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</si>
  <si>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</si>
  <si>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</si>
  <si>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</si>
  <si>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</si>
  <si>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</si>
  <si>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</si>
  <si>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</si>
  <si>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</si>
  <si>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</si>
  <si>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</si>
  <si>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</si>
  <si>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</si>
  <si>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</si>
  <si>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</si>
  <si>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</si>
  <si>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</si>
  <si>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</si>
  <si>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</si>
  <si>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</si>
  <si>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</si>
  <si>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</si>
  <si>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</si>
  <si>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</si>
  <si>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</si>
  <si>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</si>
  <si>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</si>
  <si>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</si>
  <si>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</si>
  <si>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</si>
  <si>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</si>
  <si>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</si>
  <si>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</si>
  <si>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</si>
  <si>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</si>
  <si>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</si>
  <si>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</si>
  <si>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</si>
  <si>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</si>
  <si>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</si>
  <si>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</si>
  <si>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</si>
  <si>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</si>
  <si>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</si>
  <si>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</si>
  <si>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</si>
  <si>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</si>
  <si>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</si>
  <si>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</si>
  <si>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</si>
  <si>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</si>
  <si>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</si>
  <si>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</si>
  <si>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</si>
  <si>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</si>
  <si>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</si>
  <si>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</si>
  <si>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</si>
  <si>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</si>
  <si>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</si>
  <si>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</si>
  <si>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</si>
  <si>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</si>
  <si>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</si>
  <si>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</si>
  <si>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</si>
  <si>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</si>
  <si>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</si>
  <si>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</si>
  <si>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</si>
  <si>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</si>
  <si>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</si>
  <si>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</si>
  <si>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</si>
  <si>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12/31/2021 balance should be from 1C - ADIT Prior Year</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</si>
  <si>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</si>
  <si>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</si>
  <si>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</si>
  <si>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</si>
  <si>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</si>
  <si>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</si>
  <si>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</si>
  <si>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</si>
  <si>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</si>
  <si>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</si>
  <si>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</si>
  <si>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</si>
  <si>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</si>
  <si>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</si>
  <si>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</si>
  <si>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</si>
  <si>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</si>
  <si>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</si>
  <si>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</si>
  <si>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</si>
  <si>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</si>
  <si>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</si>
  <si>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</si>
  <si>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</si>
  <si>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</si>
  <si>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</si>
  <si>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</si>
  <si>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</si>
  <si>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</si>
  <si>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</si>
  <si>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</si>
  <si>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</si>
  <si>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</si>
  <si>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</si>
  <si>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</si>
  <si>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</si>
  <si>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</si>
  <si>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</si>
  <si>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</si>
  <si>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</si>
  <si>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</si>
  <si>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</si>
  <si>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</si>
  <si>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</si>
  <si>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</si>
  <si>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</si>
  <si>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</si>
  <si>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</si>
  <si>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</si>
  <si>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</si>
  <si>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</si>
  <si>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</si>
  <si>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</si>
  <si>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</si>
  <si>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</si>
  <si>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</si>
  <si>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</si>
  <si>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</si>
  <si>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</si>
  <si>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</si>
  <si>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</si>
  <si>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</si>
  <si>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</si>
  <si>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</si>
  <si>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</si>
  <si>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</si>
  <si>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</si>
  <si>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</si>
  <si>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</si>
  <si>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</si>
  <si>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</si>
  <si>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</si>
  <si>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</si>
  <si>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</si>
  <si>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</si>
  <si>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</si>
  <si>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</si>
  <si>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</si>
  <si>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</si>
  <si>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</si>
  <si>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</si>
  <si>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</si>
  <si>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</si>
  <si>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</si>
  <si>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</si>
  <si>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</si>
  <si>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</si>
  <si>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</si>
  <si>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</si>
  <si>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</si>
  <si>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</si>
  <si>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</si>
  <si>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</si>
  <si>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</si>
  <si>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</si>
  <si>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</si>
  <si>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</si>
  <si>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</si>
  <si>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</si>
  <si>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</si>
  <si>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</si>
  <si>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</si>
  <si>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</si>
  <si>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</si>
  <si>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</si>
  <si>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</si>
  <si>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</si>
  <si>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</si>
  <si>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</si>
  <si>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</si>
  <si>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</si>
  <si>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</si>
  <si>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</si>
  <si>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</si>
  <si>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</si>
  <si>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</si>
  <si>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</si>
  <si>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</si>
  <si>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</si>
  <si>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</si>
  <si>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</si>
  <si>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</si>
  <si>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</si>
  <si>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</si>
  <si>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</si>
  <si>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</si>
  <si>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</si>
  <si>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</si>
  <si>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</si>
  <si>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</si>
  <si>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</si>
  <si>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</si>
  <si>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</si>
  <si>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</si>
  <si>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</si>
  <si>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</si>
  <si>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</si>
  <si>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</si>
  <si>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</si>
  <si>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</si>
  <si>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</si>
  <si>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</si>
  <si>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</si>
  <si>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</si>
  <si>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</si>
  <si>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</si>
  <si>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</si>
  <si>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</si>
  <si>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</si>
  <si>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</si>
  <si>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</si>
  <si>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</si>
  <si>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</si>
  <si>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</si>
  <si>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[2020 data]</t>
  </si>
  <si>
    <t>Total A&amp;G Wages Expense</t>
  </si>
  <si>
    <t>p354.27b</t>
  </si>
  <si>
    <t>Transmission Wages</t>
  </si>
  <si>
    <t>p354.21b</t>
  </si>
  <si>
    <t>Transmission Property Held for Future Use</t>
  </si>
  <si>
    <t>Beginning Year Balance</t>
  </si>
  <si>
    <t>p214.47.d</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</si>
  <si>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</si>
  <si>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</si>
  <si>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</si>
  <si>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</si>
  <si>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</si>
  <si>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</si>
  <si>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</si>
  <si>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</si>
  <si>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</si>
  <si>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</si>
  <si>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</si>
  <si>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</si>
  <si>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</si>
  <si>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</si>
  <si>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</si>
  <si>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</si>
  <si>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</si>
  <si>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</si>
  <si>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</si>
  <si>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</si>
  <si>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</si>
  <si>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</si>
  <si>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</si>
  <si>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</si>
  <si>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</si>
  <si>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</si>
  <si>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</si>
  <si>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</si>
  <si>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</si>
  <si>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</si>
  <si>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</si>
  <si>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</si>
  <si>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</si>
  <si>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</si>
  <si>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</si>
  <si>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</si>
  <si>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</si>
  <si>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</si>
  <si>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</si>
  <si>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</si>
  <si>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</si>
  <si>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</si>
  <si>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</si>
  <si>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</si>
  <si>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</si>
  <si>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</si>
  <si>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</si>
  <si>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</si>
  <si>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</si>
  <si>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</si>
  <si>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</si>
  <si>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</si>
  <si>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</si>
  <si>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</si>
  <si>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</si>
  <si>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</si>
  <si>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</si>
  <si>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</si>
  <si>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</si>
  <si>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</si>
  <si>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</si>
  <si>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</si>
  <si>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</si>
  <si>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</si>
  <si>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</si>
  <si>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</si>
  <si>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</si>
  <si>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</si>
  <si>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</si>
  <si>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</si>
  <si>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</si>
  <si>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</si>
  <si>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</si>
  <si>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</si>
  <si>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</si>
  <si>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</si>
  <si>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</si>
  <si>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</si>
  <si>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</si>
  <si>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</si>
  <si>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</si>
  <si>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</si>
  <si>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</si>
  <si>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</si>
  <si>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</si>
  <si>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</si>
  <si>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</si>
  <si>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</si>
  <si>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</si>
  <si>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</si>
  <si>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</si>
  <si>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</si>
  <si>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</si>
  <si>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</si>
  <si>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</si>
  <si>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</si>
  <si>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</si>
  <si>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</si>
  <si>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</si>
  <si>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</si>
  <si>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</si>
  <si>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</si>
  <si>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</si>
  <si>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</si>
  <si>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</si>
  <si>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</si>
  <si>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</si>
  <si>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</si>
  <si>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</si>
  <si>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</si>
  <si>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</si>
  <si>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</si>
  <si>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</si>
  <si>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</si>
  <si>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</si>
  <si>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</si>
  <si>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</si>
  <si>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</si>
  <si>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</si>
  <si>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</si>
  <si>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</si>
  <si>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</si>
  <si>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</si>
  <si>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</si>
  <si>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</si>
  <si>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</si>
  <si>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</si>
  <si>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</si>
  <si>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</si>
  <si>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</si>
  <si>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</si>
  <si>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</si>
  <si>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(Attachment 9, Line 51)</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</si>
  <si>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</si>
  <si>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</si>
  <si>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</si>
  <si>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</si>
  <si>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</si>
  <si>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</si>
  <si>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</si>
  <si>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</si>
  <si>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</si>
  <si>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</si>
  <si>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</si>
  <si>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</si>
  <si>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</si>
  <si>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</si>
  <si>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</si>
  <si>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</si>
  <si>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</si>
  <si>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</si>
  <si>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</si>
  <si>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</si>
  <si>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</si>
  <si>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</si>
  <si>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</si>
  <si>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</si>
  <si>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</si>
  <si>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</si>
  <si>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</si>
  <si>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</si>
  <si>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</si>
  <si>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</si>
  <si>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</si>
  <si>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</si>
  <si>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</si>
  <si>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</si>
  <si>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</si>
  <si>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</si>
  <si>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</si>
  <si>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</si>
  <si>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</si>
  <si>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</si>
  <si>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</si>
  <si>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11</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</si>
  <si>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</si>
  <si>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</si>
  <si>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</si>
  <si>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</si>
  <si>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</si>
  <si>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</si>
  <si>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</si>
  <si>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</si>
  <si>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</si>
  <si>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</si>
  <si>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</si>
  <si>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</si>
  <si>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</si>
  <si>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</si>
  <si>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</si>
  <si>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</si>
  <si>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</si>
  <si>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</si>
  <si>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</si>
  <si>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</si>
  <si>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</si>
  <si>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</si>
  <si>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</si>
  <si>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</si>
  <si>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</si>
  <si>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</si>
  <si>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</si>
  <si>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</si>
  <si>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</si>
  <si>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</si>
  <si>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</si>
  <si>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</si>
  <si>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</si>
  <si>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</si>
  <si>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</si>
  <si>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</si>
  <si>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</si>
  <si>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</si>
  <si>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</si>
  <si>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</si>
  <si>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</si>
  <si>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</si>
  <si>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</si>
  <si>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</si>
  <si>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</si>
  <si>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</si>
  <si>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</si>
  <si>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</si>
  <si>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</si>
  <si>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</si>
  <si>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</si>
  <si>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</si>
  <si>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</si>
  <si>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</si>
  <si>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</si>
  <si>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</si>
  <si>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</si>
  <si>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</si>
  <si>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</si>
  <si>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</si>
  <si>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</si>
  <si>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</si>
  <si>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</si>
  <si>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</si>
  <si>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</si>
  <si>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</si>
  <si>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</si>
  <si>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</si>
  <si>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</si>
  <si>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</si>
  <si>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</si>
  <si>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</si>
  <si>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</si>
  <si>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</si>
  <si>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</si>
  <si>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</si>
  <si>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</si>
  <si>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</si>
  <si>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</si>
  <si>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</si>
  <si>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</si>
  <si>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</si>
  <si>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</si>
  <si>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</si>
  <si>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</si>
  <si>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</si>
  <si>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</si>
  <si>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</si>
  <si>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</si>
  <si>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</si>
  <si>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</si>
  <si>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</si>
  <si>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</si>
  <si>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</si>
  <si>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</si>
  <si>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</si>
  <si>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</si>
  <si>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</si>
  <si>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</si>
  <si>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</si>
  <si>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</si>
  <si>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</si>
  <si>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</si>
  <si>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</si>
  <si>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</si>
  <si>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</si>
  <si>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</si>
  <si>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</si>
  <si>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</si>
  <si>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</si>
  <si>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</si>
  <si>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</si>
  <si>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</si>
  <si>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</si>
  <si>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</si>
  <si>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</si>
  <si>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</si>
  <si>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</si>
  <si>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</si>
  <si>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</si>
  <si>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</si>
  <si>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</si>
  <si>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</si>
  <si>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</si>
  <si>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</si>
  <si>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</si>
  <si>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</si>
  <si>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</si>
  <si>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For the 2020 Projected ATRR, columns B through E are not populated.  These columns will be populated for the 2020 ATU and forward</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</si>
  <si>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</si>
  <si>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</si>
  <si>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</si>
  <si>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</si>
  <si>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</si>
  <si>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</si>
  <si>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</si>
  <si>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</si>
  <si>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</si>
  <si>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</si>
  <si>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</si>
  <si>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</si>
  <si>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</si>
  <si>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</si>
  <si>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</si>
  <si>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</si>
  <si>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</si>
  <si>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</si>
  <si>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</si>
  <si>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</si>
  <si>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</si>
  <si>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</si>
  <si>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</si>
  <si>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</si>
  <si>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</si>
  <si>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</si>
  <si>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</si>
  <si>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</si>
  <si>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</si>
  <si>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</si>
  <si>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</si>
  <si>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</si>
  <si>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</si>
  <si>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</si>
  <si>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</si>
  <si>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</si>
  <si>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</si>
  <si>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</si>
  <si>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</si>
  <si>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</si>
  <si>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</si>
  <si>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</si>
  <si>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</si>
  <si>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</si>
  <si>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</si>
  <si>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</si>
  <si>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</si>
  <si>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</si>
  <si>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</si>
  <si>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</si>
  <si>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</si>
  <si>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</si>
  <si>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</si>
  <si>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</si>
  <si>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</si>
  <si>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</si>
  <si>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</si>
  <si>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</si>
  <si>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</si>
  <si>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</si>
  <si>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</si>
  <si>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</si>
  <si>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</si>
  <si>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</si>
  <si>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</si>
  <si>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</si>
  <si>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</si>
  <si>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</si>
  <si>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</si>
  <si>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</si>
  <si>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</si>
  <si>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</si>
  <si>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</si>
  <si>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</si>
  <si>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</si>
  <si>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</si>
  <si>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</si>
  <si>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</si>
  <si>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</si>
  <si>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</si>
  <si>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</si>
  <si>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</si>
  <si>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</si>
  <si>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</si>
  <si>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</si>
  <si>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</si>
  <si>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</si>
  <si>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</si>
  <si>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</si>
  <si>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</si>
  <si>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</si>
  <si>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</si>
  <si>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</si>
  <si>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</si>
  <si>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</si>
  <si>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</si>
  <si>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</si>
  <si>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</si>
  <si>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</si>
  <si>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</si>
  <si>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</si>
  <si>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</si>
  <si>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</si>
  <si>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</si>
  <si>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</si>
  <si>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</si>
  <si>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</si>
  <si>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</si>
  <si>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</si>
  <si>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</si>
  <si>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</si>
  <si>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</si>
  <si>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</si>
  <si>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</si>
  <si>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</si>
  <si>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</si>
  <si>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</si>
  <si>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</si>
  <si>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</si>
  <si>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</si>
  <si>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</si>
  <si>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</si>
  <si>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</si>
  <si>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</si>
  <si>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</si>
  <si>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</si>
  <si>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</si>
  <si>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</si>
  <si>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</si>
  <si>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</si>
  <si>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</si>
  <si>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</si>
  <si>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</si>
  <si>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</si>
  <si>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</si>
  <si>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</si>
  <si>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</si>
  <si>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</si>
  <si>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</si>
  <si>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</si>
  <si>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</si>
  <si>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</si>
  <si>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</si>
  <si>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</si>
  <si>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</si>
  <si>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</si>
  <si>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</si>
  <si>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</si>
  <si>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</si>
  <si>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</si>
  <si>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</si>
  <si>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</si>
  <si>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</si>
  <si>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</si>
  <si>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</si>
  <si>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</si>
  <si>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</si>
  <si>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</si>
  <si>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</si>
  <si>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</si>
  <si>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</si>
  <si>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</si>
  <si>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</si>
  <si>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From 2021 LT Forecast Report to PUCO, page FE-D1, reporting 2020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</si>
</sst>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sz val="10"/>
      <color rgb="FF0070C0"/>
      <name val="Arial"/>
      <family val="2"/>
    </font>
    <font>
      <b/>
      <sz val="16"/>
      <color rgb="FFFF0000"/>
      <name val="Arial"/>
      <family val="2"/>
    </font>
    <font>
      <b/>
      <sz val="12"/>
      <color rgb="FFFF0000"/>
      <name val="Arial"/>
      <family val="2"/>
    </font>
    <font>
      <u/>
      <sz val="12"/>
      <color theme="1"/>
      <name val="Arial"/>
      <family val="2"/>
    </font>
    <font>
      <u/>
      <sz val="10"/>
      <color theme="1"/>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FFFF99"/>
        <bgColor rgb="FF000000"/>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217">
    <xf numFmtId="0" fontId="0" fillId="0" borderId="0" xfId="0"/>
    <xf numFmtId="0" fontId="18" fillId="0" borderId="0" xfId="1" applyFont="1" applyAlignment="1"/>
    <xf numFmtId="0" fontId="18" fillId="0" borderId="0" xfId="1" applyFont="1"/>
    <xf numFmtId="0" fontId="18" fillId="0" borderId="0" xfId="1" applyFont="1" applyFill="1" applyAlignment="1"/>
    <xf numFmtId="0" fontId="18" fillId="0" borderId="0" xfId="1" applyFont="1" applyFill="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0" fontId="18" fillId="0" borderId="0" xfId="1" applyFont="1" applyFill="1" applyAlignment="1">
      <alignment horizontal="center"/>
    </xf>
    <xf numFmtId="164" fontId="18" fillId="0" borderId="0" xfId="2" applyNumberFormat="1" applyFont="1"/>
    <xf numFmtId="0" fontId="18" fillId="0" borderId="4" xfId="1" applyFont="1" applyBorder="1"/>
    <xf numFmtId="0" fontId="24" fillId="0" borderId="0" xfId="1" applyFont="1" applyFill="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Border="1"/>
    <xf numFmtId="0" fontId="28" fillId="0" borderId="0" xfId="1" applyFont="1" applyFill="1"/>
    <xf numFmtId="0" fontId="28" fillId="0" borderId="0" xfId="1" applyFont="1"/>
    <xf numFmtId="164" fontId="18" fillId="0" borderId="0" xfId="2" applyNumberFormat="1" applyFont="1" applyFill="1" applyAlignment="1"/>
    <xf numFmtId="0" fontId="41" fillId="0" borderId="0" xfId="1" applyFont="1" applyAlignme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0" fontId="18" fillId="0" borderId="0" xfId="1" applyFont="1" applyFill="1" applyAlignment="1">
      <alignment horizontal="left" wrapText="1"/>
    </xf>
    <xf numFmtId="164" fontId="18" fillId="0" borderId="0" xfId="2" applyNumberFormat="1" applyFont="1" applyFill="1" applyBorder="1"/>
    <xf numFmtId="0" fontId="23" fillId="0" borderId="0" xfId="1" applyFont="1"/>
    <xf numFmtId="3" fontId="18" fillId="0" borderId="0" xfId="1" applyNumberFormat="1" applyFont="1" applyFill="1" applyBorder="1" applyAlignment="1"/>
    <xf numFmtId="0" fontId="18" fillId="0" borderId="0" xfId="1" applyNumberFormat="1" applyFont="1" applyFill="1" applyBorder="1" applyAlignment="1">
      <alignment horizontal="left"/>
    </xf>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Fill="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Fill="1" applyAlignment="1">
      <alignment horizontal="right" wrapText="1"/>
    </xf>
    <xf numFmtId="0" fontId="19" fillId="0" borderId="0" xfId="1" applyFont="1" applyFill="1"/>
    <xf numFmtId="41" fontId="18" fillId="0" borderId="0" xfId="1" applyNumberFormat="1" applyFont="1" applyFill="1" applyBorder="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Fill="1" applyBorder="1" applyAlignment="1">
      <alignment horizontal="center"/>
    </xf>
    <xf numFmtId="0" fontId="18" fillId="0" borderId="0" xfId="0" applyFont="1" applyFill="1" applyBorder="1"/>
    <xf numFmtId="0" fontId="31" fillId="0" borderId="0" xfId="0" applyFont="1"/>
    <xf numFmtId="164" fontId="28" fillId="0" borderId="0" xfId="2" applyNumberFormat="1" applyFont="1" applyFill="1" applyAlignment="1"/>
    <xf numFmtId="3" fontId="18" fillId="0" borderId="22" xfId="1" applyNumberFormat="1" applyFont="1" applyFill="1" applyBorder="1"/>
    <xf numFmtId="0" fontId="54"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45" fillId="0" borderId="0" xfId="0" applyFont="1" applyFill="1" applyBorder="1" applyAlignment="1"/>
    <xf numFmtId="0" fontId="45" fillId="0" borderId="0" xfId="0" applyFont="1" applyFill="1" applyBorder="1" applyAlignment="1">
      <alignment horizontal="center"/>
    </xf>
    <xf numFmtId="0" fontId="45" fillId="0" borderId="16" xfId="0" applyFont="1" applyFill="1" applyBorder="1" applyAlignment="1">
      <alignment horizontal="left"/>
    </xf>
    <xf numFmtId="0" fontId="45" fillId="0" borderId="0" xfId="0" applyFont="1" applyFill="1" applyBorder="1" applyAlignment="1">
      <alignment horizontal="left"/>
    </xf>
    <xf numFmtId="0" fontId="18" fillId="0" borderId="2" xfId="0" applyFont="1" applyFill="1" applyBorder="1"/>
    <xf numFmtId="0" fontId="18" fillId="0" borderId="0" xfId="0" applyFont="1" applyFill="1" applyBorder="1" applyAlignment="1"/>
    <xf numFmtId="0" fontId="45"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center"/>
    </xf>
    <xf numFmtId="0" fontId="53" fillId="0" borderId="0" xfId="0" applyFont="1" applyFill="1" applyBorder="1" applyAlignment="1">
      <alignment horizontal="center"/>
    </xf>
    <xf numFmtId="0" fontId="17" fillId="0" borderId="0" xfId="0" applyFont="1" applyFill="1" applyBorder="1" applyAlignment="1">
      <alignment horizontal="center" wrapText="1"/>
    </xf>
    <xf numFmtId="0" fontId="52" fillId="0" borderId="0" xfId="0" applyFont="1" applyFill="1" applyBorder="1" applyAlignment="1"/>
    <xf numFmtId="0" fontId="17" fillId="0" borderId="15" xfId="0" applyFont="1" applyFill="1" applyBorder="1" applyAlignment="1">
      <alignment horizontal="center" wrapText="1"/>
    </xf>
    <xf numFmtId="0" fontId="18" fillId="0" borderId="15" xfId="0" applyFont="1" applyFill="1" applyBorder="1"/>
    <xf numFmtId="0" fontId="18" fillId="0" borderId="2" xfId="0" applyFont="1" applyFill="1" applyBorder="1" applyAlignment="1"/>
    <xf numFmtId="0" fontId="18" fillId="0" borderId="2" xfId="0" applyFont="1" applyFill="1" applyBorder="1" applyAlignment="1">
      <alignment horizontal="center"/>
    </xf>
    <xf numFmtId="166" fontId="18" fillId="0" borderId="2" xfId="0" applyNumberFormat="1" applyFont="1" applyFill="1" applyBorder="1" applyAlignment="1">
      <alignment horizontal="center"/>
    </xf>
    <xf numFmtId="0" fontId="19" fillId="0" borderId="2" xfId="0" applyFont="1" applyFill="1" applyBorder="1"/>
    <xf numFmtId="0" fontId="18" fillId="0" borderId="9" xfId="0" applyFont="1" applyFill="1" applyBorder="1"/>
    <xf numFmtId="0" fontId="52" fillId="0" borderId="0" xfId="0" applyFont="1" applyFill="1" applyBorder="1"/>
    <xf numFmtId="0" fontId="15" fillId="0" borderId="0" xfId="20" applyFont="1" applyAlignment="1">
      <alignment horizontal="center"/>
    </xf>
    <xf numFmtId="0" fontId="16" fillId="0" borderId="0" xfId="20" applyFont="1"/>
    <xf numFmtId="0" fontId="18" fillId="0" borderId="0" xfId="20" applyFont="1"/>
    <xf numFmtId="0" fontId="18" fillId="0" borderId="0" xfId="20" applyFont="1" applyFill="1"/>
    <xf numFmtId="0" fontId="18" fillId="0" borderId="0" xfId="20" applyFont="1" applyAlignment="1">
      <alignment horizontal="center"/>
    </xf>
    <xf numFmtId="0" fontId="18" fillId="0" borderId="0" xfId="20" applyFont="1" applyBorder="1"/>
    <xf numFmtId="0" fontId="17" fillId="0" borderId="0" xfId="20" applyFont="1" applyFill="1" applyBorder="1" applyAlignment="1"/>
    <xf numFmtId="0" fontId="18" fillId="0" borderId="0" xfId="20" applyFont="1" applyFill="1" applyBorder="1"/>
    <xf numFmtId="0" fontId="23" fillId="0" borderId="0" xfId="20" applyFont="1"/>
    <xf numFmtId="0" fontId="17" fillId="0" borderId="0" xfId="20" applyFont="1" applyAlignment="1">
      <alignment horizontal="centerContinuous"/>
    </xf>
    <xf numFmtId="0" fontId="18" fillId="0" borderId="0" xfId="20" applyNumberFormat="1" applyFont="1" applyFill="1" applyBorder="1" applyAlignment="1"/>
    <xf numFmtId="0" fontId="18" fillId="0" borderId="0" xfId="20" applyNumberFormat="1" applyFont="1" applyFill="1" applyBorder="1" applyAlignment="1">
      <alignment horizontal="center"/>
    </xf>
    <xf numFmtId="37" fontId="18" fillId="0" borderId="0" xfId="20" applyNumberFormat="1" applyFont="1" applyBorder="1" applyAlignment="1">
      <alignment horizontal="left"/>
    </xf>
    <xf numFmtId="37" fontId="41" fillId="0" borderId="0" xfId="20" applyNumberFormat="1" applyFont="1" applyBorder="1" applyAlignment="1">
      <alignment horizontal="left"/>
    </xf>
    <xf numFmtId="0" fontId="17" fillId="0" borderId="0" xfId="20" applyFont="1" applyFill="1" applyBorder="1" applyAlignment="1">
      <alignment horizontal="left"/>
    </xf>
    <xf numFmtId="0" fontId="18" fillId="0" borderId="0" xfId="20" applyNumberFormat="1" applyFont="1" applyBorder="1" applyAlignment="1">
      <alignment horizontal="center"/>
    </xf>
    <xf numFmtId="0" fontId="18" fillId="0" borderId="0" xfId="20" applyFont="1" applyBorder="1" applyAlignment="1"/>
    <xf numFmtId="0" fontId="17" fillId="0" borderId="0" xfId="20" applyFont="1" applyBorder="1" applyAlignment="1">
      <alignment horizontal="center"/>
    </xf>
    <xf numFmtId="0" fontId="17" fillId="10" borderId="11" xfId="20" applyFont="1" applyFill="1" applyBorder="1" applyAlignment="1"/>
    <xf numFmtId="0" fontId="17" fillId="10" borderId="12" xfId="20" applyFont="1" applyFill="1" applyBorder="1" applyAlignment="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NumberFormat="1" applyFont="1" applyFill="1" applyBorder="1" applyAlignment="1"/>
    <xf numFmtId="0" fontId="18" fillId="0" borderId="8" xfId="20" applyFont="1" applyBorder="1" applyAlignment="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7" fillId="0" borderId="0" xfId="20" applyNumberFormat="1" applyFont="1" applyFill="1" applyBorder="1" applyAlignment="1"/>
    <xf numFmtId="0" fontId="18" fillId="0" borderId="0" xfId="20" applyFont="1" applyFill="1" applyBorder="1" applyAlignment="1">
      <alignment horizontal="left"/>
    </xf>
    <xf numFmtId="3" fontId="18" fillId="0" borderId="0" xfId="20" applyNumberFormat="1" applyFont="1" applyFill="1" applyBorder="1"/>
    <xf numFmtId="0" fontId="18" fillId="0" borderId="16" xfId="20" applyNumberFormat="1" applyFont="1" applyFill="1" applyBorder="1" applyAlignment="1">
      <alignment horizontal="center"/>
    </xf>
    <xf numFmtId="0" fontId="18" fillId="0" borderId="0" xfId="20" applyNumberFormat="1" applyFont="1" applyFill="1" applyBorder="1" applyAlignment="1">
      <alignment horizontal="left"/>
    </xf>
    <xf numFmtId="3" fontId="18" fillId="0" borderId="0" xfId="20" applyNumberFormat="1" applyFont="1" applyFill="1" applyBorder="1" applyAlignment="1">
      <alignment horizontal="center"/>
    </xf>
    <xf numFmtId="3" fontId="18" fillId="0" borderId="0" xfId="20" applyNumberFormat="1" applyFont="1" applyFill="1" applyBorder="1" applyAlignment="1">
      <alignment horizontal="left"/>
    </xf>
    <xf numFmtId="0" fontId="18" fillId="0" borderId="15" xfId="20" applyFont="1" applyBorder="1"/>
    <xf numFmtId="3" fontId="18" fillId="0" borderId="0" xfId="20" applyNumberFormat="1" applyFont="1" applyFill="1" applyBorder="1" applyAlignment="1"/>
    <xf numFmtId="0" fontId="18" fillId="0" borderId="16" xfId="20" applyFont="1" applyFill="1" applyBorder="1" applyAlignment="1">
      <alignment horizontal="center"/>
    </xf>
    <xf numFmtId="0" fontId="17" fillId="0" borderId="0" xfId="20" applyNumberFormat="1" applyFont="1" applyFill="1" applyBorder="1" applyAlignment="1">
      <alignment horizontal="left"/>
    </xf>
    <xf numFmtId="0" fontId="18" fillId="0" borderId="0" xfId="20" applyFont="1" applyBorder="1" applyAlignment="1">
      <alignment horizontal="left"/>
    </xf>
    <xf numFmtId="0" fontId="17" fillId="0" borderId="2" xfId="20" applyNumberFormat="1" applyFont="1" applyFill="1" applyBorder="1" applyAlignment="1">
      <alignment horizontal="left"/>
    </xf>
    <xf numFmtId="0" fontId="18" fillId="0" borderId="2" xfId="20" applyNumberFormat="1" applyFont="1" applyFill="1" applyBorder="1" applyAlignment="1">
      <alignment horizontal="left"/>
    </xf>
    <xf numFmtId="0" fontId="18" fillId="0" borderId="2" xfId="20" applyFont="1" applyFill="1" applyBorder="1"/>
    <xf numFmtId="0" fontId="18" fillId="0" borderId="2" xfId="20" applyFont="1" applyFill="1" applyBorder="1" applyAlignment="1">
      <alignment horizontal="center"/>
    </xf>
    <xf numFmtId="0" fontId="18" fillId="0" borderId="2" xfId="20" applyFont="1" applyFill="1" applyBorder="1" applyAlignment="1"/>
    <xf numFmtId="0" fontId="18" fillId="0" borderId="9" xfId="20" applyFont="1" applyFill="1" applyBorder="1"/>
    <xf numFmtId="0" fontId="18" fillId="0" borderId="0" xfId="20" applyFont="1" applyFill="1" applyBorder="1" applyAlignment="1"/>
    <xf numFmtId="0" fontId="18" fillId="0" borderId="0" xfId="20" applyNumberFormat="1" applyFont="1" applyBorder="1" applyAlignment="1">
      <alignment horizontal="left"/>
    </xf>
    <xf numFmtId="0" fontId="18" fillId="0" borderId="0" xfId="20" applyFont="1" applyBorder="1" applyAlignment="1">
      <alignment horizontal="center"/>
    </xf>
    <xf numFmtId="0" fontId="18" fillId="0" borderId="0" xfId="20" applyNumberFormat="1" applyFont="1" applyBorder="1" applyAlignment="1"/>
    <xf numFmtId="37" fontId="17" fillId="0" borderId="0" xfId="20" applyNumberFormat="1" applyFont="1" applyBorder="1" applyAlignment="1">
      <alignment horizontal="left"/>
    </xf>
    <xf numFmtId="0" fontId="18" fillId="10" borderId="12" xfId="20" applyFont="1" applyFill="1" applyBorder="1"/>
    <xf numFmtId="0" fontId="18" fillId="10" borderId="14" xfId="20" applyFont="1" applyFill="1" applyBorder="1"/>
    <xf numFmtId="0" fontId="17" fillId="0" borderId="16" xfId="20" applyFont="1" applyFill="1" applyBorder="1" applyAlignment="1"/>
    <xf numFmtId="0" fontId="17" fillId="0" borderId="0" xfId="20" applyFont="1" applyFill="1" applyBorder="1" applyAlignment="1">
      <alignment wrapText="1"/>
    </xf>
    <xf numFmtId="0" fontId="18" fillId="0" borderId="15" xfId="20" applyFont="1" applyFill="1" applyBorder="1"/>
    <xf numFmtId="0" fontId="18" fillId="0" borderId="6" xfId="20" applyNumberFormat="1" applyFont="1" applyFill="1" applyBorder="1" applyAlignment="1">
      <alignment horizontal="center"/>
    </xf>
    <xf numFmtId="0" fontId="18" fillId="0" borderId="2" xfId="20" applyFont="1" applyBorder="1"/>
    <xf numFmtId="0" fontId="18" fillId="0" borderId="2" xfId="20" applyNumberFormat="1" applyFont="1" applyBorder="1" applyAlignment="1">
      <alignment horizontal="left"/>
    </xf>
    <xf numFmtId="0" fontId="18" fillId="0" borderId="2" xfId="20" applyNumberFormat="1" applyFont="1" applyBorder="1" applyAlignment="1"/>
    <xf numFmtId="0" fontId="18" fillId="0" borderId="9" xfId="20" applyFont="1" applyBorder="1"/>
    <xf numFmtId="0" fontId="18" fillId="0" borderId="2" xfId="20" applyNumberFormat="1" applyFont="1" applyFill="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Fill="1" applyBorder="1"/>
    <xf numFmtId="0" fontId="17" fillId="0" borderId="8" xfId="20" applyNumberFormat="1" applyFont="1" applyFill="1" applyBorder="1" applyAlignment="1">
      <alignment horizontal="left"/>
    </xf>
    <xf numFmtId="0" fontId="17" fillId="0" borderId="8" xfId="20" applyFont="1" applyFill="1" applyBorder="1"/>
    <xf numFmtId="0" fontId="18" fillId="0" borderId="8" xfId="20" applyFont="1" applyFill="1" applyBorder="1"/>
    <xf numFmtId="0" fontId="18" fillId="0" borderId="8" xfId="20" applyNumberFormat="1" applyFont="1" applyFill="1" applyBorder="1" applyAlignment="1">
      <alignment horizontal="left"/>
    </xf>
    <xf numFmtId="3" fontId="17" fillId="0" borderId="8" xfId="20" applyNumberFormat="1" applyFont="1" applyFill="1" applyBorder="1" applyAlignment="1">
      <alignment horizontal="center"/>
    </xf>
    <xf numFmtId="0" fontId="17" fillId="0" borderId="8" xfId="20" applyFont="1" applyFill="1" applyBorder="1" applyAlignment="1">
      <alignment horizontal="left"/>
    </xf>
    <xf numFmtId="167" fontId="18" fillId="0" borderId="8" xfId="20" applyNumberFormat="1" applyFont="1" applyFill="1" applyBorder="1"/>
    <xf numFmtId="0" fontId="18" fillId="0" borderId="24" xfId="20" applyFont="1" applyFill="1" applyBorder="1"/>
    <xf numFmtId="0" fontId="18" fillId="0" borderId="15" xfId="20" applyFont="1" applyFill="1" applyBorder="1" applyAlignment="1">
      <alignment horizontal="center" wrapText="1"/>
    </xf>
    <xf numFmtId="167" fontId="17" fillId="0" borderId="0" xfId="2" applyNumberFormat="1" applyFont="1" applyFill="1" applyBorder="1"/>
    <xf numFmtId="0" fontId="17" fillId="0" borderId="2" xfId="20" applyNumberFormat="1" applyFont="1" applyFill="1" applyBorder="1" applyAlignment="1"/>
    <xf numFmtId="3" fontId="18" fillId="0" borderId="0" xfId="20" applyNumberFormat="1" applyFont="1" applyBorder="1" applyAlignment="1">
      <alignment horizontal="center"/>
    </xf>
    <xf numFmtId="3" fontId="18" fillId="0" borderId="8" xfId="20" applyNumberFormat="1" applyFont="1" applyBorder="1" applyAlignment="1">
      <alignment horizontal="center"/>
    </xf>
    <xf numFmtId="167" fontId="18" fillId="0" borderId="0" xfId="20" applyNumberFormat="1" applyFont="1" applyBorder="1"/>
    <xf numFmtId="166" fontId="18" fillId="0" borderId="2" xfId="6" applyNumberFormat="1" applyFont="1" applyFill="1" applyBorder="1"/>
    <xf numFmtId="0" fontId="17" fillId="10" borderId="7" xfId="20" applyFont="1" applyFill="1" applyBorder="1" applyAlignment="1"/>
    <xf numFmtId="0" fontId="17" fillId="10" borderId="8" xfId="20" applyFont="1" applyFill="1" applyBorder="1" applyAlignment="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0" fontId="17" fillId="0" borderId="0" xfId="20" applyNumberFormat="1" applyFont="1" applyBorder="1" applyAlignment="1">
      <alignment horizontal="left"/>
    </xf>
    <xf numFmtId="0" fontId="18" fillId="0" borderId="2" xfId="20" applyNumberFormat="1" applyFont="1" applyFill="1" applyBorder="1" applyAlignment="1"/>
    <xf numFmtId="3" fontId="18" fillId="0" borderId="9" xfId="20" applyNumberFormat="1" applyFont="1" applyBorder="1" applyAlignment="1">
      <alignment horizontal="center"/>
    </xf>
    <xf numFmtId="0" fontId="17" fillId="0" borderId="7" xfId="20" applyFont="1" applyFill="1" applyBorder="1" applyAlignment="1"/>
    <xf numFmtId="0" fontId="17" fillId="0" borderId="8" xfId="20" applyFont="1" applyFill="1" applyBorder="1" applyAlignment="1"/>
    <xf numFmtId="0" fontId="17" fillId="0" borderId="8" xfId="20" applyFont="1" applyFill="1" applyBorder="1" applyAlignment="1">
      <alignment horizontal="center"/>
    </xf>
    <xf numFmtId="0" fontId="17" fillId="0" borderId="8" xfId="20" applyFont="1" applyFill="1" applyBorder="1" applyAlignment="1">
      <alignment wrapText="1"/>
    </xf>
    <xf numFmtId="0" fontId="17" fillId="0" borderId="8" xfId="20" applyFont="1" applyFill="1" applyBorder="1" applyAlignment="1">
      <alignment horizontal="center" wrapText="1"/>
    </xf>
    <xf numFmtId="0" fontId="17" fillId="0" borderId="24" xfId="20" applyFont="1" applyFill="1" applyBorder="1" applyAlignment="1">
      <alignment horizontal="center" wrapText="1"/>
    </xf>
    <xf numFmtId="3" fontId="18" fillId="0" borderId="15" xfId="20" applyNumberFormat="1" applyFont="1" applyFill="1" applyBorder="1" applyAlignment="1">
      <alignment horizontal="right"/>
    </xf>
    <xf numFmtId="0" fontId="17" fillId="0" borderId="15" xfId="20" applyFont="1" applyBorder="1" applyAlignment="1">
      <alignment horizontal="center"/>
    </xf>
    <xf numFmtId="3" fontId="18" fillId="0" borderId="15" xfId="20" applyNumberFormat="1" applyFont="1" applyBorder="1" applyAlignment="1">
      <alignment horizontal="right"/>
    </xf>
    <xf numFmtId="0" fontId="18" fillId="0" borderId="6" xfId="20" applyFont="1" applyBorder="1"/>
    <xf numFmtId="0" fontId="17" fillId="0" borderId="0" xfId="20" applyFont="1" applyBorder="1"/>
    <xf numFmtId="0" fontId="18" fillId="0" borderId="15" xfId="20" applyFont="1" applyFill="1" applyBorder="1" applyAlignment="1">
      <alignment horizontal="center"/>
    </xf>
    <xf numFmtId="164" fontId="18" fillId="0" borderId="2" xfId="20" applyNumberFormat="1" applyFont="1" applyFill="1" applyBorder="1" applyAlignment="1">
      <alignment horizontal="center"/>
    </xf>
    <xf numFmtId="0" fontId="18" fillId="0" borderId="9" xfId="20" applyFont="1" applyBorder="1" applyAlignment="1">
      <alignment horizontal="center"/>
    </xf>
    <xf numFmtId="0" fontId="18" fillId="0" borderId="16" xfId="20" applyNumberFormat="1" applyFont="1" applyBorder="1" applyAlignment="1">
      <alignment horizontal="center"/>
    </xf>
    <xf numFmtId="0" fontId="18" fillId="0" borderId="0" xfId="20" applyNumberFormat="1" applyFont="1" applyFill="1" applyBorder="1" applyAlignment="1">
      <alignment horizontal="right"/>
    </xf>
    <xf numFmtId="0" fontId="18" fillId="0" borderId="2" xfId="20" applyNumberFormat="1" applyFont="1" applyFill="1" applyBorder="1" applyAlignment="1">
      <alignment horizontal="right"/>
    </xf>
    <xf numFmtId="0" fontId="18" fillId="0" borderId="8" xfId="20" applyFont="1" applyFill="1" applyBorder="1" applyAlignment="1"/>
    <xf numFmtId="0" fontId="18" fillId="0" borderId="0" xfId="20" applyNumberFormat="1" applyFont="1" applyBorder="1" applyAlignment="1">
      <alignment horizontal="right"/>
    </xf>
    <xf numFmtId="0" fontId="18" fillId="0" borderId="0" xfId="20" applyNumberFormat="1" applyFont="1" applyFill="1" applyBorder="1" applyAlignment="1">
      <alignment horizontal="left" wrapText="1"/>
    </xf>
    <xf numFmtId="0" fontId="17" fillId="0" borderId="0" xfId="20" applyFont="1" applyFill="1" applyAlignment="1">
      <alignment horizontal="left"/>
    </xf>
    <xf numFmtId="164" fontId="17" fillId="0" borderId="0" xfId="2" applyNumberFormat="1" applyFont="1" applyFill="1" applyBorder="1"/>
    <xf numFmtId="3" fontId="18" fillId="0" borderId="2" xfId="20" applyNumberFormat="1" applyFont="1" applyFill="1" applyBorder="1"/>
    <xf numFmtId="3" fontId="18" fillId="0" borderId="2" xfId="20" applyNumberFormat="1" applyFont="1" applyFill="1" applyBorder="1" applyAlignment="1">
      <alignment horizontal="left"/>
    </xf>
    <xf numFmtId="167" fontId="17" fillId="0" borderId="0" xfId="20" applyNumberFormat="1" applyFont="1" applyBorder="1" applyAlignment="1">
      <alignment horizontal="left"/>
    </xf>
    <xf numFmtId="3" fontId="18" fillId="0" borderId="0" xfId="20" applyNumberFormat="1" applyFont="1" applyBorder="1" applyAlignment="1"/>
    <xf numFmtId="169" fontId="18" fillId="0" borderId="0" xfId="20" applyNumberFormat="1" applyFont="1" applyBorder="1" applyAlignme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8" fillId="0" borderId="0" xfId="20" applyFont="1" applyFill="1" applyAlignment="1">
      <alignment horizontal="center"/>
    </xf>
    <xf numFmtId="0" fontId="17" fillId="0" borderId="24" xfId="20" applyFont="1" applyFill="1" applyBorder="1" applyAlignment="1">
      <alignment wrapText="1"/>
    </xf>
    <xf numFmtId="2" fontId="18" fillId="0" borderId="0" xfId="20" applyNumberFormat="1" applyFont="1" applyFill="1" applyBorder="1" applyAlignment="1">
      <alignment horizontal="center"/>
    </xf>
    <xf numFmtId="0" fontId="18" fillId="0" borderId="0" xfId="20" applyFont="1" applyFill="1" applyBorder="1" applyAlignment="1">
      <alignment horizontal="center"/>
    </xf>
    <xf numFmtId="164" fontId="27" fillId="0" borderId="0" xfId="4" applyNumberFormat="1" applyFont="1" applyFill="1"/>
    <xf numFmtId="0" fontId="18" fillId="0" borderId="8" xfId="20" applyFont="1" applyBorder="1" applyAlignment="1">
      <alignment horizontal="left"/>
    </xf>
    <xf numFmtId="0" fontId="17" fillId="0" borderId="0" xfId="20" applyFont="1" applyFill="1" applyBorder="1" applyAlignment="1">
      <alignment horizontal="center"/>
    </xf>
    <xf numFmtId="0" fontId="18" fillId="0" borderId="7" xfId="20" applyFont="1" applyBorder="1"/>
    <xf numFmtId="3" fontId="17" fillId="0" borderId="8" xfId="20" applyNumberFormat="1" applyFont="1" applyBorder="1" applyAlignment="1">
      <alignment horizontal="center"/>
    </xf>
    <xf numFmtId="3" fontId="18" fillId="0" borderId="8" xfId="2" applyNumberFormat="1" applyFont="1" applyFill="1" applyBorder="1"/>
    <xf numFmtId="0" fontId="48" fillId="0" borderId="0" xfId="0" applyFont="1" applyBorder="1"/>
    <xf numFmtId="43" fontId="27" fillId="0" borderId="0" xfId="2" applyFont="1" applyFill="1"/>
    <xf numFmtId="0" fontId="23" fillId="0" borderId="0" xfId="0" applyFont="1"/>
    <xf numFmtId="0" fontId="18" fillId="0" borderId="0" xfId="0" applyFont="1"/>
    <xf numFmtId="0" fontId="23" fillId="0" borderId="0" xfId="0" applyFont="1" applyBorder="1"/>
    <xf numFmtId="0" fontId="18" fillId="0" borderId="0" xfId="0" applyFont="1" applyBorder="1"/>
    <xf numFmtId="0" fontId="17" fillId="0" borderId="0" xfId="0" applyFont="1" applyFill="1" applyBorder="1"/>
    <xf numFmtId="0" fontId="18" fillId="0" borderId="0" xfId="0" applyFont="1" applyFill="1"/>
    <xf numFmtId="0" fontId="0" fillId="0" borderId="0" xfId="0" applyFill="1" applyAlignment="1">
      <alignment vertical="center" wrapText="1"/>
    </xf>
    <xf numFmtId="0" fontId="18" fillId="0" borderId="0" xfId="0" applyFont="1" applyFill="1" applyAlignment="1"/>
    <xf numFmtId="0" fontId="24" fillId="0" borderId="0" xfId="0" applyFont="1" applyFill="1" applyAlignment="1">
      <alignment horizontal="center"/>
    </xf>
    <xf numFmtId="0" fontId="18" fillId="0" borderId="0" xfId="0" applyFont="1" applyFill="1" applyAlignment="1">
      <alignment horizontal="left"/>
    </xf>
    <xf numFmtId="0" fontId="24" fillId="0" borderId="0" xfId="0" applyFont="1" applyFill="1"/>
    <xf numFmtId="37" fontId="18" fillId="0" borderId="0" xfId="0" applyNumberFormat="1" applyFont="1" applyFill="1"/>
    <xf numFmtId="37" fontId="17" fillId="0" borderId="0" xfId="0" applyNumberFormat="1" applyFont="1" applyFill="1"/>
    <xf numFmtId="37" fontId="18" fillId="0" borderId="0" xfId="0" applyNumberFormat="1" applyFont="1" applyFill="1" applyAlignment="1">
      <alignment horizontal="left"/>
    </xf>
    <xf numFmtId="0" fontId="17" fillId="0" borderId="0" xfId="0" applyFont="1" applyFill="1"/>
    <xf numFmtId="0" fontId="17" fillId="0" borderId="0" xfId="0" applyFont="1" applyFill="1" applyAlignment="1">
      <alignment horizontal="center"/>
    </xf>
    <xf numFmtId="0" fontId="24" fillId="0" borderId="0" xfId="0" applyFont="1" applyFill="1" applyAlignment="1">
      <alignment horizontal="left"/>
    </xf>
    <xf numFmtId="37" fontId="18" fillId="0" borderId="34" xfId="0" applyNumberFormat="1" applyFont="1" applyFill="1" applyBorder="1" applyAlignment="1">
      <alignment wrapText="1"/>
    </xf>
    <xf numFmtId="37" fontId="17" fillId="0" borderId="0" xfId="0" applyNumberFormat="1" applyFont="1" applyFill="1" applyBorder="1" applyAlignment="1">
      <alignment horizontal="center"/>
    </xf>
    <xf numFmtId="0" fontId="17" fillId="0" borderId="0" xfId="0" applyFont="1" applyBorder="1"/>
    <xf numFmtId="0" fontId="18" fillId="0" borderId="0" xfId="0" applyFont="1" applyBorder="1" applyAlignment="1">
      <alignment horizontal="left"/>
    </xf>
    <xf numFmtId="0" fontId="18"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41" fontId="17" fillId="0" borderId="0" xfId="0" applyNumberFormat="1" applyFont="1" applyFill="1" applyAlignment="1">
      <alignment horizontal="center" wrapText="1"/>
    </xf>
    <xf numFmtId="0" fontId="18" fillId="0" borderId="0" xfId="0" applyFont="1" applyAlignment="1">
      <alignment horizontal="left"/>
    </xf>
    <xf numFmtId="0" fontId="17" fillId="0" borderId="17" xfId="0" applyFont="1" applyFill="1" applyBorder="1"/>
    <xf numFmtId="0" fontId="18" fillId="0" borderId="25" xfId="0" applyFont="1" applyFill="1" applyBorder="1" applyAlignment="1">
      <alignment wrapText="1"/>
    </xf>
    <xf numFmtId="37" fontId="18" fillId="0" borderId="0" xfId="0" applyNumberFormat="1" applyFont="1" applyBorder="1"/>
    <xf numFmtId="37" fontId="18" fillId="0" borderId="0" xfId="0" applyNumberFormat="1" applyFont="1" applyFill="1" applyBorder="1"/>
    <xf numFmtId="164" fontId="18" fillId="0" borderId="0" xfId="0" applyNumberFormat="1" applyFont="1" applyFill="1" applyBorder="1" applyAlignment="1">
      <alignment wrapText="1"/>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41" fontId="17" fillId="0" borderId="0" xfId="0" applyNumberFormat="1" applyFont="1" applyFill="1" applyBorder="1" applyAlignment="1">
      <alignment horizontal="center"/>
    </xf>
    <xf numFmtId="0" fontId="18" fillId="0" borderId="0" xfId="0" applyFont="1" applyFill="1" applyBorder="1" applyAlignment="1">
      <alignment horizontal="left"/>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7" fillId="0" borderId="23" xfId="0" applyFont="1" applyFill="1" applyBorder="1" applyAlignment="1"/>
    <xf numFmtId="0" fontId="18" fillId="0" borderId="29" xfId="0" applyFont="1" applyFill="1" applyBorder="1" applyAlignment="1">
      <alignment wrapText="1"/>
    </xf>
    <xf numFmtId="0" fontId="23" fillId="0" borderId="0" xfId="20" applyFont="1" applyAlignment="1">
      <alignment horizontal="center"/>
    </xf>
    <xf numFmtId="0" fontId="24" fillId="0" borderId="0" xfId="20" applyFont="1" applyFill="1" applyAlignment="1">
      <alignment horizontal="center"/>
    </xf>
    <xf numFmtId="0" fontId="18" fillId="0" borderId="0" xfId="20" applyFont="1" applyAlignment="1">
      <alignment horizontal="left"/>
    </xf>
    <xf numFmtId="37" fontId="18" fillId="0" borderId="0" xfId="20" applyNumberFormat="1" applyFont="1" applyFill="1" applyBorder="1" applyAlignment="1">
      <alignment horizontal="left"/>
    </xf>
    <xf numFmtId="0" fontId="22" fillId="0" borderId="0" xfId="20" applyFont="1" applyFill="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NumberFormat="1" applyFont="1" applyFill="1" applyBorder="1" applyAlignment="1"/>
    <xf numFmtId="0" fontId="18" fillId="0" borderId="31" xfId="20" applyFont="1" applyBorder="1"/>
    <xf numFmtId="0" fontId="17" fillId="0" borderId="0" xfId="0" applyFont="1" applyFill="1" applyAlignment="1">
      <alignment horizontal="right"/>
    </xf>
    <xf numFmtId="43" fontId="18" fillId="0" borderId="0" xfId="2" applyNumberFormat="1" applyFont="1" applyFill="1" applyBorder="1" applyAlignment="1"/>
    <xf numFmtId="0" fontId="17" fillId="10" borderId="31" xfId="20" applyFont="1" applyFill="1" applyBorder="1" applyAlignment="1">
      <alignment horizontal="center" wrapText="1"/>
    </xf>
    <xf numFmtId="3" fontId="18" fillId="0" borderId="20" xfId="20" applyNumberFormat="1" applyFont="1" applyFill="1" applyBorder="1" applyAlignment="1">
      <alignment horizontal="center"/>
    </xf>
    <xf numFmtId="37" fontId="17" fillId="0" borderId="1" xfId="20" applyNumberFormat="1" applyFont="1" applyFill="1" applyBorder="1" applyAlignment="1">
      <alignment horizontal="center"/>
    </xf>
    <xf numFmtId="164" fontId="18" fillId="0" borderId="0" xfId="20" applyNumberFormat="1" applyFont="1"/>
    <xf numFmtId="0" fontId="27" fillId="0" borderId="0" xfId="20" applyFont="1" applyFill="1" applyAlignment="1">
      <alignment horizontal="center"/>
    </xf>
    <xf numFmtId="0" fontId="15" fillId="0" borderId="0" xfId="20" applyFont="1"/>
    <xf numFmtId="43" fontId="15" fillId="0" borderId="0" xfId="2" applyFont="1" applyFill="1"/>
    <xf numFmtId="164" fontId="18" fillId="0" borderId="0" xfId="1" applyNumberFormat="1" applyFont="1"/>
    <xf numFmtId="0" fontId="17" fillId="0" borderId="0" xfId="20" applyFont="1"/>
    <xf numFmtId="0" fontId="17" fillId="0" borderId="0" xfId="20" applyFont="1" applyAlignment="1">
      <alignment horizontal="center"/>
    </xf>
    <xf numFmtId="0" fontId="18" fillId="0" borderId="0" xfId="20" applyFont="1" applyAlignment="1">
      <alignment horizontal="right"/>
    </xf>
    <xf numFmtId="0" fontId="18" fillId="0" borderId="0" xfId="20" applyFont="1" applyProtection="1">
      <protection locked="0"/>
    </xf>
    <xf numFmtId="0" fontId="15" fillId="0" borderId="0" xfId="20" applyFont="1" applyFill="1"/>
    <xf numFmtId="0" fontId="15" fillId="0" borderId="0" xfId="20" applyFont="1" applyFill="1" applyBorder="1"/>
    <xf numFmtId="3" fontId="18" fillId="0" borderId="20" xfId="20" applyNumberFormat="1" applyFont="1" applyBorder="1"/>
    <xf numFmtId="0" fontId="31" fillId="0" borderId="0" xfId="20" applyFont="1" applyFill="1" applyProtection="1"/>
    <xf numFmtId="0" fontId="31" fillId="0" borderId="0" xfId="20" applyFont="1" applyFill="1" applyBorder="1" applyProtection="1"/>
    <xf numFmtId="0" fontId="28" fillId="0" borderId="0" xfId="20" applyFont="1" applyFill="1" applyBorder="1" applyAlignment="1" applyProtection="1">
      <alignment horizontal="center" wrapText="1"/>
    </xf>
    <xf numFmtId="0" fontId="31" fillId="5" borderId="0" xfId="20" applyFont="1" applyFill="1" applyBorder="1" applyAlignment="1" applyProtection="1">
      <alignment horizontal="center" wrapText="1"/>
    </xf>
    <xf numFmtId="0" fontId="31" fillId="0" borderId="0" xfId="20" applyFont="1" applyFill="1" applyBorder="1" applyAlignment="1" applyProtection="1">
      <alignment horizontal="center" wrapText="1"/>
    </xf>
    <xf numFmtId="3" fontId="31" fillId="0" borderId="0" xfId="20" applyNumberFormat="1" applyFont="1" applyAlignment="1" applyProtection="1"/>
    <xf numFmtId="3" fontId="31" fillId="0" borderId="0" xfId="20" applyNumberFormat="1" applyFont="1" applyFill="1" applyAlignment="1" applyProtection="1"/>
    <xf numFmtId="3" fontId="31" fillId="0" borderId="3" xfId="20" applyNumberFormat="1" applyFont="1" applyBorder="1" applyAlignment="1" applyProtection="1"/>
    <xf numFmtId="171" fontId="28" fillId="0" borderId="0" xfId="9" applyNumberFormat="1" applyFont="1" applyAlignment="1" applyProtection="1"/>
    <xf numFmtId="0" fontId="31" fillId="0" borderId="0" xfId="20" applyFont="1" applyProtection="1"/>
    <xf numFmtId="3" fontId="31" fillId="0" borderId="4" xfId="20" applyNumberFormat="1" applyFont="1" applyFill="1" applyBorder="1" applyAlignment="1" applyProtection="1"/>
    <xf numFmtId="3" fontId="31" fillId="0" borderId="0" xfId="20" applyNumberFormat="1" applyFont="1" applyFill="1" applyBorder="1" applyAlignment="1" applyProtection="1"/>
    <xf numFmtId="3" fontId="31" fillId="0" borderId="0" xfId="20" applyNumberFormat="1" applyFont="1" applyBorder="1" applyProtection="1"/>
    <xf numFmtId="3" fontId="31" fillId="0" borderId="0" xfId="20" applyNumberFormat="1" applyFont="1" applyBorder="1" applyAlignment="1" applyProtection="1"/>
    <xf numFmtId="3" fontId="31" fillId="0" borderId="0" xfId="20" applyNumberFormat="1" applyFont="1" applyProtection="1"/>
    <xf numFmtId="3" fontId="31" fillId="0" borderId="3" xfId="20" applyNumberFormat="1" applyFont="1" applyFill="1" applyBorder="1" applyAlignment="1" applyProtection="1"/>
    <xf numFmtId="3" fontId="31" fillId="0" borderId="0" xfId="20" applyNumberFormat="1" applyFont="1" applyAlignment="1" applyProtection="1">
      <alignment horizontal="center"/>
    </xf>
    <xf numFmtId="0" fontId="31" fillId="5" borderId="0" xfId="20" applyFont="1" applyFill="1" applyProtection="1"/>
    <xf numFmtId="3" fontId="31" fillId="0" borderId="0" xfId="20" applyNumberFormat="1" applyFont="1" applyFill="1" applyBorder="1" applyAlignment="1" applyProtection="1">
      <alignment horizontal="right"/>
    </xf>
    <xf numFmtId="3" fontId="31" fillId="0" borderId="0" xfId="20" applyNumberFormat="1" applyFont="1" applyFill="1" applyAlignment="1" applyProtection="1">
      <alignment horizontal="right"/>
    </xf>
    <xf numFmtId="171" fontId="31" fillId="0" borderId="0" xfId="20" applyNumberFormat="1" applyFont="1" applyFill="1" applyAlignment="1" applyProtection="1">
      <alignment horizontal="right"/>
    </xf>
    <xf numFmtId="3" fontId="31" fillId="0" borderId="3" xfId="20" applyNumberFormat="1" applyFont="1" applyBorder="1" applyAlignment="1" applyProtection="1">
      <alignment horizontal="right"/>
    </xf>
    <xf numFmtId="3" fontId="31" fillId="0" borderId="4" xfId="20" applyNumberFormat="1" applyFont="1" applyFill="1" applyBorder="1" applyAlignment="1" applyProtection="1">
      <alignment horizontal="right"/>
    </xf>
    <xf numFmtId="170" fontId="31" fillId="0" borderId="4" xfId="9" applyNumberFormat="1" applyFont="1" applyBorder="1" applyAlignment="1" applyProtection="1">
      <alignment horizontal="right"/>
    </xf>
    <xf numFmtId="3" fontId="28" fillId="0" borderId="0" xfId="20" applyNumberFormat="1" applyFont="1" applyBorder="1" applyAlignment="1" applyProtection="1">
      <alignment horizontal="right"/>
    </xf>
    <xf numFmtId="3" fontId="28" fillId="0" borderId="3" xfId="20" applyNumberFormat="1" applyFont="1" applyFill="1" applyBorder="1" applyAlignment="1" applyProtection="1"/>
    <xf numFmtId="171" fontId="28" fillId="0" borderId="0" xfId="9" applyNumberFormat="1" applyFont="1" applyFill="1" applyAlignment="1" applyProtection="1"/>
    <xf numFmtId="3" fontId="34" fillId="0" borderId="0" xfId="20" applyNumberFormat="1" applyFont="1" applyFill="1" applyAlignment="1" applyProtection="1">
      <alignment horizontal="right"/>
    </xf>
    <xf numFmtId="3" fontId="28" fillId="0" borderId="3" xfId="20" applyNumberFormat="1" applyFont="1" applyFill="1" applyBorder="1" applyAlignment="1" applyProtection="1">
      <alignment horizontal="right"/>
    </xf>
    <xf numFmtId="3" fontId="28" fillId="0" borderId="10" xfId="20" applyNumberFormat="1" applyFont="1" applyFill="1" applyBorder="1" applyAlignment="1" applyProtection="1"/>
    <xf numFmtId="171" fontId="34" fillId="0" borderId="0" xfId="20" applyNumberFormat="1" applyFont="1" applyAlignment="1" applyProtection="1">
      <alignment horizontal="right"/>
    </xf>
    <xf numFmtId="164" fontId="31" fillId="0" borderId="0" xfId="2" applyNumberFormat="1" applyFont="1" applyAlignment="1" applyProtection="1">
      <alignment horizontal="right"/>
    </xf>
    <xf numFmtId="0" fontId="31" fillId="0" borderId="0" xfId="20" applyFont="1" applyAlignment="1" applyProtection="1"/>
    <xf numFmtId="165" fontId="31" fillId="0" borderId="0" xfId="20" applyNumberFormat="1" applyFont="1" applyAlignment="1" applyProtection="1"/>
    <xf numFmtId="10" fontId="31" fillId="8" borderId="0" xfId="20" applyNumberFormat="1" applyFont="1" applyFill="1" applyProtection="1"/>
    <xf numFmtId="10" fontId="31" fillId="0" borderId="0" xfId="20" applyNumberFormat="1" applyFont="1" applyFill="1" applyAlignment="1" applyProtection="1">
      <alignment horizontal="right"/>
    </xf>
    <xf numFmtId="10" fontId="31" fillId="0" borderId="0" xfId="20" applyNumberFormat="1" applyFont="1" applyFill="1" applyProtection="1"/>
    <xf numFmtId="3" fontId="28" fillId="0" borderId="3" xfId="20" applyNumberFormat="1" applyFont="1" applyBorder="1" applyAlignment="1" applyProtection="1">
      <alignment horizontal="right"/>
    </xf>
    <xf numFmtId="3" fontId="31" fillId="0" borderId="0" xfId="20" applyNumberFormat="1" applyFont="1" applyBorder="1" applyAlignment="1" applyProtection="1">
      <alignment horizontal="right"/>
    </xf>
    <xf numFmtId="3" fontId="28" fillId="0" borderId="12" xfId="20" applyNumberFormat="1" applyFont="1" applyFill="1" applyBorder="1" applyProtection="1"/>
    <xf numFmtId="37" fontId="28" fillId="0" borderId="0" xfId="20" applyNumberFormat="1" applyFont="1" applyBorder="1" applyAlignment="1" applyProtection="1">
      <alignment horizontal="right"/>
    </xf>
    <xf numFmtId="37" fontId="28" fillId="0" borderId="0" xfId="20" applyNumberFormat="1" applyFont="1" applyFill="1" applyBorder="1" applyAlignment="1" applyProtection="1">
      <alignment horizontal="right"/>
    </xf>
    <xf numFmtId="0" fontId="28" fillId="0" borderId="0" xfId="20" applyNumberFormat="1" applyFont="1" applyFill="1" applyBorder="1" applyAlignment="1" applyProtection="1">
      <alignment horizontal="center"/>
    </xf>
    <xf numFmtId="0" fontId="31" fillId="0" borderId="0" xfId="20" applyFont="1" applyFill="1" applyAlignment="1" applyProtection="1">
      <alignment horizontal="left"/>
    </xf>
    <xf numFmtId="37" fontId="31" fillId="0" borderId="0" xfId="20" applyNumberFormat="1" applyFont="1" applyFill="1" applyBorder="1" applyAlignment="1" applyProtection="1">
      <alignment horizontal="left"/>
    </xf>
    <xf numFmtId="0" fontId="31" fillId="0" borderId="0" xfId="20" applyFont="1" applyAlignment="1" applyProtection="1">
      <alignment horizontal="left"/>
    </xf>
    <xf numFmtId="0" fontId="31" fillId="0" borderId="0" xfId="20" applyFont="1" applyAlignment="1" applyProtection="1">
      <alignment horizontal="center"/>
    </xf>
    <xf numFmtId="0" fontId="31" fillId="0" borderId="0" xfId="20" applyFont="1" applyFill="1" applyAlignment="1" applyProtection="1"/>
    <xf numFmtId="0" fontId="26" fillId="0" borderId="0" xfId="20" applyFont="1" applyFill="1" applyProtection="1"/>
    <xf numFmtId="0" fontId="28" fillId="6" borderId="7" xfId="20" applyFont="1" applyFill="1" applyBorder="1" applyAlignment="1" applyProtection="1">
      <alignment horizontal="left"/>
    </xf>
    <xf numFmtId="0" fontId="31" fillId="6" borderId="8" xfId="20" applyFont="1" applyFill="1" applyBorder="1" applyAlignment="1" applyProtection="1"/>
    <xf numFmtId="0" fontId="28" fillId="6" borderId="16" xfId="20" applyFont="1" applyFill="1" applyBorder="1" applyAlignment="1" applyProtection="1">
      <alignment horizontal="left"/>
    </xf>
    <xf numFmtId="0" fontId="31" fillId="6" borderId="0" xfId="20" applyFont="1" applyFill="1" applyBorder="1" applyAlignment="1" applyProtection="1"/>
    <xf numFmtId="0" fontId="31" fillId="6" borderId="0" xfId="20" applyFont="1" applyFill="1" applyBorder="1" applyAlignment="1" applyProtection="1">
      <alignment horizontal="center"/>
    </xf>
    <xf numFmtId="0" fontId="31" fillId="6" borderId="15" xfId="20" applyFont="1" applyFill="1" applyBorder="1" applyAlignment="1" applyProtection="1">
      <alignment horizontal="center"/>
    </xf>
    <xf numFmtId="0" fontId="28" fillId="6" borderId="6" xfId="20" applyFont="1" applyFill="1" applyBorder="1" applyAlignment="1" applyProtection="1">
      <alignment horizontal="left"/>
    </xf>
    <xf numFmtId="0" fontId="28" fillId="6" borderId="2" xfId="20" applyFont="1" applyFill="1" applyBorder="1" applyAlignment="1" applyProtection="1"/>
    <xf numFmtId="0" fontId="28" fillId="6" borderId="2" xfId="20" applyNumberFormat="1" applyFont="1" applyFill="1" applyBorder="1" applyAlignment="1" applyProtection="1">
      <alignment horizontal="center"/>
    </xf>
    <xf numFmtId="0" fontId="28" fillId="6" borderId="9" xfId="20" applyFont="1" applyFill="1" applyBorder="1" applyAlignment="1" applyProtection="1">
      <alignment horizontal="center" wrapText="1"/>
    </xf>
    <xf numFmtId="0" fontId="28" fillId="0" borderId="0" xfId="20" applyFont="1" applyFill="1" applyBorder="1" applyProtection="1"/>
    <xf numFmtId="0" fontId="28" fillId="0" borderId="0" xfId="20" applyFont="1" applyFill="1" applyBorder="1" applyAlignment="1" applyProtection="1">
      <alignment horizontal="left"/>
    </xf>
    <xf numFmtId="0" fontId="28" fillId="0" borderId="0" xfId="20" applyFont="1" applyFill="1" applyBorder="1" applyAlignment="1" applyProtection="1"/>
    <xf numFmtId="0" fontId="32" fillId="5" borderId="0" xfId="20" applyFont="1" applyFill="1" applyBorder="1" applyAlignment="1" applyProtection="1">
      <alignment horizontal="left"/>
    </xf>
    <xf numFmtId="0" fontId="32" fillId="5" borderId="0" xfId="20" applyFont="1" applyFill="1" applyBorder="1" applyAlignment="1" applyProtection="1"/>
    <xf numFmtId="0" fontId="31" fillId="5" borderId="0" xfId="20" applyFont="1" applyFill="1" applyBorder="1" applyAlignment="1" applyProtection="1"/>
    <xf numFmtId="0" fontId="28" fillId="5" borderId="0" xfId="20" applyNumberFormat="1" applyFont="1" applyFill="1" applyBorder="1" applyAlignment="1" applyProtection="1">
      <alignment horizontal="center"/>
    </xf>
    <xf numFmtId="0" fontId="31" fillId="5" borderId="0" xfId="20" applyFont="1" applyFill="1" applyBorder="1" applyProtection="1"/>
    <xf numFmtId="0" fontId="31" fillId="0" borderId="0" xfId="20" applyFont="1" applyFill="1" applyBorder="1" applyAlignment="1" applyProtection="1">
      <alignment horizontal="left"/>
    </xf>
    <xf numFmtId="0" fontId="31" fillId="0" borderId="0" xfId="20" applyFont="1" applyFill="1" applyBorder="1" applyAlignment="1" applyProtection="1"/>
    <xf numFmtId="0" fontId="28" fillId="0" borderId="0" xfId="20" applyNumberFormat="1" applyFont="1" applyFill="1" applyAlignment="1" applyProtection="1">
      <alignment horizontal="center"/>
    </xf>
    <xf numFmtId="0" fontId="28" fillId="0" borderId="0" xfId="20" applyNumberFormat="1" applyFont="1" applyFill="1" applyAlignment="1" applyProtection="1"/>
    <xf numFmtId="0" fontId="31" fillId="0" borderId="0" xfId="20" applyNumberFormat="1" applyFont="1" applyAlignment="1" applyProtection="1">
      <alignment horizontal="center"/>
    </xf>
    <xf numFmtId="0" fontId="34" fillId="0" borderId="0" xfId="20" applyFont="1" applyFill="1" applyAlignment="1" applyProtection="1">
      <alignment horizontal="left"/>
    </xf>
    <xf numFmtId="0" fontId="34" fillId="0" borderId="0" xfId="20" applyFont="1" applyFill="1" applyBorder="1" applyAlignment="1" applyProtection="1">
      <alignment horizontal="center"/>
    </xf>
    <xf numFmtId="0" fontId="31" fillId="0" borderId="3" xfId="20" applyNumberFormat="1" applyFont="1" applyFill="1" applyBorder="1" applyAlignment="1" applyProtection="1"/>
    <xf numFmtId="3" fontId="31" fillId="0" borderId="3" xfId="20" applyNumberFormat="1" applyFont="1" applyBorder="1" applyAlignment="1" applyProtection="1">
      <alignment horizontal="center"/>
    </xf>
    <xf numFmtId="0" fontId="31" fillId="0" borderId="3" xfId="20" applyFont="1" applyBorder="1" applyAlignment="1" applyProtection="1"/>
    <xf numFmtId="0" fontId="31" fillId="0" borderId="0" xfId="20" applyNumberFormat="1" applyFont="1" applyAlignment="1" applyProtection="1"/>
    <xf numFmtId="0" fontId="28" fillId="0" borderId="5" xfId="20" applyNumberFormat="1" applyFont="1" applyFill="1" applyBorder="1" applyAlignment="1" applyProtection="1"/>
    <xf numFmtId="0" fontId="31" fillId="0" borderId="5" xfId="20" applyFont="1" applyFill="1" applyBorder="1" applyAlignment="1" applyProtection="1"/>
    <xf numFmtId="3" fontId="31" fillId="0" borderId="5" xfId="20" applyNumberFormat="1" applyFont="1" applyFill="1" applyBorder="1" applyAlignment="1" applyProtection="1">
      <alignment horizontal="center"/>
    </xf>
    <xf numFmtId="3" fontId="31" fillId="0" borderId="5" xfId="20" applyNumberFormat="1" applyFont="1" applyFill="1" applyBorder="1" applyAlignment="1" applyProtection="1"/>
    <xf numFmtId="3" fontId="31" fillId="0" borderId="0" xfId="20" applyNumberFormat="1" applyFont="1" applyFill="1" applyAlignment="1" applyProtection="1">
      <alignment horizontal="center"/>
    </xf>
    <xf numFmtId="0" fontId="31" fillId="0" borderId="0" xfId="20" applyNumberFormat="1" applyFont="1" applyFill="1" applyAlignment="1" applyProtection="1">
      <alignment horizontal="center"/>
    </xf>
    <xf numFmtId="0" fontId="31" fillId="0" borderId="4" xfId="20" applyFont="1" applyFill="1" applyBorder="1" applyProtection="1"/>
    <xf numFmtId="0" fontId="31" fillId="0" borderId="4" xfId="20" applyFont="1" applyBorder="1" applyAlignment="1" applyProtection="1"/>
    <xf numFmtId="0" fontId="34" fillId="0" borderId="4" xfId="20" applyFont="1" applyFill="1" applyBorder="1" applyAlignment="1" applyProtection="1">
      <alignment horizontal="center"/>
    </xf>
    <xf numFmtId="0" fontId="31" fillId="0" borderId="3" xfId="20" applyFont="1" applyFill="1" applyBorder="1" applyProtection="1"/>
    <xf numFmtId="0" fontId="31" fillId="0" borderId="3" xfId="20" applyFont="1" applyBorder="1" applyAlignment="1" applyProtection="1">
      <alignment horizontal="center"/>
    </xf>
    <xf numFmtId="0" fontId="31" fillId="0" borderId="0" xfId="20" applyFont="1" applyBorder="1" applyProtection="1"/>
    <xf numFmtId="0" fontId="31" fillId="0" borderId="0" xfId="20" applyFont="1" applyBorder="1" applyAlignment="1" applyProtection="1"/>
    <xf numFmtId="0" fontId="31" fillId="0" borderId="0" xfId="20" applyFont="1" applyBorder="1" applyAlignment="1" applyProtection="1">
      <alignment horizontal="center"/>
    </xf>
    <xf numFmtId="0" fontId="28" fillId="0" borderId="5" xfId="20" applyFont="1" applyBorder="1" applyProtection="1"/>
    <xf numFmtId="0" fontId="28" fillId="0" borderId="5" xfId="20" applyFont="1" applyFill="1" applyBorder="1" applyProtection="1"/>
    <xf numFmtId="0" fontId="31" fillId="0" borderId="5" xfId="20" applyFont="1" applyBorder="1" applyProtection="1"/>
    <xf numFmtId="0" fontId="31" fillId="0" borderId="5" xfId="20" applyFont="1" applyBorder="1" applyAlignment="1" applyProtection="1">
      <alignment horizontal="center"/>
    </xf>
    <xf numFmtId="0" fontId="31" fillId="0" borderId="0" xfId="20" applyNumberFormat="1" applyFont="1" applyFill="1" applyAlignment="1" applyProtection="1"/>
    <xf numFmtId="0" fontId="31" fillId="0" borderId="0" xfId="20" applyNumberFormat="1" applyFont="1" applyAlignment="1" applyProtection="1">
      <alignment horizontal="left"/>
    </xf>
    <xf numFmtId="0" fontId="35" fillId="0" borderId="0" xfId="20" applyFont="1" applyFill="1" applyBorder="1" applyAlignment="1" applyProtection="1">
      <alignment horizontal="center"/>
    </xf>
    <xf numFmtId="0" fontId="32" fillId="0" borderId="0" xfId="20" applyFont="1" applyFill="1" applyBorder="1" applyAlignment="1" applyProtection="1"/>
    <xf numFmtId="0" fontId="31" fillId="0" borderId="0" xfId="20" applyFont="1" applyFill="1" applyAlignment="1" applyProtection="1">
      <alignment horizontal="center"/>
    </xf>
    <xf numFmtId="0" fontId="31" fillId="0" borderId="4" xfId="20" applyFont="1" applyFill="1" applyBorder="1" applyAlignment="1" applyProtection="1">
      <alignment horizontal="left"/>
    </xf>
    <xf numFmtId="0" fontId="31" fillId="0" borderId="3" xfId="20" applyFont="1" applyFill="1" applyBorder="1" applyAlignment="1" applyProtection="1"/>
    <xf numFmtId="0" fontId="31" fillId="0" borderId="3" xfId="20" applyFont="1" applyFill="1" applyBorder="1" applyAlignment="1" applyProtection="1">
      <alignment horizontal="center"/>
    </xf>
    <xf numFmtId="0" fontId="31" fillId="0" borderId="0" xfId="20" applyNumberFormat="1" applyFont="1" applyFill="1" applyBorder="1" applyAlignment="1" applyProtection="1"/>
    <xf numFmtId="0" fontId="31" fillId="0" borderId="4" xfId="20" applyNumberFormat="1" applyFont="1" applyFill="1" applyBorder="1" applyAlignment="1" applyProtection="1"/>
    <xf numFmtId="0" fontId="31" fillId="0" borderId="4" xfId="20" applyFont="1" applyFill="1" applyBorder="1" applyAlignment="1" applyProtection="1"/>
    <xf numFmtId="0" fontId="31" fillId="0" borderId="0" xfId="20" applyNumberFormat="1" applyFont="1" applyFill="1" applyAlignment="1" applyProtection="1">
      <alignment horizontal="left"/>
    </xf>
    <xf numFmtId="0" fontId="28" fillId="0" borderId="0" xfId="20" applyNumberFormat="1" applyFont="1" applyFill="1" applyAlignment="1" applyProtection="1">
      <alignment horizontal="right"/>
    </xf>
    <xf numFmtId="3" fontId="31" fillId="0" borderId="3" xfId="20" applyNumberFormat="1" applyFont="1" applyFill="1" applyBorder="1" applyAlignment="1" applyProtection="1">
      <alignment horizontal="center"/>
    </xf>
    <xf numFmtId="3" fontId="31" fillId="0" borderId="0" xfId="20" applyNumberFormat="1" applyFont="1" applyFill="1" applyBorder="1" applyAlignment="1" applyProtection="1">
      <alignment horizontal="center"/>
    </xf>
    <xf numFmtId="0" fontId="28" fillId="0" borderId="5" xfId="20" applyFont="1" applyFill="1" applyBorder="1" applyAlignment="1" applyProtection="1">
      <alignment horizontal="center"/>
    </xf>
    <xf numFmtId="167" fontId="31" fillId="0" borderId="0" xfId="20" applyNumberFormat="1" applyFont="1" applyAlignment="1" applyProtection="1">
      <alignment horizontal="center"/>
    </xf>
    <xf numFmtId="0" fontId="28" fillId="0" borderId="5" xfId="20" applyFont="1" applyBorder="1" applyAlignment="1" applyProtection="1">
      <alignment horizontal="center"/>
    </xf>
    <xf numFmtId="0" fontId="31" fillId="0" borderId="5" xfId="20" applyFont="1" applyBorder="1" applyAlignment="1" applyProtection="1">
      <alignment horizontal="left"/>
    </xf>
    <xf numFmtId="0" fontId="36" fillId="0" borderId="0" xfId="20" applyFont="1" applyAlignment="1" applyProtection="1">
      <alignment horizontal="left"/>
    </xf>
    <xf numFmtId="0" fontId="36" fillId="0" borderId="0" xfId="20" applyFont="1" applyProtection="1"/>
    <xf numFmtId="0" fontId="28" fillId="0" borderId="0" xfId="20" applyNumberFormat="1" applyFont="1" applyFill="1" applyBorder="1" applyAlignment="1" applyProtection="1">
      <alignment horizontal="left"/>
    </xf>
    <xf numFmtId="0" fontId="31" fillId="0" borderId="0" xfId="20" applyFont="1" applyFill="1" applyAlignment="1" applyProtection="1">
      <alignment horizontal="right"/>
    </xf>
    <xf numFmtId="0" fontId="28" fillId="0" borderId="0" xfId="20" applyFont="1" applyFill="1" applyAlignment="1" applyProtection="1"/>
    <xf numFmtId="0" fontId="31" fillId="0" borderId="0" xfId="20" applyFont="1" applyFill="1" applyBorder="1" applyAlignment="1" applyProtection="1">
      <alignment horizontal="right"/>
    </xf>
    <xf numFmtId="0" fontId="28" fillId="0" borderId="0" xfId="20" applyFont="1" applyFill="1" applyProtection="1"/>
    <xf numFmtId="0" fontId="28" fillId="0" borderId="0" xfId="20" applyNumberFormat="1" applyFont="1" applyFill="1" applyBorder="1" applyAlignment="1" applyProtection="1"/>
    <xf numFmtId="0" fontId="34" fillId="0" borderId="0" xfId="20" applyFont="1" applyFill="1" applyBorder="1" applyAlignment="1" applyProtection="1"/>
    <xf numFmtId="0" fontId="28" fillId="0" borderId="0" xfId="20" applyNumberFormat="1" applyFont="1" applyFill="1" applyAlignment="1" applyProtection="1">
      <alignment horizontal="left"/>
    </xf>
    <xf numFmtId="4" fontId="34" fillId="0" borderId="0" xfId="20" applyNumberFormat="1" applyFont="1" applyFill="1" applyAlignment="1" applyProtection="1">
      <alignment horizontal="right"/>
    </xf>
    <xf numFmtId="0" fontId="37" fillId="0" borderId="0" xfId="20" applyNumberFormat="1" applyFont="1" applyFill="1" applyAlignment="1" applyProtection="1">
      <alignment horizontal="left"/>
    </xf>
    <xf numFmtId="0" fontId="31" fillId="0" borderId="0" xfId="20" applyNumberFormat="1" applyFont="1" applyFill="1" applyBorder="1" applyAlignment="1" applyProtection="1">
      <alignment horizontal="left"/>
    </xf>
    <xf numFmtId="0" fontId="31" fillId="0" borderId="0" xfId="20" applyNumberFormat="1" applyFont="1" applyFill="1" applyAlignment="1" applyProtection="1">
      <alignment horizontal="right"/>
    </xf>
    <xf numFmtId="0" fontId="38" fillId="0" borderId="0" xfId="20" applyFont="1" applyFill="1" applyAlignment="1" applyProtection="1">
      <alignment horizontal="center"/>
    </xf>
    <xf numFmtId="0" fontId="31" fillId="0" borderId="4" xfId="20" applyNumberFormat="1" applyFont="1" applyFill="1" applyBorder="1" applyAlignment="1" applyProtection="1">
      <alignment horizontal="left"/>
    </xf>
    <xf numFmtId="0" fontId="31" fillId="0" borderId="4" xfId="20" applyNumberFormat="1" applyFont="1" applyFill="1" applyBorder="1" applyAlignment="1" applyProtection="1">
      <alignment horizontal="center"/>
    </xf>
    <xf numFmtId="0" fontId="31" fillId="0" borderId="3" xfId="20" applyNumberFormat="1" applyFont="1" applyBorder="1" applyAlignment="1" applyProtection="1">
      <alignment horizontal="center"/>
    </xf>
    <xf numFmtId="0" fontId="31" fillId="0" borderId="3" xfId="20" applyNumberFormat="1" applyFont="1" applyFill="1" applyBorder="1" applyAlignment="1" applyProtection="1">
      <alignment horizontal="left"/>
    </xf>
    <xf numFmtId="0" fontId="31" fillId="0" borderId="3" xfId="20" applyFont="1" applyFill="1" applyBorder="1" applyAlignment="1" applyProtection="1">
      <alignment horizontal="left"/>
    </xf>
    <xf numFmtId="0" fontId="28" fillId="0" borderId="3" xfId="20" applyFont="1" applyFill="1" applyBorder="1" applyAlignment="1" applyProtection="1">
      <alignment horizontal="center"/>
    </xf>
    <xf numFmtId="0" fontId="28" fillId="0" borderId="3" xfId="20" applyFont="1" applyFill="1" applyBorder="1" applyProtection="1"/>
    <xf numFmtId="0" fontId="31" fillId="0" borderId="0" xfId="20" applyFont="1" applyBorder="1" applyAlignment="1" applyProtection="1">
      <alignment horizontal="left"/>
    </xf>
    <xf numFmtId="0" fontId="28" fillId="0" borderId="0" xfId="20" applyFont="1" applyBorder="1" applyAlignment="1" applyProtection="1">
      <alignment horizontal="center"/>
    </xf>
    <xf numFmtId="0" fontId="28" fillId="0" borderId="0" xfId="20" applyFont="1" applyBorder="1" applyProtection="1"/>
    <xf numFmtId="0" fontId="28" fillId="0" borderId="0" xfId="20" applyFont="1" applyProtection="1"/>
    <xf numFmtId="0" fontId="31" fillId="0" borderId="10" xfId="20" applyNumberFormat="1" applyFont="1" applyBorder="1" applyAlignment="1" applyProtection="1">
      <alignment horizontal="center"/>
    </xf>
    <xf numFmtId="0" fontId="28" fillId="0" borderId="10" xfId="20" applyFont="1" applyBorder="1" applyProtection="1"/>
    <xf numFmtId="0" fontId="28" fillId="0" borderId="10" xfId="20" applyFont="1" applyBorder="1" applyAlignment="1" applyProtection="1">
      <alignment horizontal="center"/>
    </xf>
    <xf numFmtId="3" fontId="31" fillId="0" borderId="10" xfId="20" applyNumberFormat="1" applyFont="1" applyFill="1" applyBorder="1" applyAlignment="1" applyProtection="1"/>
    <xf numFmtId="0" fontId="32" fillId="5" borderId="0" xfId="20" applyFont="1" applyFill="1" applyAlignment="1" applyProtection="1">
      <alignment horizontal="left"/>
    </xf>
    <xf numFmtId="0" fontId="32" fillId="5" borderId="0" xfId="20" applyFont="1" applyFill="1" applyAlignment="1" applyProtection="1"/>
    <xf numFmtId="0" fontId="28" fillId="5" borderId="0" xfId="20" applyNumberFormat="1" applyFont="1" applyFill="1" applyAlignment="1" applyProtection="1">
      <alignment horizontal="left"/>
    </xf>
    <xf numFmtId="0" fontId="31" fillId="5" borderId="0" xfId="20" applyFont="1" applyFill="1" applyAlignment="1" applyProtection="1"/>
    <xf numFmtId="0" fontId="28" fillId="5" borderId="0" xfId="20" applyNumberFormat="1" applyFont="1" applyFill="1" applyAlignment="1" applyProtection="1">
      <alignment horizontal="center"/>
    </xf>
    <xf numFmtId="0" fontId="28" fillId="0" borderId="3" xfId="20" applyNumberFormat="1" applyFont="1" applyFill="1" applyBorder="1" applyAlignment="1" applyProtection="1"/>
    <xf numFmtId="0" fontId="34" fillId="0" borderId="0" xfId="20" applyFont="1" applyFill="1" applyAlignment="1" applyProtection="1">
      <alignment horizontal="center"/>
    </xf>
    <xf numFmtId="0" fontId="34" fillId="0" borderId="4" xfId="20" applyFont="1" applyFill="1" applyBorder="1" applyAlignment="1" applyProtection="1"/>
    <xf numFmtId="0" fontId="28" fillId="0" borderId="10" xfId="20" applyNumberFormat="1" applyFont="1" applyFill="1" applyBorder="1" applyAlignment="1" applyProtection="1"/>
    <xf numFmtId="0" fontId="31" fillId="0" borderId="10" xfId="20" applyFont="1" applyFill="1" applyBorder="1" applyAlignment="1" applyProtection="1"/>
    <xf numFmtId="3" fontId="31" fillId="0" borderId="10" xfId="20" applyNumberFormat="1" applyFont="1" applyFill="1" applyBorder="1" applyAlignment="1" applyProtection="1">
      <alignment horizontal="center"/>
    </xf>
    <xf numFmtId="0" fontId="31" fillId="0" borderId="0" xfId="20" applyFont="1" applyAlignment="1" applyProtection="1">
      <alignment horizontal="right"/>
    </xf>
    <xf numFmtId="0" fontId="31" fillId="0" borderId="0" xfId="20" applyNumberFormat="1" applyFont="1" applyFill="1" applyBorder="1" applyAlignment="1" applyProtection="1">
      <alignment horizontal="center"/>
    </xf>
    <xf numFmtId="0" fontId="31" fillId="0" borderId="4" xfId="20" applyFont="1" applyFill="1" applyBorder="1" applyAlignment="1" applyProtection="1">
      <alignment horizontal="center"/>
    </xf>
    <xf numFmtId="0" fontId="38" fillId="0" borderId="0" xfId="20" applyNumberFormat="1" applyFont="1" applyFill="1" applyAlignment="1" applyProtection="1">
      <alignment horizontal="center"/>
    </xf>
    <xf numFmtId="0" fontId="38" fillId="0" borderId="0" xfId="20" applyNumberFormat="1" applyFont="1" applyFill="1" applyAlignment="1" applyProtection="1"/>
    <xf numFmtId="0" fontId="28" fillId="0" borderId="10" xfId="20" applyNumberFormat="1" applyFont="1" applyBorder="1" applyAlignment="1" applyProtection="1">
      <alignment horizontal="left"/>
    </xf>
    <xf numFmtId="0" fontId="28" fillId="0" borderId="10" xfId="20" applyFont="1" applyBorder="1" applyAlignment="1" applyProtection="1"/>
    <xf numFmtId="0" fontId="28" fillId="0" borderId="10" xfId="20" applyNumberFormat="1" applyFont="1" applyBorder="1" applyAlignment="1" applyProtection="1">
      <alignment horizontal="center"/>
    </xf>
    <xf numFmtId="0" fontId="32" fillId="5" borderId="0" xfId="20" applyFont="1" applyFill="1" applyBorder="1" applyAlignment="1" applyProtection="1">
      <alignment horizontal="center"/>
    </xf>
    <xf numFmtId="3" fontId="28" fillId="0" borderId="0" xfId="20" applyNumberFormat="1" applyFont="1" applyBorder="1" applyAlignment="1" applyProtection="1"/>
    <xf numFmtId="3" fontId="28" fillId="0" borderId="0" xfId="20" applyNumberFormat="1" applyFont="1" applyAlignment="1" applyProtection="1"/>
    <xf numFmtId="3" fontId="31" fillId="0" borderId="0" xfId="20" applyNumberFormat="1" applyFont="1" applyBorder="1" applyAlignment="1" applyProtection="1">
      <alignment horizontal="center"/>
    </xf>
    <xf numFmtId="0" fontId="28" fillId="0" borderId="0" xfId="20" applyNumberFormat="1" applyFont="1" applyAlignment="1" applyProtection="1"/>
    <xf numFmtId="3" fontId="28" fillId="0" borderId="0" xfId="20" applyNumberFormat="1" applyFont="1" applyFill="1" applyBorder="1" applyAlignment="1" applyProtection="1"/>
    <xf numFmtId="0" fontId="31" fillId="0" borderId="0" xfId="20" applyNumberFormat="1" applyFont="1" applyBorder="1" applyAlignment="1" applyProtection="1">
      <alignment horizontal="left"/>
    </xf>
    <xf numFmtId="3" fontId="31" fillId="0" borderId="0" xfId="20" applyNumberFormat="1" applyFont="1" applyAlignment="1" applyProtection="1">
      <alignment horizontal="left"/>
    </xf>
    <xf numFmtId="0" fontId="31" fillId="0" borderId="4" xfId="20" applyNumberFormat="1" applyFont="1" applyBorder="1" applyAlignment="1" applyProtection="1">
      <alignment horizontal="center"/>
    </xf>
    <xf numFmtId="0" fontId="31" fillId="0" borderId="4" xfId="20" applyNumberFormat="1" applyFont="1" applyBorder="1" applyAlignment="1" applyProtection="1">
      <alignment horizontal="left"/>
    </xf>
    <xf numFmtId="0" fontId="31" fillId="0" borderId="4" xfId="20" applyNumberFormat="1" applyFont="1" applyBorder="1" applyAlignment="1" applyProtection="1"/>
    <xf numFmtId="0" fontId="31" fillId="0" borderId="4" xfId="20" applyFont="1" applyBorder="1" applyAlignment="1" applyProtection="1">
      <alignment horizontal="center"/>
    </xf>
    <xf numFmtId="0" fontId="28" fillId="0" borderId="0" xfId="20" applyNumberFormat="1" applyFont="1" applyBorder="1" applyAlignment="1" applyProtection="1"/>
    <xf numFmtId="0" fontId="28" fillId="0" borderId="0" xfId="20" applyFont="1" applyBorder="1" applyAlignment="1" applyProtection="1"/>
    <xf numFmtId="0" fontId="28" fillId="0" borderId="0" xfId="20" applyNumberFormat="1" applyFont="1" applyAlignment="1" applyProtection="1">
      <alignment horizontal="center"/>
    </xf>
    <xf numFmtId="167" fontId="28" fillId="0" borderId="10" xfId="20" applyNumberFormat="1" applyFont="1" applyBorder="1" applyAlignment="1" applyProtection="1">
      <alignment horizontal="left"/>
    </xf>
    <xf numFmtId="0" fontId="31" fillId="0" borderId="10" xfId="20" applyFont="1" applyBorder="1" applyProtection="1"/>
    <xf numFmtId="3" fontId="28" fillId="0" borderId="10" xfId="20" applyNumberFormat="1" applyFont="1" applyBorder="1" applyAlignment="1" applyProtection="1">
      <alignment horizontal="center"/>
    </xf>
    <xf numFmtId="167" fontId="28" fillId="0" borderId="0" xfId="20" applyNumberFormat="1" applyFont="1" applyBorder="1" applyAlignment="1" applyProtection="1">
      <alignment horizontal="left"/>
    </xf>
    <xf numFmtId="0" fontId="31" fillId="0" borderId="0" xfId="20" applyNumberFormat="1" applyFont="1" applyFill="1" applyProtection="1"/>
    <xf numFmtId="169" fontId="31" fillId="0" borderId="0" xfId="20" applyNumberFormat="1" applyFont="1" applyAlignment="1" applyProtection="1"/>
    <xf numFmtId="167" fontId="31" fillId="0" borderId="0" xfId="20" applyNumberFormat="1" applyFont="1" applyFill="1" applyAlignment="1" applyProtection="1">
      <alignment horizontal="left"/>
    </xf>
    <xf numFmtId="0" fontId="31" fillId="0" borderId="0" xfId="20" applyNumberFormat="1" applyFont="1" applyBorder="1" applyAlignment="1" applyProtection="1">
      <alignment horizontal="center"/>
    </xf>
    <xf numFmtId="0" fontId="28" fillId="0" borderId="3" xfId="20" applyNumberFormat="1" applyFont="1" applyBorder="1" applyAlignment="1" applyProtection="1">
      <alignment horizontal="left"/>
    </xf>
    <xf numFmtId="0" fontId="28" fillId="0" borderId="0" xfId="20" applyNumberFormat="1" applyFont="1" applyBorder="1" applyAlignment="1" applyProtection="1">
      <alignment horizontal="left"/>
    </xf>
    <xf numFmtId="167" fontId="28" fillId="0" borderId="5" xfId="20" applyNumberFormat="1" applyFont="1" applyBorder="1" applyAlignment="1" applyProtection="1">
      <alignment horizontal="left"/>
    </xf>
    <xf numFmtId="0" fontId="28" fillId="0" borderId="5" xfId="20" applyFont="1" applyBorder="1" applyAlignment="1" applyProtection="1"/>
    <xf numFmtId="3" fontId="28" fillId="0" borderId="5" xfId="20" applyNumberFormat="1" applyFont="1" applyFill="1" applyBorder="1" applyAlignment="1" applyProtection="1"/>
    <xf numFmtId="167" fontId="31" fillId="0" borderId="0" xfId="20" applyNumberFormat="1" applyFont="1" applyAlignment="1" applyProtection="1">
      <alignment horizontal="left"/>
    </xf>
    <xf numFmtId="0" fontId="28" fillId="0" borderId="3" xfId="20" applyFont="1" applyFill="1" applyBorder="1" applyAlignment="1" applyProtection="1"/>
    <xf numFmtId="3" fontId="28" fillId="0" borderId="3" xfId="20" applyNumberFormat="1" applyFont="1" applyBorder="1" applyAlignment="1" applyProtection="1">
      <alignment horizontal="center"/>
    </xf>
    <xf numFmtId="167" fontId="31" fillId="0" borderId="0" xfId="20" applyNumberFormat="1" applyFont="1" applyBorder="1" applyAlignment="1" applyProtection="1">
      <alignment horizontal="left"/>
    </xf>
    <xf numFmtId="0" fontId="28" fillId="0" borderId="17" xfId="20" applyNumberFormat="1" applyFont="1" applyBorder="1" applyAlignment="1" applyProtection="1">
      <alignment horizontal="center"/>
    </xf>
    <xf numFmtId="0" fontId="31" fillId="0" borderId="22" xfId="20" applyNumberFormat="1" applyFont="1" applyBorder="1" applyAlignment="1" applyProtection="1">
      <alignment horizontal="center"/>
    </xf>
    <xf numFmtId="0" fontId="28" fillId="0" borderId="22" xfId="20" applyNumberFormat="1" applyFont="1" applyFill="1" applyBorder="1" applyAlignment="1" applyProtection="1"/>
    <xf numFmtId="0" fontId="28" fillId="0" borderId="22" xfId="20" applyFont="1" applyFill="1" applyBorder="1" applyAlignment="1" applyProtection="1"/>
    <xf numFmtId="3" fontId="28" fillId="0" borderId="22" xfId="20" applyNumberFormat="1" applyFont="1" applyFill="1" applyBorder="1" applyAlignment="1" applyProtection="1"/>
    <xf numFmtId="0" fontId="28" fillId="0" borderId="0" xfId="20" applyNumberFormat="1" applyFont="1" applyBorder="1" applyAlignment="1" applyProtection="1">
      <alignment horizontal="center"/>
    </xf>
    <xf numFmtId="3" fontId="28" fillId="0" borderId="0" xfId="20" applyNumberFormat="1" applyFont="1" applyBorder="1" applyAlignment="1" applyProtection="1">
      <alignment horizontal="center"/>
    </xf>
    <xf numFmtId="0" fontId="28" fillId="0" borderId="4" xfId="20" applyFont="1" applyFill="1" applyBorder="1" applyAlignment="1" applyProtection="1"/>
    <xf numFmtId="3" fontId="28" fillId="0" borderId="0" xfId="20" applyNumberFormat="1" applyFont="1" applyFill="1" applyBorder="1" applyAlignment="1" applyProtection="1">
      <alignment horizontal="center"/>
    </xf>
    <xf numFmtId="3" fontId="28" fillId="0" borderId="4" xfId="20" applyNumberFormat="1" applyFont="1" applyBorder="1" applyAlignment="1" applyProtection="1">
      <alignment horizontal="center"/>
    </xf>
    <xf numFmtId="0" fontId="28" fillId="0" borderId="0" xfId="20" applyNumberFormat="1" applyFont="1" applyAlignment="1" applyProtection="1">
      <alignment horizontal="left"/>
    </xf>
    <xf numFmtId="0" fontId="38" fillId="0" borderId="0" xfId="20" applyFont="1" applyFill="1" applyBorder="1" applyAlignment="1" applyProtection="1"/>
    <xf numFmtId="43" fontId="31" fillId="0" borderId="0" xfId="20" applyNumberFormat="1" applyFont="1" applyAlignment="1" applyProtection="1"/>
    <xf numFmtId="0" fontId="28" fillId="0" borderId="11" xfId="20" applyNumberFormat="1" applyFont="1" applyBorder="1" applyAlignment="1" applyProtection="1">
      <alignment horizontal="center"/>
    </xf>
    <xf numFmtId="0" fontId="28" fillId="0" borderId="12" xfId="20" applyFont="1" applyBorder="1" applyProtection="1"/>
    <xf numFmtId="0" fontId="28" fillId="0" borderId="12" xfId="20" applyNumberFormat="1" applyFont="1" applyBorder="1" applyAlignment="1" applyProtection="1">
      <alignment horizontal="left"/>
    </xf>
    <xf numFmtId="0" fontId="28" fillId="0" borderId="12" xfId="20" applyFont="1" applyBorder="1" applyAlignment="1" applyProtection="1">
      <alignment horizontal="center"/>
    </xf>
    <xf numFmtId="3" fontId="28" fillId="0" borderId="12" xfId="20" applyNumberFormat="1" applyFont="1" applyBorder="1" applyAlignment="1" applyProtection="1"/>
    <xf numFmtId="0" fontId="26" fillId="0" borderId="0" xfId="20" applyFont="1" applyFill="1" applyAlignment="1" applyProtection="1"/>
    <xf numFmtId="0" fontId="26" fillId="0" borderId="0" xfId="20" applyFont="1" applyFill="1" applyBorder="1" applyAlignment="1" applyProtection="1">
      <alignment horizontal="center"/>
    </xf>
    <xf numFmtId="0" fontId="26" fillId="0" borderId="0" xfId="20" applyFont="1" applyBorder="1" applyAlignment="1" applyProtection="1">
      <alignment horizontal="center"/>
    </xf>
    <xf numFmtId="0" fontId="28" fillId="0" borderId="0" xfId="20" applyFont="1" applyFill="1" applyBorder="1" applyAlignment="1" applyProtection="1">
      <alignment horizontal="center"/>
    </xf>
    <xf numFmtId="0" fontId="32" fillId="0" borderId="0" xfId="20" applyNumberFormat="1" applyFont="1" applyFill="1" applyBorder="1" applyAlignment="1" applyProtection="1">
      <alignment horizontal="left"/>
    </xf>
    <xf numFmtId="0" fontId="18" fillId="0" borderId="0" xfId="1" applyFont="1" applyBorder="1"/>
    <xf numFmtId="37" fontId="18" fillId="0" borderId="0" xfId="1" applyNumberFormat="1" applyFont="1" applyFill="1" applyBorder="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18" fillId="0" borderId="0" xfId="20" applyFont="1" applyFill="1" applyAlignment="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3" fontId="18" fillId="0" borderId="0" xfId="20" applyNumberFormat="1" applyFont="1"/>
    <xf numFmtId="164" fontId="27" fillId="0" borderId="0" xfId="20" applyNumberFormat="1" applyFont="1" applyFill="1"/>
    <xf numFmtId="0" fontId="18" fillId="0" borderId="0" xfId="20" applyNumberFormat="1" applyFont="1" applyAlignment="1">
      <alignment horizontal="left"/>
    </xf>
    <xf numFmtId="0" fontId="27" fillId="0" borderId="0" xfId="20" applyFont="1" applyFill="1"/>
    <xf numFmtId="164" fontId="18" fillId="0" borderId="0" xfId="20" applyNumberFormat="1" applyFont="1" applyAlignment="1">
      <alignment horizontal="center"/>
    </xf>
    <xf numFmtId="171" fontId="27" fillId="0" borderId="0" xfId="20" applyNumberFormat="1" applyFont="1" applyFill="1"/>
    <xf numFmtId="171" fontId="18" fillId="8" borderId="0" xfId="20" applyNumberFormat="1" applyFont="1" applyFill="1" applyProtection="1">
      <protection locked="0"/>
    </xf>
    <xf numFmtId="0" fontId="27" fillId="0" borderId="0" xfId="20" applyFont="1"/>
    <xf numFmtId="171" fontId="18" fillId="0" borderId="0" xfId="20" applyNumberFormat="1" applyFont="1" applyFill="1"/>
    <xf numFmtId="0" fontId="22"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0" fontId="17" fillId="0" borderId="59" xfId="0" applyFont="1" applyFill="1" applyBorder="1" applyAlignment="1">
      <alignment wrapText="1"/>
    </xf>
    <xf numFmtId="0" fontId="17" fillId="0" borderId="58" xfId="0" applyFont="1" applyFill="1" applyBorder="1"/>
    <xf numFmtId="0" fontId="17" fillId="0" borderId="19" xfId="20" applyFont="1" applyFill="1" applyBorder="1"/>
    <xf numFmtId="0" fontId="18" fillId="8" borderId="28" xfId="20" applyFont="1" applyFill="1" applyBorder="1" applyAlignment="1">
      <alignment wrapText="1"/>
    </xf>
    <xf numFmtId="0" fontId="18" fillId="0" borderId="0" xfId="20" applyFont="1"/>
    <xf numFmtId="0" fontId="18" fillId="8" borderId="19" xfId="20" applyFont="1" applyFill="1" applyBorder="1" applyAlignment="1">
      <alignment wrapText="1"/>
    </xf>
    <xf numFmtId="0" fontId="17" fillId="0" borderId="18" xfId="20" applyFont="1" applyFill="1" applyBorder="1"/>
    <xf numFmtId="164" fontId="18" fillId="8" borderId="25" xfId="3" applyNumberFormat="1" applyFont="1" applyFill="1" applyBorder="1" applyAlignment="1">
      <alignment wrapText="1"/>
    </xf>
    <xf numFmtId="3" fontId="18" fillId="0" borderId="0" xfId="20" applyNumberFormat="1" applyFont="1" applyAlignment="1">
      <alignment horizontal="center"/>
    </xf>
    <xf numFmtId="37" fontId="18" fillId="8" borderId="0" xfId="2" applyNumberFormat="1" applyFont="1" applyFill="1" applyBorder="1"/>
    <xf numFmtId="3" fontId="18" fillId="0" borderId="8" xfId="20" applyNumberFormat="1" applyFont="1" applyBorder="1"/>
    <xf numFmtId="0" fontId="58" fillId="0" borderId="0" xfId="20" applyNumberFormat="1" applyFont="1" applyFill="1" applyBorder="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7" fontId="18" fillId="0" borderId="0" xfId="1" applyNumberFormat="1" applyFont="1" applyAlignment="1">
      <alignment horizontal="right" wrapText="1"/>
    </xf>
    <xf numFmtId="3" fontId="18" fillId="0" borderId="0" xfId="0" applyNumberFormat="1" applyFont="1"/>
    <xf numFmtId="0" fontId="58" fillId="0" borderId="0" xfId="0" applyFont="1" applyFill="1"/>
    <xf numFmtId="164" fontId="18" fillId="0" borderId="0" xfId="0" applyNumberFormat="1" applyFont="1"/>
    <xf numFmtId="41" fontId="18" fillId="0" borderId="0" xfId="0" applyNumberFormat="1" applyFont="1"/>
    <xf numFmtId="0" fontId="103" fillId="0" borderId="0" xfId="0" applyFont="1" applyFill="1"/>
    <xf numFmtId="0" fontId="58" fillId="0" borderId="0" xfId="0" applyFont="1"/>
    <xf numFmtId="37" fontId="18" fillId="0" borderId="0" xfId="0" applyNumberFormat="1" applyFont="1"/>
    <xf numFmtId="0" fontId="18" fillId="0" borderId="2" xfId="20" applyFont="1" applyBorder="1" applyAlignment="1"/>
    <xf numFmtId="3" fontId="18" fillId="0" borderId="21" xfId="20" applyNumberFormat="1" applyFont="1" applyFill="1" applyBorder="1" applyAlignment="1">
      <alignment horizontal="center"/>
    </xf>
    <xf numFmtId="3" fontId="18" fillId="0" borderId="0" xfId="2" applyNumberFormat="1" applyFont="1" applyFill="1" applyBorder="1"/>
    <xf numFmtId="0" fontId="18" fillId="0" borderId="16" xfId="0" applyFont="1" applyFill="1" applyBorder="1" applyAlignment="1">
      <alignment horizontal="left"/>
    </xf>
    <xf numFmtId="0" fontId="18" fillId="0" borderId="6" xfId="0" applyFont="1" applyFill="1" applyBorder="1" applyAlignment="1">
      <alignment horizontal="left"/>
    </xf>
    <xf numFmtId="0" fontId="18" fillId="0" borderId="16" xfId="0" applyFont="1" applyFill="1" applyBorder="1" applyAlignment="1">
      <alignment horizontal="center"/>
    </xf>
    <xf numFmtId="37" fontId="18" fillId="0" borderId="0" xfId="2" applyNumberFormat="1" applyFont="1" applyFill="1" applyBorder="1"/>
    <xf numFmtId="3" fontId="17" fillId="0" borderId="0" xfId="20" applyNumberFormat="1" applyFont="1" applyBorder="1" applyAlignment="1">
      <alignment horizontal="center"/>
    </xf>
    <xf numFmtId="3" fontId="18" fillId="0" borderId="0" xfId="20" applyNumberFormat="1" applyFont="1" applyFill="1" applyAlignment="1" applyProtection="1"/>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applyBorder="1" applyAlignment="1"/>
    <xf numFmtId="0" fontId="18" fillId="11" borderId="0" xfId="20" applyNumberFormat="1" applyFont="1" applyFill="1" applyBorder="1" applyAlignment="1">
      <alignment horizontal="left"/>
    </xf>
    <xf numFmtId="172" fontId="18" fillId="0" borderId="0" xfId="9" applyNumberFormat="1" applyFont="1"/>
    <xf numFmtId="0" fontId="45" fillId="0" borderId="0" xfId="20" applyFont="1" applyAlignment="1">
      <alignment horizontal="center"/>
    </xf>
    <xf numFmtId="0" fontId="0" fillId="0" borderId="0" xfId="0"/>
    <xf numFmtId="0" fontId="18" fillId="0" borderId="6" xfId="20" applyNumberFormat="1" applyFont="1" applyFill="1" applyBorder="1" applyAlignment="1">
      <alignment horizontal="left"/>
    </xf>
    <xf numFmtId="0" fontId="28" fillId="0" borderId="4" xfId="20" applyFont="1" applyFill="1" applyBorder="1" applyAlignment="1" applyProtection="1">
      <alignment horizontal="center"/>
    </xf>
    <xf numFmtId="3" fontId="104" fillId="0" borderId="0" xfId="20" applyNumberFormat="1" applyFont="1" applyFill="1" applyBorder="1" applyAlignment="1" applyProtection="1">
      <alignment horizontal="right"/>
    </xf>
    <xf numFmtId="0" fontId="28" fillId="0" borderId="5" xfId="20" applyFont="1" applyBorder="1" applyAlignment="1" applyProtection="1">
      <alignment wrapText="1"/>
    </xf>
    <xf numFmtId="3" fontId="28" fillId="0" borderId="0" xfId="20" applyNumberFormat="1" applyFont="1" applyFill="1" applyBorder="1" applyAlignment="1" applyProtection="1">
      <alignment horizontal="right"/>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Border="1" applyAlignment="1">
      <alignment horizontal="left"/>
    </xf>
    <xf numFmtId="0" fontId="17" fillId="0" borderId="60" xfId="0" applyFont="1" applyFill="1" applyBorder="1"/>
    <xf numFmtId="0" fontId="18" fillId="0" borderId="32" xfId="0" applyFont="1" applyFill="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45" fillId="0" borderId="0" xfId="0" applyFont="1"/>
    <xf numFmtId="0" fontId="0" fillId="0" borderId="0" xfId="0" applyAlignment="1">
      <alignment horizontal="center"/>
    </xf>
    <xf numFmtId="0" fontId="17" fillId="0" borderId="0" xfId="0" applyFont="1" applyFill="1" applyBorder="1" applyAlignment="1">
      <alignment wrapText="1"/>
    </xf>
    <xf numFmtId="0" fontId="17" fillId="0" borderId="0" xfId="301" applyFont="1" applyAlignment="1">
      <alignment horizontal="center"/>
    </xf>
    <xf numFmtId="0" fontId="0" fillId="0" borderId="0" xfId="0"/>
    <xf numFmtId="3" fontId="18" fillId="0" borderId="0" xfId="20" applyNumberFormat="1" applyFont="1" applyFill="1" applyBorder="1" applyAlignment="1" applyProtection="1"/>
    <xf numFmtId="0" fontId="18" fillId="0" borderId="0" xfId="0" applyFont="1" applyAlignment="1">
      <alignment horizontal="center"/>
    </xf>
    <xf numFmtId="0" fontId="18" fillId="0" borderId="0" xfId="301" applyFont="1" applyAlignment="1">
      <alignment horizontal="left" wrapText="1"/>
    </xf>
    <xf numFmtId="0" fontId="18" fillId="0" borderId="0" xfId="0" applyFont="1" applyBorder="1" applyAlignment="1">
      <alignment horizontal="center"/>
    </xf>
    <xf numFmtId="1" fontId="17" fillId="0" borderId="0" xfId="20" applyNumberFormat="1" applyFont="1" applyFill="1" applyBorder="1"/>
    <xf numFmtId="37" fontId="17" fillId="0" borderId="0" xfId="20" applyNumberFormat="1" applyFont="1" applyFill="1" applyBorder="1"/>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45" fillId="0" borderId="0" xfId="0" applyFont="1" applyAlignment="1">
      <alignment horizontal="center"/>
    </xf>
    <xf numFmtId="0" fontId="18" fillId="0" borderId="0" xfId="0" applyNumberFormat="1" applyFont="1"/>
    <xf numFmtId="0" fontId="22" fillId="0" borderId="0" xfId="301" applyFont="1" applyAlignment="1">
      <alignment horizontal="center"/>
    </xf>
    <xf numFmtId="0" fontId="18" fillId="0" borderId="0" xfId="1" applyFont="1" applyFill="1" applyAlignment="1">
      <alignment horizontal="center" vertical="top"/>
    </xf>
    <xf numFmtId="0" fontId="17" fillId="0" borderId="0" xfId="1" applyFont="1"/>
    <xf numFmtId="3" fontId="18" fillId="0" borderId="0" xfId="1" applyNumberFormat="1" applyFont="1" applyFill="1" applyBorder="1" applyProtection="1">
      <protection locked="0"/>
    </xf>
    <xf numFmtId="0" fontId="17" fillId="0" borderId="0" xfId="1" applyFont="1" applyAlignment="1">
      <alignment horizontal="left"/>
    </xf>
    <xf numFmtId="3" fontId="18" fillId="0" borderId="0" xfId="1" applyNumberFormat="1" applyFont="1" applyFill="1" applyBorder="1"/>
    <xf numFmtId="0" fontId="17" fillId="0" borderId="0" xfId="1" applyFont="1" applyFill="1" applyAlignment="1"/>
    <xf numFmtId="0" fontId="18" fillId="0" borderId="0" xfId="20" applyFont="1" applyFill="1" applyAlignment="1" applyProtection="1">
      <alignment horizontal="center" wrapText="1"/>
    </xf>
    <xf numFmtId="0" fontId="28" fillId="0" borderId="0" xfId="0" applyFont="1" applyAlignment="1">
      <alignment horizontal="center"/>
    </xf>
    <xf numFmtId="0" fontId="28" fillId="0" borderId="0" xfId="0" applyFont="1"/>
    <xf numFmtId="0" fontId="18" fillId="0" borderId="0" xfId="20" applyFont="1" applyAlignment="1"/>
    <xf numFmtId="0" fontId="45" fillId="0" borderId="0" xfId="20" applyFont="1" applyFill="1" applyAlignment="1">
      <alignment horizontal="center"/>
    </xf>
    <xf numFmtId="3" fontId="18" fillId="0" borderId="0" xfId="2" applyNumberFormat="1" applyFont="1" applyFill="1" applyProtection="1">
      <protection locked="0"/>
    </xf>
    <xf numFmtId="0" fontId="45" fillId="0" borderId="0" xfId="20" applyFont="1" applyFill="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17" fillId="0" borderId="0" xfId="0" applyFont="1"/>
    <xf numFmtId="0" fontId="24" fillId="0" borderId="2" xfId="0" applyFont="1" applyFill="1" applyBorder="1" applyAlignment="1">
      <alignment horizontal="center"/>
    </xf>
    <xf numFmtId="0" fontId="24" fillId="0" borderId="0" xfId="0" applyFont="1" applyAlignment="1">
      <alignment horizontal="center"/>
    </xf>
    <xf numFmtId="0" fontId="17" fillId="0" borderId="0" xfId="20" applyFont="1" applyBorder="1" applyAlignment="1">
      <alignment horizontal="left" indent="1"/>
    </xf>
    <xf numFmtId="0" fontId="17" fillId="0" borderId="0" xfId="20" applyNumberFormat="1" applyFont="1" applyFill="1" applyBorder="1" applyAlignment="1">
      <alignment horizontal="center"/>
    </xf>
    <xf numFmtId="0" fontId="17" fillId="69" borderId="12" xfId="20" applyFont="1" applyFill="1" applyBorder="1" applyAlignment="1">
      <alignment horizontal="center"/>
    </xf>
    <xf numFmtId="3" fontId="18" fillId="0" borderId="0" xfId="20" applyNumberFormat="1" applyFont="1" applyFill="1" applyBorder="1" applyAlignment="1">
      <alignment horizontal="left" wrapText="1"/>
    </xf>
    <xf numFmtId="0" fontId="18" fillId="0" borderId="0" xfId="1" applyFont="1" applyBorder="1" applyAlignment="1">
      <alignment horizontal="left"/>
    </xf>
    <xf numFmtId="0" fontId="18" fillId="0" borderId="0" xfId="1" applyFont="1" applyBorder="1" applyAlignment="1">
      <alignment horizontal="center"/>
    </xf>
    <xf numFmtId="0" fontId="18" fillId="0" borderId="6" xfId="20" applyFont="1" applyBorder="1" applyAlignment="1">
      <alignment horizontal="center"/>
    </xf>
    <xf numFmtId="10" fontId="31" fillId="0" borderId="4" xfId="20" applyNumberFormat="1" applyFont="1" applyFill="1" applyBorder="1" applyProtection="1"/>
    <xf numFmtId="0" fontId="0" fillId="0" borderId="0" xfId="0"/>
    <xf numFmtId="0" fontId="17" fillId="0" borderId="0" xfId="1" applyFont="1" applyFill="1"/>
    <xf numFmtId="0" fontId="17" fillId="0" borderId="0" xfId="0" applyFont="1" applyBorder="1" applyAlignment="1">
      <alignment wrapText="1"/>
    </xf>
    <xf numFmtId="0" fontId="17" fillId="0" borderId="0" xfId="0" applyFont="1" applyBorder="1" applyAlignment="1">
      <alignment horizontal="center"/>
    </xf>
    <xf numFmtId="0" fontId="0" fillId="0" borderId="0" xfId="0"/>
    <xf numFmtId="0" fontId="17" fillId="0" borderId="2" xfId="0" applyFont="1" applyFill="1" applyBorder="1" applyAlignment="1">
      <alignment horizontal="center"/>
    </xf>
    <xf numFmtId="37" fontId="18" fillId="0" borderId="4" xfId="0" applyNumberFormat="1" applyFont="1" applyFill="1" applyBorder="1"/>
    <xf numFmtId="0" fontId="18" fillId="0" borderId="0" xfId="2" applyNumberFormat="1" applyFont="1" applyFill="1" applyAlignment="1">
      <alignment horizontal="center"/>
    </xf>
    <xf numFmtId="0" fontId="105" fillId="0" borderId="0" xfId="559" applyFont="1" applyFill="1" applyBorder="1" applyAlignment="1">
      <alignment horizontal="left" vertical="center" wrapText="1"/>
    </xf>
    <xf numFmtId="0" fontId="0" fillId="0" borderId="0" xfId="0"/>
    <xf numFmtId="0" fontId="0" fillId="0" borderId="0" xfId="0"/>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Fill="1" applyBorder="1" applyProtection="1"/>
    <xf numFmtId="170" fontId="18" fillId="0" borderId="0" xfId="9" applyNumberFormat="1" applyFont="1" applyFill="1"/>
    <xf numFmtId="170" fontId="18" fillId="0" borderId="0" xfId="9" applyNumberFormat="1" applyFont="1"/>
    <xf numFmtId="0" fontId="24" fillId="0" borderId="4" xfId="0" applyFont="1" applyFill="1" applyBorder="1"/>
    <xf numFmtId="0" fontId="17" fillId="0" borderId="19" xfId="20" applyFont="1" applyFill="1" applyBorder="1" applyAlignment="1">
      <alignment wrapText="1"/>
    </xf>
    <xf numFmtId="0" fontId="17" fillId="0" borderId="17" xfId="0" applyFont="1" applyFill="1" applyBorder="1" applyAlignment="1">
      <alignment wrapText="1"/>
    </xf>
    <xf numFmtId="0" fontId="17" fillId="0" borderId="60" xfId="0" applyFont="1" applyFill="1" applyBorder="1" applyAlignment="1">
      <alignment wrapText="1"/>
    </xf>
    <xf numFmtId="37" fontId="18" fillId="0" borderId="0" xfId="0" applyNumberFormat="1" applyFont="1" applyFill="1" applyBorder="1" applyAlignment="1">
      <alignment horizontal="center"/>
    </xf>
    <xf numFmtId="37" fontId="18" fillId="0" borderId="0" xfId="0" applyNumberFormat="1" applyFont="1" applyFill="1" applyBorder="1" applyAlignment="1">
      <alignment wrapText="1"/>
    </xf>
    <xf numFmtId="41" fontId="18" fillId="0" borderId="0" xfId="0" applyNumberFormat="1" applyFont="1" applyBorder="1" applyAlignment="1">
      <alignment horizontal="center"/>
    </xf>
    <xf numFmtId="3" fontId="18" fillId="0" borderId="0" xfId="20" applyNumberFormat="1" applyFont="1" applyBorder="1"/>
    <xf numFmtId="0" fontId="28" fillId="0" borderId="0" xfId="20" applyFont="1" applyAlignment="1">
      <alignment horizontal="center"/>
    </xf>
    <xf numFmtId="170" fontId="110" fillId="0" borderId="0" xfId="9" applyNumberFormat="1" applyFont="1"/>
    <xf numFmtId="0" fontId="38" fillId="0" borderId="4" xfId="20" applyFont="1" applyFill="1" applyBorder="1" applyAlignment="1" applyProtection="1"/>
    <xf numFmtId="170" fontId="31" fillId="0" borderId="5" xfId="9" applyNumberFormat="1" applyFont="1" applyBorder="1" applyAlignment="1" applyProtection="1">
      <alignment horizontal="right"/>
    </xf>
    <xf numFmtId="3" fontId="31" fillId="0" borderId="0" xfId="20" applyNumberFormat="1" applyFont="1" applyAlignment="1" applyProtection="1">
      <alignment horizontal="right"/>
    </xf>
    <xf numFmtId="3" fontId="31" fillId="0" borderId="3" xfId="20" applyNumberFormat="1" applyFont="1" applyFill="1" applyBorder="1" applyAlignment="1" applyProtection="1">
      <alignment horizontal="right"/>
    </xf>
    <xf numFmtId="3" fontId="28" fillId="0" borderId="5" xfId="20" applyNumberFormat="1" applyFont="1" applyBorder="1" applyAlignment="1" applyProtection="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pplyProtection="1">
      <alignment horizontal="right"/>
    </xf>
    <xf numFmtId="3" fontId="28" fillId="0" borderId="10" xfId="20" applyNumberFormat="1" applyFont="1" applyFill="1" applyBorder="1" applyAlignment="1" applyProtection="1">
      <alignment horizontal="right"/>
    </xf>
    <xf numFmtId="0" fontId="31" fillId="5" borderId="0" xfId="20" applyFont="1" applyFill="1" applyBorder="1" applyAlignment="1" applyProtection="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pplyProtection="1">
      <alignment horizontal="right"/>
    </xf>
    <xf numFmtId="3" fontId="28" fillId="0" borderId="22" xfId="20" applyNumberFormat="1" applyFont="1" applyBorder="1" applyAlignment="1" applyProtection="1">
      <alignment horizontal="right"/>
    </xf>
    <xf numFmtId="3" fontId="28" fillId="0" borderId="12" xfId="20" applyNumberFormat="1" applyFont="1" applyFill="1" applyBorder="1" applyAlignment="1" applyProtection="1">
      <alignment horizontal="right"/>
    </xf>
    <xf numFmtId="170" fontId="28" fillId="0" borderId="0" xfId="9" applyNumberFormat="1" applyFont="1" applyAlignment="1" applyProtection="1">
      <alignment horizontal="right"/>
    </xf>
    <xf numFmtId="3" fontId="28" fillId="0" borderId="4" xfId="20" applyNumberFormat="1" applyFont="1" applyFill="1" applyBorder="1" applyAlignment="1" applyProtection="1">
      <alignment horizontal="right"/>
    </xf>
    <xf numFmtId="164" fontId="28" fillId="0" borderId="0" xfId="2" applyNumberFormat="1" applyFont="1" applyFill="1" applyAlignment="1" applyProtection="1">
      <alignment horizontal="right"/>
    </xf>
    <xf numFmtId="0" fontId="31" fillId="0" borderId="0" xfId="20" applyFont="1" applyFill="1" applyBorder="1" applyAlignment="1" applyProtection="1">
      <alignment wrapText="1"/>
    </xf>
    <xf numFmtId="3" fontId="31" fillId="0" borderId="0" xfId="20" applyNumberFormat="1" applyFont="1" applyFill="1" applyBorder="1" applyAlignment="1" applyProtection="1">
      <alignment wrapText="1"/>
    </xf>
    <xf numFmtId="0" fontId="31" fillId="0" borderId="0" xfId="20" applyFont="1" applyFill="1" applyAlignment="1" applyProtection="1">
      <alignment wrapText="1"/>
    </xf>
    <xf numFmtId="3" fontId="18" fillId="0" borderId="0" xfId="20" applyNumberFormat="1" applyFont="1" applyFill="1" applyBorder="1" applyAlignment="1">
      <alignment horizontal="right"/>
    </xf>
    <xf numFmtId="0" fontId="18" fillId="7" borderId="0" xfId="20" applyNumberFormat="1" applyFont="1" applyFill="1" applyBorder="1" applyAlignment="1">
      <alignment horizontal="right"/>
    </xf>
    <xf numFmtId="0" fontId="18" fillId="0" borderId="2" xfId="20" applyFont="1" applyBorder="1" applyAlignment="1">
      <alignment horizontal="right"/>
    </xf>
    <xf numFmtId="0" fontId="18" fillId="0" borderId="0" xfId="20" applyFont="1" applyFill="1" applyBorder="1" applyAlignment="1">
      <alignment horizontal="right"/>
    </xf>
    <xf numFmtId="3" fontId="18" fillId="0" borderId="0" xfId="20" applyNumberFormat="1" applyFont="1" applyBorder="1" applyAlignment="1">
      <alignment horizontal="right"/>
    </xf>
    <xf numFmtId="0" fontId="18" fillId="0" borderId="0" xfId="20" applyFont="1" applyBorder="1" applyAlignment="1">
      <alignment horizontal="right"/>
    </xf>
    <xf numFmtId="3" fontId="18" fillId="0" borderId="2" xfId="20" applyNumberFormat="1" applyFont="1" applyFill="1" applyBorder="1" applyAlignment="1">
      <alignment horizontal="right"/>
    </xf>
    <xf numFmtId="0" fontId="0" fillId="0" borderId="0" xfId="0"/>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5" fillId="0" borderId="0" xfId="0" applyFont="1" applyFill="1" applyBorder="1" applyAlignment="1"/>
    <xf numFmtId="0" fontId="15" fillId="0" borderId="0" xfId="20" applyFont="1" applyFill="1" applyBorder="1" applyAlignment="1">
      <alignment horizontal="center"/>
    </xf>
    <xf numFmtId="0" fontId="114" fillId="0" borderId="0" xfId="20" applyFont="1" applyFill="1" applyBorder="1"/>
    <xf numFmtId="3" fontId="28" fillId="0" borderId="0" xfId="20" applyNumberFormat="1" applyFont="1" applyFill="1" applyBorder="1" applyProtection="1"/>
    <xf numFmtId="4" fontId="28" fillId="0" borderId="0" xfId="6" applyNumberFormat="1" applyFont="1" applyBorder="1" applyAlignment="1" applyProtection="1">
      <alignment horizontal="right"/>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0" fontId="15" fillId="0" borderId="0" xfId="0"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8" fillId="0" borderId="0" xfId="0" applyFont="1" applyAlignment="1">
      <alignment horizontal="centerContinuous"/>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pplyProtection="1">
      <alignment horizontal="center" wrapText="1"/>
    </xf>
    <xf numFmtId="0" fontId="28" fillId="11" borderId="31" xfId="20" applyFont="1" applyFill="1" applyBorder="1" applyAlignment="1" applyProtection="1">
      <alignment horizontal="center"/>
    </xf>
    <xf numFmtId="3" fontId="15" fillId="0" borderId="0" xfId="20" applyNumberFormat="1" applyFont="1" applyFill="1" applyAlignment="1" applyProtection="1"/>
    <xf numFmtId="3" fontId="15" fillId="0" borderId="4" xfId="20" applyNumberFormat="1" applyFont="1" applyFill="1" applyBorder="1" applyAlignment="1" applyProtection="1"/>
    <xf numFmtId="0" fontId="0" fillId="0" borderId="0" xfId="0"/>
    <xf numFmtId="0" fontId="18" fillId="11" borderId="0" xfId="0" applyFont="1" applyFill="1"/>
    <xf numFmtId="0" fontId="15" fillId="11" borderId="0" xfId="0" applyFont="1" applyFill="1"/>
    <xf numFmtId="0" fontId="28" fillId="0" borderId="0" xfId="20" applyFont="1" applyFill="1" applyBorder="1" applyAlignment="1" applyProtection="1">
      <alignment horizontal="right" wrapText="1"/>
    </xf>
    <xf numFmtId="0" fontId="17" fillId="0" borderId="0" xfId="20" applyFont="1" applyAlignment="1">
      <alignment horizontal="right"/>
    </xf>
    <xf numFmtId="37" fontId="17" fillId="0" borderId="0" xfId="20" applyNumberFormat="1" applyFont="1" applyFill="1" applyBorder="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0" fontId="17" fillId="0" borderId="0" xfId="20" applyFont="1" applyAlignment="1">
      <alignment horizontal="left"/>
    </xf>
    <xf numFmtId="164" fontId="56" fillId="0" borderId="0" xfId="20" applyNumberFormat="1" applyFont="1" applyAlignment="1">
      <alignment horizontal="center"/>
    </xf>
    <xf numFmtId="0" fontId="18" fillId="0" borderId="0" xfId="20" applyFont="1" applyFill="1" applyAlignment="1">
      <alignment horizontal="left"/>
    </xf>
    <xf numFmtId="0" fontId="15" fillId="0" borderId="0" xfId="20" applyFont="1"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37" fontId="17" fillId="0" borderId="0" xfId="0" applyNumberFormat="1" applyFont="1"/>
    <xf numFmtId="37" fontId="18" fillId="0" borderId="4" xfId="0" applyNumberFormat="1" applyFont="1" applyBorder="1"/>
    <xf numFmtId="0" fontId="24" fillId="0" borderId="0" xfId="0" applyFont="1"/>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Fill="1" applyBorder="1"/>
    <xf numFmtId="3" fontId="18" fillId="0" borderId="13" xfId="20" applyNumberFormat="1" applyFont="1" applyFill="1" applyBorder="1"/>
    <xf numFmtId="3" fontId="18" fillId="0" borderId="33" xfId="20" applyNumberFormat="1" applyFont="1" applyFill="1" applyBorder="1"/>
    <xf numFmtId="3" fontId="18" fillId="0" borderId="13" xfId="20" applyNumberFormat="1" applyFont="1" applyFill="1" applyBorder="1" applyAlignment="1">
      <alignment horizontal="right"/>
    </xf>
    <xf numFmtId="3" fontId="17" fillId="0" borderId="30" xfId="20" applyNumberFormat="1" applyFont="1" applyFill="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Fill="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Fill="1" applyBorder="1"/>
    <xf numFmtId="3" fontId="18" fillId="0" borderId="61" xfId="20" applyNumberFormat="1" applyFont="1" applyFill="1" applyBorder="1"/>
    <xf numFmtId="3" fontId="18" fillId="0" borderId="0" xfId="0" applyNumberFormat="1" applyFont="1" applyFill="1"/>
    <xf numFmtId="3" fontId="17" fillId="0" borderId="0" xfId="0" applyNumberFormat="1" applyFont="1" applyFill="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Fill="1" applyBorder="1"/>
    <xf numFmtId="3" fontId="18" fillId="11" borderId="0" xfId="0" applyNumberFormat="1" applyFont="1" applyFill="1"/>
    <xf numFmtId="3" fontId="18" fillId="0" borderId="0" xfId="1" applyNumberFormat="1" applyFont="1" applyFill="1" applyBorder="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Border="1" applyAlignment="1">
      <alignment horizontal="center"/>
    </xf>
    <xf numFmtId="3" fontId="18" fillId="0" borderId="0" xfId="1" applyNumberFormat="1" applyFont="1" applyFill="1" applyBorder="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Fill="1" applyBorder="1" applyAlignment="1">
      <alignment horizontal="right"/>
    </xf>
    <xf numFmtId="3" fontId="18" fillId="0" borderId="0" xfId="1" applyNumberFormat="1" applyFont="1" applyAlignment="1">
      <alignment horizontal="center"/>
    </xf>
    <xf numFmtId="3" fontId="49" fillId="0" borderId="0" xfId="1" applyNumberFormat="1" applyFont="1" applyFill="1" applyAlignment="1">
      <alignment horizontal="center"/>
    </xf>
    <xf numFmtId="3" fontId="18" fillId="0" borderId="0" xfId="1" applyNumberFormat="1" applyFont="1"/>
    <xf numFmtId="3" fontId="24" fillId="0" borderId="0" xfId="1" applyNumberFormat="1" applyFont="1" applyFill="1" applyAlignment="1">
      <alignment horizontal="center"/>
    </xf>
    <xf numFmtId="3" fontId="24" fillId="0" borderId="0" xfId="1" applyNumberFormat="1" applyFont="1" applyFill="1" applyAlignment="1">
      <alignment horizontal="right"/>
    </xf>
    <xf numFmtId="3" fontId="24" fillId="0" borderId="0" xfId="1" applyNumberFormat="1" applyFont="1" applyFill="1" applyBorder="1" applyAlignment="1">
      <alignment horizontal="center"/>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Fill="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Fill="1" applyBorder="1" applyAlignment="1">
      <alignment horizontal="center"/>
    </xf>
    <xf numFmtId="3" fontId="18" fillId="0" borderId="0" xfId="6" applyNumberFormat="1" applyFont="1" applyFill="1" applyBorder="1" applyAlignment="1">
      <alignment horizontal="left"/>
    </xf>
    <xf numFmtId="3" fontId="18" fillId="0" borderId="0" xfId="0" applyNumberFormat="1" applyFont="1" applyFill="1" applyBorder="1" applyAlignment="1">
      <alignment horizontal="left"/>
    </xf>
    <xf numFmtId="3" fontId="18" fillId="11" borderId="0" xfId="6" applyNumberFormat="1" applyFont="1" applyFill="1" applyBorder="1"/>
    <xf numFmtId="3" fontId="18" fillId="11" borderId="0" xfId="20" applyNumberFormat="1" applyFont="1" applyFill="1" applyBorder="1" applyAlignment="1">
      <alignment horizontal="center"/>
    </xf>
    <xf numFmtId="3" fontId="18" fillId="11" borderId="0" xfId="20" applyNumberFormat="1" applyFont="1" applyFill="1" applyBorder="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Fill="1" applyBorder="1" applyAlignment="1" applyProtection="1">
      <alignment horizontal="right" wrapText="1"/>
    </xf>
    <xf numFmtId="0" fontId="23" fillId="0" borderId="0" xfId="0" applyFont="1" applyFill="1" applyAlignment="1">
      <alignment horizontal="right"/>
    </xf>
    <xf numFmtId="0" fontId="0" fillId="0" borderId="0" xfId="0"/>
    <xf numFmtId="3" fontId="18" fillId="0" borderId="0" xfId="9" applyNumberFormat="1" applyFont="1" applyFill="1"/>
    <xf numFmtId="3" fontId="18" fillId="0" borderId="0" xfId="20" applyNumberFormat="1" applyFont="1" applyAlignment="1">
      <alignment horizontal="right"/>
    </xf>
    <xf numFmtId="0" fontId="18" fillId="0" borderId="8" xfId="20" applyFont="1" applyFill="1" applyBorder="1" applyAlignment="1">
      <alignment wrapText="1"/>
    </xf>
    <xf numFmtId="10" fontId="31" fillId="11" borderId="0" xfId="9" applyNumberFormat="1" applyFont="1" applyFill="1" applyAlignment="1" applyProtection="1">
      <alignment horizontal="right"/>
    </xf>
    <xf numFmtId="0" fontId="18" fillId="0" borderId="0" xfId="20" applyFont="1" applyFill="1" applyBorder="1" applyAlignment="1" applyProtection="1">
      <alignment horizontal="right" wrapText="1"/>
    </xf>
    <xf numFmtId="176" fontId="28" fillId="0" borderId="0" xfId="20" applyNumberFormat="1" applyFont="1" applyFill="1" applyBorder="1" applyAlignment="1" applyProtection="1">
      <alignment horizontal="right"/>
    </xf>
    <xf numFmtId="37" fontId="18" fillId="0" borderId="5" xfId="1" applyNumberFormat="1" applyFont="1" applyFill="1" applyBorder="1" applyAlignment="1" applyProtection="1">
      <alignment horizontal="right" wrapText="1"/>
      <protection locked="0"/>
    </xf>
    <xf numFmtId="0" fontId="0" fillId="0" borderId="0" xfId="0"/>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0" fontId="18" fillId="0" borderId="0" xfId="1" applyFont="1" applyFill="1" applyAlignment="1">
      <alignment horizontal="left"/>
    </xf>
    <xf numFmtId="164" fontId="0" fillId="0" borderId="0" xfId="2" applyNumberFormat="1" applyFont="1"/>
    <xf numFmtId="0" fontId="28" fillId="0" borderId="7" xfId="20" applyNumberFormat="1" applyFont="1" applyBorder="1" applyAlignment="1" applyProtection="1">
      <alignment horizontal="center"/>
    </xf>
    <xf numFmtId="0" fontId="28" fillId="0" borderId="8" xfId="20" applyNumberFormat="1" applyFont="1" applyBorder="1" applyAlignment="1" applyProtection="1">
      <alignment horizontal="center"/>
    </xf>
    <xf numFmtId="0" fontId="28" fillId="0" borderId="8" xfId="20" applyNumberFormat="1" applyFont="1" applyBorder="1" applyAlignment="1" applyProtection="1">
      <alignment horizontal="left"/>
    </xf>
    <xf numFmtId="0" fontId="31" fillId="0" borderId="8" xfId="20" applyNumberFormat="1" applyFont="1" applyBorder="1" applyAlignment="1" applyProtection="1">
      <alignment horizontal="left"/>
    </xf>
    <xf numFmtId="4" fontId="28" fillId="0" borderId="24" xfId="6" applyNumberFormat="1" applyFont="1" applyBorder="1" applyAlignment="1" applyProtection="1">
      <alignment horizontal="right"/>
    </xf>
    <xf numFmtId="0" fontId="28" fillId="0" borderId="16" xfId="20" applyNumberFormat="1" applyFont="1" applyBorder="1" applyAlignment="1" applyProtection="1">
      <alignment horizontal="center"/>
    </xf>
    <xf numFmtId="4" fontId="28" fillId="0" borderId="15" xfId="6" applyNumberFormat="1" applyFont="1" applyBorder="1" applyAlignment="1" applyProtection="1">
      <alignment horizontal="right"/>
    </xf>
    <xf numFmtId="0" fontId="28" fillId="0" borderId="6" xfId="20" applyNumberFormat="1" applyFont="1" applyBorder="1" applyAlignment="1" applyProtection="1">
      <alignment horizontal="center"/>
    </xf>
    <xf numFmtId="0" fontId="28" fillId="0" borderId="2" xfId="20" applyNumberFormat="1" applyFont="1" applyBorder="1" applyAlignment="1" applyProtection="1">
      <alignment horizontal="center"/>
    </xf>
    <xf numFmtId="0" fontId="28" fillId="0" borderId="2" xfId="20" applyNumberFormat="1" applyFont="1" applyBorder="1" applyAlignment="1" applyProtection="1">
      <alignment horizontal="left"/>
    </xf>
    <xf numFmtId="4" fontId="28" fillId="0" borderId="9" xfId="6" applyNumberFormat="1" applyFont="1" applyBorder="1" applyAlignment="1" applyProtection="1">
      <alignment horizontal="right"/>
    </xf>
    <xf numFmtId="0" fontId="31" fillId="0" borderId="2" xfId="20" applyNumberFormat="1" applyFont="1" applyBorder="1" applyAlignment="1" applyProtection="1">
      <alignment horizontal="left"/>
    </xf>
    <xf numFmtId="0" fontId="18" fillId="11" borderId="0" xfId="20" applyFont="1" applyFill="1" applyBorder="1"/>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19" xfId="20" applyFont="1" applyFill="1" applyBorder="1" applyAlignment="1">
      <alignment wrapText="1"/>
    </xf>
    <xf numFmtId="0" fontId="31" fillId="0" borderId="0" xfId="20" applyFont="1" applyFill="1" applyAlignment="1">
      <alignment horizontal="left"/>
    </xf>
    <xf numFmtId="0" fontId="15" fillId="11" borderId="0" xfId="0" applyFont="1" applyFill="1" applyAlignment="1">
      <alignment horizontal="center"/>
    </xf>
    <xf numFmtId="0" fontId="0" fillId="0" borderId="0" xfId="0" applyFill="1"/>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0" fontId="0" fillId="0" borderId="0" xfId="0"/>
    <xf numFmtId="3" fontId="18" fillId="0" borderId="0" xfId="1" applyNumberFormat="1" applyFont="1" applyAlignment="1">
      <alignment horizontal="right" wrapText="1"/>
    </xf>
    <xf numFmtId="3" fontId="18" fillId="0" borderId="0" xfId="1" applyNumberFormat="1" applyFont="1" applyAlignment="1">
      <alignment horizontal="right"/>
    </xf>
    <xf numFmtId="3" fontId="24" fillId="0" borderId="0" xfId="1" applyNumberFormat="1" applyFont="1" applyFill="1" applyBorder="1" applyAlignment="1">
      <alignment horizontal="right"/>
    </xf>
    <xf numFmtId="0" fontId="24" fillId="0" borderId="0" xfId="1" applyFont="1" applyFill="1" applyBorder="1" applyAlignment="1">
      <alignment horizontal="center"/>
    </xf>
    <xf numFmtId="0" fontId="24" fillId="0" borderId="0" xfId="1" applyNumberFormat="1" applyFont="1" applyFill="1" applyBorder="1" applyAlignment="1">
      <alignment horizontal="center"/>
    </xf>
    <xf numFmtId="170" fontId="18" fillId="0" borderId="0" xfId="9" applyNumberFormat="1" applyFont="1" applyFill="1" applyAlignment="1">
      <alignment horizontal="center" wrapText="1"/>
    </xf>
    <xf numFmtId="171" fontId="18" fillId="0" borderId="0" xfId="1" applyNumberFormat="1" applyFont="1" applyFill="1" applyAlignment="1">
      <alignment horizontal="center" wrapText="1"/>
    </xf>
    <xf numFmtId="0" fontId="18" fillId="0" borderId="5" xfId="1" applyFont="1" applyBorder="1"/>
    <xf numFmtId="0" fontId="24" fillId="0" borderId="0" xfId="1" applyFont="1" applyFill="1"/>
    <xf numFmtId="3" fontId="18" fillId="0" borderId="22" xfId="1" applyNumberFormat="1" applyFont="1" applyBorder="1" applyAlignment="1">
      <alignment horizontal="right" wrapText="1"/>
    </xf>
    <xf numFmtId="0" fontId="17" fillId="0" borderId="0" xfId="1" applyFont="1" applyFill="1" applyBorder="1"/>
    <xf numFmtId="3" fontId="18" fillId="0" borderId="0" xfId="2" applyNumberFormat="1" applyFont="1" applyFill="1" applyAlignment="1">
      <alignment horizontal="right" wrapText="1"/>
    </xf>
    <xf numFmtId="0" fontId="18" fillId="0" borderId="0" xfId="1" applyFont="1" applyFill="1" applyBorder="1"/>
    <xf numFmtId="37" fontId="24" fillId="0" borderId="0" xfId="1" applyNumberFormat="1" applyFont="1" applyFill="1"/>
    <xf numFmtId="37" fontId="18" fillId="0" borderId="0" xfId="1" applyNumberFormat="1" applyFont="1" applyFill="1"/>
    <xf numFmtId="3" fontId="18" fillId="0" borderId="0" xfId="1" applyNumberFormat="1" applyFont="1" applyFill="1" applyAlignment="1">
      <alignment horizontal="right"/>
    </xf>
    <xf numFmtId="3" fontId="18" fillId="0" borderId="0" xfId="2" applyNumberFormat="1" applyFont="1" applyFill="1" applyAlignment="1">
      <alignment horizontal="right"/>
    </xf>
    <xf numFmtId="164" fontId="18" fillId="0" borderId="0" xfId="2" applyNumberFormat="1" applyFont="1" applyFill="1" applyAlignment="1">
      <alignment horizontal="right"/>
    </xf>
    <xf numFmtId="0" fontId="18" fillId="0" borderId="0" xfId="1" applyFont="1" applyFill="1" applyAlignment="1">
      <alignment horizontal="right"/>
    </xf>
    <xf numFmtId="0" fontId="17" fillId="0" borderId="0" xfId="1" applyFont="1" applyAlignment="1"/>
    <xf numFmtId="3" fontId="186" fillId="0" borderId="15" xfId="20" applyNumberFormat="1" applyFont="1" applyFill="1" applyBorder="1" applyAlignment="1">
      <alignment horizontal="center" wrapText="1"/>
    </xf>
    <xf numFmtId="3" fontId="186" fillId="0" borderId="0" xfId="2" applyNumberFormat="1" applyFont="1" applyFill="1" applyBorder="1"/>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17" fillId="0" borderId="26" xfId="20" applyNumberFormat="1" applyFont="1" applyFill="1" applyBorder="1"/>
    <xf numFmtId="3" fontId="45" fillId="0" borderId="0" xfId="1" applyNumberFormat="1" applyFont="1" applyFill="1" applyBorder="1"/>
    <xf numFmtId="3" fontId="18" fillId="0" borderId="0" xfId="2" applyNumberFormat="1" applyFont="1" applyAlignment="1" applyProtection="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48" fillId="0" borderId="0" xfId="0" applyFont="1" applyFill="1" applyBorder="1"/>
    <xf numFmtId="0" fontId="18" fillId="0" borderId="0" xfId="0" applyFont="1" applyFill="1" applyAlignment="1">
      <alignment horizontal="center"/>
    </xf>
    <xf numFmtId="0" fontId="45" fillId="0" borderId="0" xfId="0" applyFont="1" applyFill="1" applyAlignment="1">
      <alignment horizontal="center"/>
    </xf>
    <xf numFmtId="0" fontId="34" fillId="0" borderId="22" xfId="20" applyFont="1" applyFill="1" applyBorder="1" applyAlignment="1" applyProtection="1">
      <alignment horizontal="center"/>
    </xf>
    <xf numFmtId="0" fontId="31" fillId="0" borderId="0" xfId="20" applyNumberFormat="1" applyFont="1" applyFill="1" applyBorder="1" applyAlignment="1" applyProtection="1">
      <alignment horizontal="center" vertical="center"/>
    </xf>
    <xf numFmtId="0" fontId="31" fillId="0" borderId="0" xfId="20" applyFont="1" applyFill="1" applyAlignment="1" applyProtection="1">
      <alignment vertical="center"/>
    </xf>
    <xf numFmtId="0" fontId="31" fillId="0" borderId="0" xfId="20" applyNumberFormat="1" applyFont="1" applyFill="1" applyAlignment="1" applyProtection="1">
      <alignment horizontal="center" vertical="center"/>
    </xf>
    <xf numFmtId="0" fontId="31" fillId="0" borderId="0" xfId="20" applyFont="1" applyFill="1" applyAlignment="1" applyProtection="1">
      <alignment horizontal="center" vertical="center"/>
    </xf>
    <xf numFmtId="238" fontId="18" fillId="0" borderId="0" xfId="2" applyNumberFormat="1" applyFont="1" applyAlignment="1">
      <alignment horizontal="left"/>
    </xf>
    <xf numFmtId="3" fontId="31" fillId="0" borderId="4" xfId="20" applyNumberFormat="1" applyFont="1" applyFill="1" applyBorder="1" applyAlignment="1" applyProtection="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Fill="1" applyBorder="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Font="1" applyFill="1" applyBorder="1" applyAlignment="1" applyProtection="1">
      <alignment wrapText="1"/>
    </xf>
    <xf numFmtId="0" fontId="15" fillId="0" borderId="0" xfId="0" applyFont="1" applyBorder="1" applyAlignment="1">
      <alignment wrapText="1"/>
    </xf>
    <xf numFmtId="1" fontId="186" fillId="0" borderId="0" xfId="2" applyNumberFormat="1" applyFont="1" applyFill="1" applyBorder="1"/>
    <xf numFmtId="1" fontId="105" fillId="0" borderId="0" xfId="2" applyNumberFormat="1" applyFont="1" applyFill="1" applyBorder="1"/>
    <xf numFmtId="1" fontId="18" fillId="0" borderId="0" xfId="20" applyNumberFormat="1" applyFont="1" applyBorder="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0" fontId="18" fillId="11" borderId="0" xfId="20" applyFont="1" applyFill="1"/>
    <xf numFmtId="0" fontId="18" fillId="11" borderId="0" xfId="20" applyFont="1" applyFill="1" applyAlignment="1">
      <alignment horizontal="left"/>
    </xf>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7" fillId="0" borderId="0" xfId="0" applyFont="1" applyAlignment="1">
      <alignment wrapText="1"/>
    </xf>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05" fillId="78" borderId="0" xfId="2" applyNumberFormat="1" applyFont="1" applyFill="1" applyBorder="1"/>
    <xf numFmtId="3" fontId="18" fillId="78" borderId="0" xfId="0" applyNumberFormat="1" applyFont="1" applyFill="1"/>
    <xf numFmtId="3" fontId="18" fillId="0" borderId="2" xfId="20" applyNumberFormat="1" applyFont="1" applyBorder="1"/>
    <xf numFmtId="3" fontId="189" fillId="0" borderId="0" xfId="0" applyNumberFormat="1" applyFont="1" applyFill="1"/>
    <xf numFmtId="3" fontId="189" fillId="0" borderId="0" xfId="0" applyNumberFormat="1" applyFont="1"/>
    <xf numFmtId="0" fontId="189" fillId="0" borderId="0" xfId="0" applyFont="1"/>
    <xf numFmtId="0" fontId="17" fillId="0" borderId="15" xfId="20" applyFont="1" applyBorder="1" applyAlignment="1">
      <alignment horizontal="center" wrapText="1"/>
    </xf>
    <xf numFmtId="0" fontId="190" fillId="0" borderId="0" xfId="20" applyFont="1" applyFill="1" applyBorder="1" applyAlignment="1" applyProtection="1">
      <alignment horizontal="center"/>
    </xf>
    <xf numFmtId="0" fontId="190" fillId="0" borderId="0" xfId="20" applyNumberFormat="1" applyFont="1" applyFill="1" applyAlignment="1" applyProtection="1">
      <alignment horizontal="center"/>
    </xf>
    <xf numFmtId="0" fontId="190" fillId="0" borderId="5" xfId="20" applyFont="1" applyBorder="1" applyAlignment="1" applyProtection="1">
      <alignment horizontal="center"/>
    </xf>
    <xf numFmtId="0" fontId="190" fillId="0" borderId="3" xfId="20" applyFont="1" applyFill="1" applyBorder="1" applyAlignment="1" applyProtection="1">
      <alignment horizontal="center"/>
    </xf>
    <xf numFmtId="0" fontId="190" fillId="0" borderId="4" xfId="20" applyFont="1" applyFill="1" applyBorder="1" applyAlignment="1" applyProtection="1">
      <alignment horizontal="center"/>
    </xf>
    <xf numFmtId="0" fontId="190" fillId="0" borderId="0" xfId="20" applyFont="1" applyBorder="1" applyAlignment="1" applyProtection="1">
      <alignment horizontal="center"/>
    </xf>
    <xf numFmtId="43" fontId="190" fillId="0" borderId="5" xfId="2" applyFont="1" applyBorder="1" applyAlignment="1" applyProtection="1">
      <alignment horizontal="center"/>
    </xf>
    <xf numFmtId="0" fontId="190" fillId="0" borderId="10" xfId="20" applyFont="1" applyBorder="1" applyAlignment="1" applyProtection="1">
      <alignment horizontal="center"/>
    </xf>
    <xf numFmtId="0" fontId="190" fillId="0" borderId="10" xfId="20" applyNumberFormat="1" applyFont="1" applyBorder="1" applyAlignment="1" applyProtection="1">
      <alignment horizontal="center"/>
    </xf>
    <xf numFmtId="3" fontId="190" fillId="0" borderId="0" xfId="20" quotePrefix="1" applyNumberFormat="1" applyFont="1" applyBorder="1" applyAlignment="1" applyProtection="1">
      <alignment horizontal="center"/>
    </xf>
    <xf numFmtId="168" fontId="190" fillId="0" borderId="10" xfId="20" applyNumberFormat="1" applyFont="1" applyBorder="1" applyAlignment="1" applyProtection="1">
      <alignment horizontal="center"/>
    </xf>
    <xf numFmtId="168" fontId="190" fillId="0" borderId="5" xfId="20" applyNumberFormat="1" applyFont="1" applyBorder="1" applyAlignment="1" applyProtection="1">
      <alignment horizontal="center"/>
    </xf>
    <xf numFmtId="0" fontId="190" fillId="0" borderId="3" xfId="20" applyFont="1" applyBorder="1" applyAlignment="1" applyProtection="1">
      <alignment horizontal="center"/>
    </xf>
    <xf numFmtId="0" fontId="190" fillId="0" borderId="12" xfId="20" applyFont="1" applyBorder="1" applyAlignment="1" applyProtection="1">
      <alignment horizontal="center"/>
    </xf>
    <xf numFmtId="0" fontId="190" fillId="0" borderId="8" xfId="20" applyNumberFormat="1" applyFont="1" applyBorder="1" applyAlignment="1" applyProtection="1">
      <alignment horizontal="center"/>
    </xf>
    <xf numFmtId="0" fontId="190" fillId="0" borderId="0" xfId="20" applyNumberFormat="1" applyFont="1" applyBorder="1" applyAlignment="1" applyProtection="1">
      <alignment horizontal="center"/>
    </xf>
    <xf numFmtId="0" fontId="190" fillId="0" borderId="2" xfId="20" applyNumberFormat="1" applyFont="1" applyBorder="1" applyAlignment="1" applyProtection="1">
      <alignment horizontal="center"/>
    </xf>
    <xf numFmtId="0" fontId="190" fillId="0" borderId="0" xfId="20" applyFont="1" applyFill="1" applyAlignment="1" applyProtection="1">
      <alignment horizontal="center"/>
    </xf>
    <xf numFmtId="0" fontId="190" fillId="5" borderId="0" xfId="20" applyFont="1" applyFill="1" applyBorder="1" applyAlignment="1" applyProtection="1">
      <alignment horizontal="center"/>
    </xf>
    <xf numFmtId="3" fontId="190" fillId="0" borderId="0" xfId="20" applyNumberFormat="1" applyFont="1" applyAlignment="1" applyProtection="1">
      <alignment horizontal="center"/>
    </xf>
    <xf numFmtId="0" fontId="190" fillId="0" borderId="0" xfId="20" applyFont="1" applyAlignment="1" applyProtection="1">
      <alignment horizontal="center"/>
    </xf>
    <xf numFmtId="0" fontId="190" fillId="0" borderId="4" xfId="20" applyFont="1" applyBorder="1" applyAlignment="1" applyProtection="1">
      <alignment horizontal="center"/>
    </xf>
    <xf numFmtId="167" fontId="190" fillId="0" borderId="0" xfId="20" applyNumberFormat="1" applyFont="1" applyAlignment="1" applyProtection="1">
      <alignment horizontal="center"/>
    </xf>
    <xf numFmtId="3" fontId="190" fillId="0" borderId="0" xfId="20" applyNumberFormat="1" applyFont="1" applyFill="1" applyBorder="1" applyAlignment="1" applyProtection="1">
      <alignment horizontal="center"/>
    </xf>
    <xf numFmtId="3" fontId="190" fillId="0" borderId="0" xfId="20" applyNumberFormat="1" applyFont="1" applyFill="1" applyAlignment="1" applyProtection="1">
      <alignment horizontal="center"/>
    </xf>
    <xf numFmtId="3" fontId="190" fillId="0" borderId="4" xfId="20" applyNumberFormat="1" applyFont="1" applyBorder="1" applyAlignment="1" applyProtection="1">
      <alignment horizontal="center"/>
    </xf>
    <xf numFmtId="3" fontId="190" fillId="0" borderId="3" xfId="20" applyNumberFormat="1" applyFont="1" applyBorder="1" applyAlignment="1" applyProtection="1">
      <alignment horizontal="center"/>
    </xf>
    <xf numFmtId="3" fontId="190" fillId="0" borderId="0" xfId="20" applyNumberFormat="1" applyFont="1" applyBorder="1" applyAlignment="1" applyProtection="1">
      <alignment horizontal="center"/>
    </xf>
    <xf numFmtId="0" fontId="190" fillId="5" borderId="0" xfId="20" applyFont="1" applyFill="1" applyAlignment="1" applyProtection="1">
      <alignment horizontal="center"/>
    </xf>
    <xf numFmtId="3" fontId="190" fillId="0" borderId="3" xfId="20" applyNumberFormat="1" applyFont="1" applyFill="1" applyBorder="1" applyAlignment="1" applyProtection="1">
      <alignment horizontal="center"/>
    </xf>
    <xf numFmtId="0" fontId="190" fillId="0" borderId="10" xfId="20" applyFont="1" applyFill="1" applyBorder="1" applyAlignment="1" applyProtection="1">
      <alignment horizontal="center"/>
    </xf>
    <xf numFmtId="3" fontId="190" fillId="0" borderId="4" xfId="20" applyNumberFormat="1" applyFont="1" applyFill="1" applyBorder="1" applyAlignment="1" applyProtection="1">
      <alignment horizontal="center"/>
    </xf>
    <xf numFmtId="3" fontId="190" fillId="0" borderId="0" xfId="20" quotePrefix="1" applyNumberFormat="1" applyFont="1" applyAlignment="1" applyProtection="1">
      <alignment horizontal="center"/>
    </xf>
    <xf numFmtId="168" fontId="190" fillId="0" borderId="0" xfId="20" applyNumberFormat="1" applyFont="1" applyAlignment="1" applyProtection="1">
      <alignment horizontal="center"/>
    </xf>
    <xf numFmtId="168" fontId="190" fillId="0" borderId="4" xfId="20" applyNumberFormat="1" applyFont="1" applyFill="1" applyBorder="1" applyAlignment="1" applyProtection="1">
      <alignment horizontal="center"/>
    </xf>
    <xf numFmtId="168" fontId="190" fillId="0" borderId="0" xfId="20" applyNumberFormat="1" applyFont="1" applyFill="1" applyAlignment="1" applyProtection="1">
      <alignment horizontal="center"/>
    </xf>
    <xf numFmtId="0" fontId="190" fillId="0" borderId="22" xfId="20" applyFont="1" applyBorder="1" applyAlignment="1" applyProtection="1">
      <alignment horizontal="center"/>
    </xf>
    <xf numFmtId="37" fontId="190" fillId="0" borderId="0" xfId="20" applyNumberFormat="1" applyFont="1" applyBorder="1" applyAlignment="1" applyProtection="1">
      <alignment horizontal="center"/>
    </xf>
    <xf numFmtId="37" fontId="190" fillId="0" borderId="0" xfId="20" applyNumberFormat="1" applyFont="1" applyFill="1" applyBorder="1" applyAlignment="1" applyProtection="1">
      <alignment horizontal="center"/>
    </xf>
    <xf numFmtId="0" fontId="190"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1" fillId="0" borderId="0" xfId="0" applyFont="1"/>
    <xf numFmtId="3" fontId="18" fillId="0" borderId="0" xfId="20" applyNumberFormat="1" applyFont="1" applyFill="1" applyBorder="1" applyAlignment="1" applyProtection="1">
      <alignment horizontal="right"/>
    </xf>
    <xf numFmtId="0" fontId="190" fillId="0" borderId="0" xfId="20" applyFont="1" applyAlignment="1">
      <alignment horizontal="center"/>
    </xf>
    <xf numFmtId="0" fontId="31" fillId="0" borderId="0"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1" applyFont="1" applyFill="1" applyAlignment="1">
      <alignment vertical="center" wrapText="1"/>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17" fillId="0" borderId="0" xfId="0" applyFont="1" applyAlignment="1">
      <alignment horizontal="center"/>
    </xf>
    <xf numFmtId="0" fontId="22" fillId="0" borderId="0" xfId="0" applyFont="1" applyAlignment="1">
      <alignment horizontal="center"/>
    </xf>
    <xf numFmtId="279" fontId="18" fillId="0" borderId="0" xfId="6" applyNumberFormat="1" applyFont="1"/>
    <xf numFmtId="0" fontId="18" fillId="0" borderId="78" xfId="20" applyFont="1" applyBorder="1"/>
    <xf numFmtId="10" fontId="31" fillId="0" borderId="0" xfId="9" applyNumberFormat="1" applyFont="1" applyFill="1" applyAlignment="1" applyProtection="1"/>
    <xf numFmtId="3" fontId="105" fillId="11" borderId="56" xfId="20" applyNumberFormat="1" applyFont="1" applyFill="1" applyBorder="1"/>
    <xf numFmtId="3" fontId="105" fillId="11" borderId="26" xfId="2" applyNumberFormat="1" applyFont="1" applyFill="1" applyBorder="1"/>
    <xf numFmtId="3" fontId="105" fillId="11" borderId="57" xfId="20" applyNumberFormat="1" applyFont="1" applyFill="1" applyBorder="1"/>
    <xf numFmtId="3" fontId="105" fillId="11" borderId="13" xfId="2" applyNumberFormat="1" applyFont="1" applyFill="1" applyBorder="1"/>
    <xf numFmtId="3" fontId="105" fillId="11" borderId="26" xfId="3" applyNumberFormat="1" applyFont="1" applyFill="1" applyBorder="1"/>
    <xf numFmtId="0" fontId="105" fillId="11" borderId="0" xfId="2" applyNumberFormat="1" applyFont="1" applyFill="1" applyAlignment="1">
      <alignment horizontal="center"/>
    </xf>
    <xf numFmtId="3" fontId="105" fillId="11" borderId="0" xfId="2" applyNumberFormat="1" applyFont="1" applyFill="1"/>
    <xf numFmtId="3" fontId="192" fillId="11" borderId="0" xfId="2" applyNumberFormat="1" applyFont="1" applyFill="1"/>
    <xf numFmtId="3" fontId="105" fillId="11" borderId="13" xfId="3" applyNumberFormat="1" applyFont="1" applyFill="1" applyBorder="1"/>
    <xf numFmtId="37" fontId="105" fillId="11" borderId="4" xfId="20" applyNumberFormat="1" applyFont="1" applyFill="1" applyBorder="1" applyAlignment="1">
      <alignment horizontal="right" wrapText="1"/>
    </xf>
    <xf numFmtId="3" fontId="105" fillId="11" borderId="0" xfId="1" applyNumberFormat="1" applyFont="1" applyFill="1" applyAlignment="1">
      <alignment horizontal="right" wrapText="1"/>
    </xf>
    <xf numFmtId="3" fontId="105" fillId="11" borderId="0" xfId="20" applyNumberFormat="1" applyFont="1" applyFill="1" applyProtection="1">
      <protection locked="0"/>
    </xf>
    <xf numFmtId="3" fontId="105" fillId="11" borderId="0" xfId="20" applyNumberFormat="1" applyFont="1" applyFill="1"/>
    <xf numFmtId="3" fontId="192" fillId="11" borderId="0" xfId="20" applyNumberFormat="1" applyFont="1" applyFill="1"/>
    <xf numFmtId="3" fontId="105" fillId="11" borderId="0" xfId="2" applyNumberFormat="1" applyFont="1" applyFill="1" applyBorder="1"/>
    <xf numFmtId="164" fontId="105" fillId="11" borderId="0" xfId="10334" applyNumberFormat="1" applyFont="1" applyFill="1"/>
    <xf numFmtId="3" fontId="105" fillId="11" borderId="2" xfId="2" applyNumberFormat="1" applyFont="1" applyFill="1" applyBorder="1"/>
    <xf numFmtId="164" fontId="105" fillId="11" borderId="0" xfId="2" applyNumberFormat="1" applyFont="1" applyFill="1" applyBorder="1" applyAlignment="1">
      <alignment horizontal="center"/>
    </xf>
    <xf numFmtId="164" fontId="105" fillId="11" borderId="0" xfId="2" applyNumberFormat="1" applyFont="1" applyFill="1" applyBorder="1"/>
    <xf numFmtId="164" fontId="105" fillId="11" borderId="0" xfId="2" applyNumberFormat="1" applyFont="1" applyFill="1" applyBorder="1" applyAlignment="1">
      <alignment horizontal="right"/>
    </xf>
    <xf numFmtId="0" fontId="105" fillId="11" borderId="0" xfId="20" applyFont="1" applyFill="1" applyBorder="1" applyAlignment="1">
      <alignment horizontal="center"/>
    </xf>
    <xf numFmtId="0" fontId="105" fillId="11" borderId="0" xfId="20" applyFont="1" applyFill="1" applyBorder="1"/>
    <xf numFmtId="37" fontId="105" fillId="11" borderId="0" xfId="2" applyNumberFormat="1" applyFont="1" applyFill="1" applyBorder="1" applyAlignment="1">
      <alignment horizontal="right"/>
    </xf>
    <xf numFmtId="164" fontId="59" fillId="11" borderId="0" xfId="2" applyNumberFormat="1" applyFont="1" applyFill="1" applyBorder="1" applyAlignment="1">
      <alignment horizontal="center"/>
    </xf>
    <xf numFmtId="37" fontId="59" fillId="11" borderId="0" xfId="2" applyNumberFormat="1" applyFont="1" applyFill="1" applyBorder="1" applyAlignment="1">
      <alignment horizontal="right"/>
    </xf>
    <xf numFmtId="3" fontId="59" fillId="11" borderId="0" xfId="2" applyNumberFormat="1" applyFont="1" applyFill="1" applyBorder="1"/>
    <xf numFmtId="3" fontId="105" fillId="11" borderId="0" xfId="10334" applyNumberFormat="1" applyFont="1" applyFill="1"/>
    <xf numFmtId="164" fontId="105" fillId="11" borderId="0" xfId="10334" applyNumberFormat="1" applyFont="1" applyFill="1" applyBorder="1"/>
    <xf numFmtId="164" fontId="105" fillId="11" borderId="2" xfId="10334" applyNumberFormat="1" applyFont="1" applyFill="1" applyBorder="1"/>
    <xf numFmtId="10" fontId="105" fillId="11" borderId="0" xfId="9" applyNumberFormat="1" applyFont="1" applyFill="1" applyBorder="1"/>
    <xf numFmtId="10" fontId="105" fillId="11" borderId="2" xfId="9" applyNumberFormat="1" applyFont="1" applyFill="1" applyBorder="1"/>
    <xf numFmtId="37" fontId="105" fillId="11" borderId="0" xfId="2" applyNumberFormat="1" applyFont="1" applyFill="1" applyBorder="1"/>
    <xf numFmtId="176" fontId="105" fillId="11" borderId="0" xfId="2" applyNumberFormat="1" applyFont="1" applyFill="1" applyBorder="1"/>
    <xf numFmtId="3" fontId="105" fillId="11" borderId="0" xfId="6" applyNumberFormat="1" applyFont="1" applyFill="1" applyBorder="1" applyAlignment="1">
      <alignment horizontal="left"/>
    </xf>
    <xf numFmtId="3" fontId="105" fillId="11" borderId="0" xfId="0" applyNumberFormat="1" applyFont="1" applyFill="1" applyBorder="1" applyAlignment="1">
      <alignment horizontal="left"/>
    </xf>
    <xf numFmtId="3" fontId="105" fillId="0" borderId="0" xfId="9" applyNumberFormat="1" applyFont="1" applyFill="1" applyBorder="1"/>
    <xf numFmtId="37" fontId="105" fillId="11" borderId="0" xfId="2" applyNumberFormat="1" applyFont="1" applyFill="1"/>
    <xf numFmtId="3" fontId="105" fillId="11" borderId="0" xfId="20" applyNumberFormat="1" applyFont="1" applyFill="1" applyBorder="1" applyAlignment="1">
      <alignment horizontal="center"/>
    </xf>
    <xf numFmtId="3" fontId="105" fillId="11" borderId="0" xfId="20" applyNumberFormat="1" applyFont="1" applyFill="1" applyBorder="1"/>
    <xf numFmtId="3" fontId="105" fillId="11" borderId="0" xfId="6" applyNumberFormat="1" applyFont="1" applyFill="1" applyBorder="1"/>
    <xf numFmtId="3" fontId="105" fillId="11" borderId="0" xfId="20" applyNumberFormat="1" applyFont="1" applyFill="1" applyAlignment="1">
      <alignment horizontal="center"/>
    </xf>
    <xf numFmtId="0" fontId="105" fillId="11" borderId="31" xfId="20" applyFont="1" applyFill="1" applyBorder="1"/>
    <xf numFmtId="3" fontId="105" fillId="11" borderId="31" xfId="20" applyNumberFormat="1" applyFont="1" applyFill="1" applyBorder="1"/>
    <xf numFmtId="3" fontId="105" fillId="11" borderId="20" xfId="2" applyNumberFormat="1" applyFont="1" applyFill="1" applyBorder="1"/>
    <xf numFmtId="3" fontId="113" fillId="11" borderId="4" xfId="0" applyNumberFormat="1" applyFont="1" applyFill="1" applyBorder="1"/>
    <xf numFmtId="10" fontId="113" fillId="11" borderId="4" xfId="9" applyNumberFormat="1" applyFont="1" applyFill="1" applyBorder="1"/>
    <xf numFmtId="10" fontId="105" fillId="11" borderId="0" xfId="9" applyNumberFormat="1" applyFont="1" applyFill="1" applyAlignment="1">
      <alignment horizontal="center"/>
    </xf>
    <xf numFmtId="3" fontId="105" fillId="11" borderId="0" xfId="6" applyNumberFormat="1" applyFont="1" applyFill="1"/>
    <xf numFmtId="3" fontId="105" fillId="11" borderId="0" xfId="3" applyNumberFormat="1" applyFont="1" applyFill="1"/>
    <xf numFmtId="3" fontId="192" fillId="11" borderId="0" xfId="3" applyNumberFormat="1" applyFont="1" applyFill="1"/>
    <xf numFmtId="3" fontId="105" fillId="11" borderId="0" xfId="0" applyNumberFormat="1" applyFont="1" applyFill="1"/>
    <xf numFmtId="3" fontId="192" fillId="79" borderId="0" xfId="0" applyNumberFormat="1" applyFont="1" applyFill="1"/>
    <xf numFmtId="3" fontId="113" fillId="11" borderId="0" xfId="0" applyNumberFormat="1" applyFont="1" applyFill="1"/>
    <xf numFmtId="3" fontId="193" fillId="11" borderId="0" xfId="0" applyNumberFormat="1" applyFont="1" applyFill="1"/>
    <xf numFmtId="166" fontId="105" fillId="11" borderId="0" xfId="6" applyNumberFormat="1" applyFont="1" applyFill="1"/>
    <xf numFmtId="0" fontId="18" fillId="11" borderId="28" xfId="20" applyFont="1" applyFill="1" applyBorder="1"/>
    <xf numFmtId="0" fontId="18" fillId="11" borderId="29" xfId="20" applyFont="1" applyFill="1" applyBorder="1" applyAlignment="1">
      <alignment wrapText="1"/>
    </xf>
    <xf numFmtId="37" fontId="105" fillId="8" borderId="0" xfId="2" applyNumberFormat="1" applyFont="1" applyFill="1" applyBorder="1"/>
    <xf numFmtId="3" fontId="105" fillId="0" borderId="15" xfId="20" applyNumberFormat="1" applyFont="1" applyFill="1" applyBorder="1" applyAlignment="1">
      <alignment horizontal="center" wrapText="1"/>
    </xf>
    <xf numFmtId="3" fontId="105" fillId="11" borderId="4" xfId="2" applyNumberFormat="1" applyFont="1" applyFill="1" applyBorder="1"/>
    <xf numFmtId="3" fontId="113" fillId="11" borderId="0" xfId="2" applyNumberFormat="1" applyFont="1" applyFill="1"/>
    <xf numFmtId="3" fontId="0" fillId="0" borderId="0" xfId="2" applyNumberFormat="1" applyFont="1"/>
    <xf numFmtId="0" fontId="31" fillId="0" borderId="0" xfId="20" applyFont="1" applyFill="1" applyAlignment="1" applyProtection="1">
      <alignment horizontal="left" wrapText="1"/>
    </xf>
    <xf numFmtId="0" fontId="31" fillId="0" borderId="0" xfId="20" applyFont="1" applyFill="1" applyBorder="1" applyAlignment="1" applyProtection="1">
      <alignment horizontal="left" wrapText="1"/>
    </xf>
    <xf numFmtId="0" fontId="31" fillId="0" borderId="0" xfId="0" applyFont="1" applyAlignment="1">
      <alignment horizontal="left" wrapText="1"/>
    </xf>
    <xf numFmtId="0" fontId="31" fillId="0" borderId="0" xfId="20" applyNumberFormat="1" applyFont="1" applyFill="1" applyAlignment="1" applyProtection="1">
      <alignment horizontal="left" wrapText="1"/>
    </xf>
    <xf numFmtId="0" fontId="31" fillId="0" borderId="0" xfId="20" applyFont="1" applyAlignment="1">
      <alignment horizontal="left" wrapText="1"/>
    </xf>
    <xf numFmtId="0" fontId="31" fillId="0" borderId="0" xfId="20" applyFont="1" applyFill="1" applyBorder="1" applyAlignment="1" applyProtection="1">
      <alignment horizontal="center"/>
    </xf>
    <xf numFmtId="0" fontId="31" fillId="6" borderId="8" xfId="20" applyFont="1" applyFill="1" applyBorder="1" applyAlignment="1" applyProtection="1">
      <alignment horizontal="center"/>
    </xf>
    <xf numFmtId="0" fontId="31" fillId="6" borderId="24"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0" applyFont="1" applyBorder="1" applyAlignment="1">
      <alignment wrapText="1"/>
    </xf>
    <xf numFmtId="0" fontId="23" fillId="0" borderId="0" xfId="0" applyFont="1" applyBorder="1" applyAlignment="1"/>
    <xf numFmtId="0" fontId="23" fillId="0" borderId="0" xfId="20" applyFont="1" applyAlignment="1"/>
    <xf numFmtId="0" fontId="17" fillId="0" borderId="0" xfId="0" applyFont="1" applyBorder="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applyAlignment="1"/>
    <xf numFmtId="0" fontId="18" fillId="0" borderId="0" xfId="1" applyFont="1" applyFill="1" applyAlignment="1">
      <alignment vertical="top" wrapText="1"/>
    </xf>
    <xf numFmtId="0" fontId="18" fillId="0" borderId="0" xfId="1" applyFont="1" applyFill="1" applyAlignment="1">
      <alignment vertical="center" wrapText="1"/>
    </xf>
    <xf numFmtId="0" fontId="0" fillId="0" borderId="0" xfId="0" applyAlignment="1"/>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37" fontId="17" fillId="0" borderId="0" xfId="20" applyNumberFormat="1" applyFont="1" applyBorder="1" applyAlignment="1">
      <alignment horizontal="center"/>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22" fillId="0" borderId="0" xfId="20" applyNumberFormat="1" applyFont="1" applyFill="1" applyBorder="1" applyAlignment="1">
      <alignment horizontal="center"/>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Fill="1" applyBorder="1" applyAlignment="1">
      <alignment horizontal="center"/>
    </xf>
    <xf numFmtId="37" fontId="17" fillId="0" borderId="14" xfId="20" applyNumberFormat="1"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0" fontId="22" fillId="0" borderId="0" xfId="0" applyFont="1" applyAlignment="1">
      <alignment horizontal="center"/>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FF66FF"/>
      <color rgb="FFD60093"/>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J1086"/>
  <sheetViews>
    <sheetView showGridLines="0" tabSelected="1" zoomScale="50" zoomScaleNormal="50" workbookViewId="0">
      <pane xSplit="3" ySplit="9" topLeftCell="D10" activePane="bottomRight" state="frozen"/>
      <selection pane="topRight" activeCell="D1" sqref="D1"/>
      <selection pane="bottomLeft" activeCell="A10" sqref="A10"/>
      <selection pane="bottomRight" activeCell="L29" sqref="L29"/>
    </sheetView>
  </sheetViews>
  <sheetFormatPr defaultColWidth="9.28515625" defaultRowHeight="20.25"/>
  <cols>
    <col min="1" max="1" width="8.5703125" style="329" customWidth="1"/>
    <col min="2" max="2" width="4.5703125" style="316" customWidth="1"/>
    <col min="3" max="3" width="72.28515625" style="316" customWidth="1"/>
    <col min="4" max="4" width="39.85546875" style="316" customWidth="1"/>
    <col min="5" max="5" width="27.42578125" style="330" customWidth="1"/>
    <col min="6" max="6" width="36.85546875" style="293" customWidth="1"/>
    <col min="7" max="7" width="16.7109375" style="1049" customWidth="1"/>
    <col min="8" max="8" width="33.7109375" style="293" customWidth="1"/>
    <col min="9" max="16384" width="9.28515625" style="12"/>
  </cols>
  <sheetData>
    <row r="1" spans="1:8">
      <c r="G1" s="1046"/>
      <c r="H1" s="284"/>
    </row>
    <row r="2" spans="1:8" ht="25.5" customHeight="1" thickBot="1">
      <c r="B2" s="331"/>
      <c r="C2" s="332"/>
      <c r="D2" s="1161"/>
      <c r="E2" s="1161"/>
      <c r="F2" s="1161"/>
      <c r="G2" s="1046"/>
      <c r="H2" s="284"/>
    </row>
    <row r="3" spans="1:8" ht="30" customHeight="1" thickBot="1">
      <c r="A3" s="333" t="s">
        <v>0</v>
      </c>
      <c r="B3" s="334"/>
      <c r="C3" s="334"/>
      <c r="D3" s="1162"/>
      <c r="E3" s="1162"/>
      <c r="F3" s="1163"/>
      <c r="G3" s="1029"/>
      <c r="H3" s="284"/>
    </row>
    <row r="4" spans="1:8" ht="24.6" customHeight="1">
      <c r="A4" s="335" t="s">
        <v>1</v>
      </c>
      <c r="B4" s="336"/>
      <c r="C4" s="336"/>
      <c r="D4" s="337"/>
      <c r="E4" s="337"/>
      <c r="F4" s="338"/>
      <c r="G4" s="1029"/>
      <c r="H4" s="768" t="s">
        <v>2</v>
      </c>
    </row>
    <row r="5" spans="1:8" s="17" customFormat="1" ht="61.5" thickBot="1">
      <c r="A5" s="339" t="s">
        <v>3</v>
      </c>
      <c r="B5" s="340"/>
      <c r="C5" s="340"/>
      <c r="D5" s="340"/>
      <c r="E5" s="341" t="s">
        <v>4</v>
      </c>
      <c r="F5" s="342" t="s">
        <v>5</v>
      </c>
      <c r="G5" s="1029"/>
      <c r="H5" s="767" t="s">
        <v>6</v>
      </c>
    </row>
    <row r="6" spans="1:8" s="16" customFormat="1" ht="23.25" customHeight="1">
      <c r="A6" s="344" t="s">
        <v>7</v>
      </c>
      <c r="B6" s="345"/>
      <c r="C6" s="345"/>
      <c r="D6" s="345"/>
      <c r="E6" s="326"/>
      <c r="F6" s="286"/>
      <c r="G6" s="1029"/>
      <c r="H6" s="286"/>
    </row>
    <row r="7" spans="1:8" s="13" customFormat="1">
      <c r="A7" s="346" t="s">
        <v>8</v>
      </c>
      <c r="B7" s="347"/>
      <c r="C7" s="348"/>
      <c r="D7" s="348"/>
      <c r="E7" s="349"/>
      <c r="F7" s="350"/>
      <c r="G7" s="1047"/>
      <c r="H7" s="287"/>
    </row>
    <row r="8" spans="1:8" s="13" customFormat="1">
      <c r="A8" s="351"/>
      <c r="B8" s="352"/>
      <c r="C8" s="352"/>
      <c r="D8" s="352"/>
      <c r="E8" s="326"/>
      <c r="F8" s="285"/>
      <c r="G8" s="1029"/>
      <c r="H8" s="774"/>
    </row>
    <row r="9" spans="1:8">
      <c r="A9" s="353"/>
      <c r="B9" s="354" t="s">
        <v>9</v>
      </c>
      <c r="E9" s="300"/>
      <c r="F9" s="290"/>
      <c r="G9" s="1048"/>
      <c r="H9" s="289"/>
    </row>
    <row r="10" spans="1:8">
      <c r="A10" s="355">
        <v>1</v>
      </c>
      <c r="B10" s="355"/>
      <c r="C10" s="285" t="s">
        <v>10</v>
      </c>
      <c r="D10" s="356"/>
      <c r="E10" s="357"/>
      <c r="F10" s="290" t="str">
        <f>"(Attachment 4, Line "&amp;'4 - Cost Support'!$A$33&amp;")"</f>
        <v>(Attachment 4, Line 16)</v>
      </c>
      <c r="H10" s="290">
        <f>+'4 - Cost Support'!T33</f>
        <v>5245554</v>
      </c>
    </row>
    <row r="11" spans="1:8">
      <c r="A11" s="330"/>
      <c r="F11" s="284"/>
      <c r="H11" s="284"/>
    </row>
    <row r="12" spans="1:8">
      <c r="A12" s="355">
        <f>+A10+1</f>
        <v>2</v>
      </c>
      <c r="B12" s="355"/>
      <c r="C12" s="285" t="s">
        <v>11</v>
      </c>
      <c r="D12" s="285"/>
      <c r="E12" s="357"/>
      <c r="F12" s="290" t="str">
        <f>"(Attachment 4, Line "&amp;'4 - Cost Support'!$A$31&amp;")"</f>
        <v>(Attachment 4, Line 14)</v>
      </c>
      <c r="H12" s="290">
        <f>+'4 - Cost Support'!T31</f>
        <v>36691634</v>
      </c>
    </row>
    <row r="13" spans="1:8">
      <c r="A13" s="355">
        <f>+A12+1</f>
        <v>3</v>
      </c>
      <c r="B13" s="355"/>
      <c r="C13" s="285" t="s">
        <v>12</v>
      </c>
      <c r="D13" s="285"/>
      <c r="E13" s="357"/>
      <c r="F13" s="294" t="str">
        <f>"(Attachment 4, Line "&amp;'4 - Cost Support'!$A$32&amp;")"</f>
        <v>(Attachment 4, Line 15)</v>
      </c>
      <c r="H13" s="290">
        <f>+'4 - Cost Support'!T32</f>
        <v>3688542</v>
      </c>
    </row>
    <row r="14" spans="1:8">
      <c r="A14" s="355">
        <f>+A13+1</f>
        <v>4</v>
      </c>
      <c r="B14" s="355"/>
      <c r="C14" s="358" t="s">
        <v>13</v>
      </c>
      <c r="D14" s="291"/>
      <c r="E14" s="359"/>
      <c r="F14" s="299" t="str">
        <f>"(Line "&amp;A12&amp;" - Line "&amp;A13&amp;")"</f>
        <v>(Line 2 - Line 3)</v>
      </c>
      <c r="G14" s="1041"/>
      <c r="H14" s="291">
        <f>H12-H13</f>
        <v>33003092</v>
      </c>
    </row>
    <row r="15" spans="1:8">
      <c r="A15" s="355"/>
      <c r="B15" s="355"/>
      <c r="C15" s="361"/>
      <c r="E15" s="300"/>
      <c r="F15" s="331"/>
      <c r="H15" s="289"/>
    </row>
    <row r="16" spans="1:8" ht="21" thickBot="1">
      <c r="A16" s="355">
        <v>5</v>
      </c>
      <c r="B16" s="362" t="s">
        <v>14</v>
      </c>
      <c r="C16" s="362"/>
      <c r="D16" s="363"/>
      <c r="E16" s="364"/>
      <c r="F16" s="365" t="str">
        <f>"(Line "&amp;A10&amp;" / Line "&amp;A14&amp;")"</f>
        <v>(Line 1 / Line 4)</v>
      </c>
      <c r="G16" s="1031"/>
      <c r="H16" s="702">
        <f>H10/H14</f>
        <v>0.15894128950099584</v>
      </c>
    </row>
    <row r="17" spans="1:8" ht="21" thickTop="1">
      <c r="A17" s="355"/>
      <c r="B17" s="355"/>
      <c r="C17" s="354"/>
      <c r="D17" s="331"/>
      <c r="E17" s="366"/>
      <c r="F17" s="331"/>
      <c r="H17" s="292"/>
    </row>
    <row r="18" spans="1:8">
      <c r="A18" s="330"/>
      <c r="B18" s="354" t="s">
        <v>15</v>
      </c>
      <c r="D18" s="293"/>
      <c r="F18" s="284"/>
    </row>
    <row r="19" spans="1:8">
      <c r="A19" s="367">
        <f>+A16+1</f>
        <v>6</v>
      </c>
      <c r="B19" s="293"/>
      <c r="C19" s="285" t="s">
        <v>16</v>
      </c>
      <c r="E19" s="357" t="str">
        <f>"(Note "&amp;B$296&amp;")"</f>
        <v>(Note A)</v>
      </c>
      <c r="F19" s="290" t="str">
        <f>"(Attachment 4, Line "&amp;'4 - Cost Support'!A9&amp;")"</f>
        <v>(Attachment 4, Line 1)</v>
      </c>
      <c r="H19" s="290">
        <f>+'4 - Cost Support'!T9</f>
        <v>2802775804.2210245</v>
      </c>
    </row>
    <row r="20" spans="1:8">
      <c r="A20" s="367">
        <f>+A19+1</f>
        <v>7</v>
      </c>
      <c r="B20" s="293"/>
      <c r="C20" s="368" t="s">
        <v>17</v>
      </c>
      <c r="D20" s="369"/>
      <c r="E20" s="370" t="str">
        <f>"(Note "&amp;B$296&amp;")"</f>
        <v>(Note A)</v>
      </c>
      <c r="F20" s="294" t="str">
        <f>"(Attachment 4, Line "&amp;'4 - Cost Support'!A11&amp;")"</f>
        <v>(Attachment 4, Line 3)</v>
      </c>
      <c r="G20" s="1050"/>
      <c r="H20" s="294">
        <f>+'4 - Cost Support'!T11</f>
        <v>-1242719251.0102472</v>
      </c>
    </row>
    <row r="21" spans="1:8">
      <c r="A21" s="355">
        <f>+A20+1</f>
        <v>8</v>
      </c>
      <c r="B21" s="293"/>
      <c r="C21" s="285" t="s">
        <v>18</v>
      </c>
      <c r="D21" s="373"/>
      <c r="E21" s="375"/>
      <c r="F21" s="295" t="str">
        <f>"(Line "&amp;A19&amp;" - Line "&amp;A20&amp;")"</f>
        <v>(Line 6 - Line 7)</v>
      </c>
      <c r="G21" s="1034"/>
      <c r="H21" s="297">
        <f>+H19+H20</f>
        <v>1560056553.2107773</v>
      </c>
    </row>
    <row r="22" spans="1:8">
      <c r="A22" s="330"/>
      <c r="B22" s="293"/>
      <c r="C22" s="284"/>
      <c r="D22" s="293"/>
      <c r="F22" s="284"/>
    </row>
    <row r="23" spans="1:8">
      <c r="A23" s="367">
        <f>+A21+1</f>
        <v>9</v>
      </c>
      <c r="B23" s="293"/>
      <c r="C23" s="284" t="s">
        <v>19</v>
      </c>
      <c r="D23" s="293"/>
      <c r="E23" s="357" t="str">
        <f>"(Note "&amp;B$296&amp;")"</f>
        <v>(Note A)</v>
      </c>
      <c r="F23" s="294" t="str">
        <f>"(Line "&amp;A42&amp;")"</f>
        <v>(Line 20)</v>
      </c>
      <c r="H23" s="792">
        <f>H42</f>
        <v>601069299.17047465</v>
      </c>
    </row>
    <row r="24" spans="1:8" ht="21" thickBot="1">
      <c r="A24" s="355">
        <f>+A23+1</f>
        <v>10</v>
      </c>
      <c r="B24" s="376" t="s">
        <v>20</v>
      </c>
      <c r="C24" s="377"/>
      <c r="D24" s="378"/>
      <c r="E24" s="379"/>
      <c r="F24" s="365" t="str">
        <f>"(Line "&amp;A23&amp;" / Line "&amp;A19&amp;")"</f>
        <v>(Line 9 / Line 6)</v>
      </c>
      <c r="G24" s="1031"/>
      <c r="H24" s="702">
        <f>H23/H19</f>
        <v>0.21445500502225501</v>
      </c>
    </row>
    <row r="25" spans="1:8" ht="21" thickTop="1">
      <c r="A25" s="330"/>
      <c r="C25" s="331"/>
      <c r="F25" s="284"/>
    </row>
    <row r="26" spans="1:8">
      <c r="A26" s="367">
        <f>+A24+1</f>
        <v>11</v>
      </c>
      <c r="B26" s="355"/>
      <c r="C26" s="380" t="s">
        <v>21</v>
      </c>
      <c r="D26" s="331"/>
      <c r="E26" s="357" t="str">
        <f>"(Note "&amp;B$296&amp;")"</f>
        <v>(Note A)</v>
      </c>
      <c r="F26" s="294" t="str">
        <f>"(Line "&amp;A57&amp;")"</f>
        <v>(Line 29)</v>
      </c>
      <c r="H26" s="703">
        <f>H57</f>
        <v>351494397.58542192</v>
      </c>
    </row>
    <row r="27" spans="1:8" ht="21" thickBot="1">
      <c r="A27" s="355">
        <f>+A26+1</f>
        <v>12</v>
      </c>
      <c r="B27" s="376" t="s">
        <v>22</v>
      </c>
      <c r="C27" s="377"/>
      <c r="D27" s="378"/>
      <c r="E27" s="379"/>
      <c r="F27" s="365" t="str">
        <f>"(Line "&amp;A26&amp;" / Line "&amp;A21&amp;")"</f>
        <v>(Line 11 / Line 8)</v>
      </c>
      <c r="G27" s="1031"/>
      <c r="H27" s="702">
        <f>H26/H21</f>
        <v>0.22530875362306943</v>
      </c>
    </row>
    <row r="28" spans="1:8" ht="21" thickTop="1">
      <c r="A28" s="355"/>
      <c r="B28" s="423"/>
      <c r="C28" s="343"/>
      <c r="D28" s="373"/>
      <c r="E28" s="375"/>
      <c r="F28" s="295"/>
      <c r="G28" s="1034"/>
      <c r="H28" s="596"/>
    </row>
    <row r="29" spans="1:8">
      <c r="A29" s="355"/>
      <c r="B29" s="423"/>
      <c r="C29" s="285"/>
      <c r="D29" s="373"/>
      <c r="E29" s="375"/>
      <c r="F29" s="295"/>
      <c r="G29" s="1034"/>
      <c r="H29" s="596"/>
    </row>
    <row r="30" spans="1:8" s="13" customFormat="1">
      <c r="A30" s="346" t="s">
        <v>23</v>
      </c>
      <c r="B30" s="347"/>
      <c r="C30" s="348"/>
      <c r="D30" s="348"/>
      <c r="E30" s="349"/>
      <c r="F30" s="350"/>
      <c r="G30" s="1047"/>
      <c r="H30" s="287"/>
    </row>
    <row r="31" spans="1:8" s="13" customFormat="1">
      <c r="A31" s="382"/>
      <c r="B31" s="383"/>
      <c r="C31" s="352"/>
      <c r="D31" s="352"/>
      <c r="E31" s="326"/>
      <c r="F31" s="285"/>
      <c r="G31" s="1029"/>
      <c r="H31" s="288"/>
    </row>
    <row r="32" spans="1:8">
      <c r="A32" s="330"/>
      <c r="B32" s="354" t="s">
        <v>24</v>
      </c>
      <c r="C32" s="331"/>
      <c r="E32" s="366"/>
      <c r="F32" s="290"/>
      <c r="G32" s="1030"/>
      <c r="H32" s="289"/>
    </row>
    <row r="33" spans="1:8">
      <c r="A33" s="367">
        <f>+A27+1</f>
        <v>13</v>
      </c>
      <c r="B33" s="367"/>
      <c r="C33" s="380" t="s">
        <v>25</v>
      </c>
      <c r="D33" s="331"/>
      <c r="E33" s="357" t="str">
        <f>"(Note "&amp;B$296&amp;" &amp; "&amp;B305&amp;")"</f>
        <v>(Note A &amp; J)</v>
      </c>
      <c r="F33" s="290" t="str">
        <f>"(Attachment 4, Line "&amp;'4 - Cost Support'!A17&amp;")"</f>
        <v>(Attachment 4, Line 7)</v>
      </c>
      <c r="H33" s="290">
        <f>+'4 - Cost Support'!T17</f>
        <v>584259533.27753854</v>
      </c>
    </row>
    <row r="34" spans="1:8" s="13" customFormat="1">
      <c r="A34" s="367"/>
      <c r="B34" s="367"/>
      <c r="C34" s="380"/>
      <c r="D34" s="331"/>
      <c r="E34" s="384"/>
      <c r="F34" s="290"/>
      <c r="G34" s="1046"/>
      <c r="H34" s="290"/>
    </row>
    <row r="35" spans="1:8">
      <c r="A35" s="367">
        <f>+A33+1</f>
        <v>14</v>
      </c>
      <c r="B35" s="367"/>
      <c r="C35" s="380" t="s">
        <v>26</v>
      </c>
      <c r="D35" s="331"/>
      <c r="E35" s="357" t="str">
        <f>"(Note "&amp;B$296&amp;")"</f>
        <v>(Note A)</v>
      </c>
      <c r="F35" s="290" t="str">
        <f>"(Attachment 4, Line "&amp;'4 - Cost Support'!A18&amp;")"</f>
        <v>(Attachment 4, Line 8)</v>
      </c>
      <c r="G35" s="1046"/>
      <c r="H35" s="290">
        <f>+'4 - Cost Support'!T18</f>
        <v>57989631.634955995</v>
      </c>
    </row>
    <row r="36" spans="1:8">
      <c r="A36" s="367">
        <f>A35+1</f>
        <v>15</v>
      </c>
      <c r="B36" s="367"/>
      <c r="C36" s="380" t="s">
        <v>27</v>
      </c>
      <c r="D36" s="331"/>
      <c r="E36" s="357" t="str">
        <f>"(Note "&amp;B$296&amp;")"</f>
        <v>(Note A)</v>
      </c>
      <c r="F36" s="290" t="str">
        <f>"(Attachment 4, Line "&amp;'4 - Cost Support'!A19&amp;")"</f>
        <v>(Attachment 4, Line 9)</v>
      </c>
      <c r="G36" s="1046"/>
      <c r="H36" s="290">
        <f>+'4 - Cost Support'!T19</f>
        <v>47771218.460769221</v>
      </c>
    </row>
    <row r="37" spans="1:8">
      <c r="A37" s="367">
        <f>A36+1</f>
        <v>16</v>
      </c>
      <c r="B37" s="367"/>
      <c r="C37" s="380" t="s">
        <v>28</v>
      </c>
      <c r="D37" s="331"/>
      <c r="E37" s="357" t="str">
        <f>"(Note "&amp;B$296&amp;")"</f>
        <v>(Note A)</v>
      </c>
      <c r="F37" s="294" t="str">
        <f>"(Attachment 4, Line "&amp;'4 - Cost Support'!A20&amp;")"</f>
        <v>(Attachment 4, Line 10)</v>
      </c>
      <c r="G37" s="1046"/>
      <c r="H37" s="290">
        <f>+'4 - Cost Support'!T20</f>
        <v>0</v>
      </c>
    </row>
    <row r="38" spans="1:8">
      <c r="A38" s="367">
        <f>A37+1</f>
        <v>17</v>
      </c>
      <c r="B38" s="367"/>
      <c r="C38" s="358" t="s">
        <v>29</v>
      </c>
      <c r="D38" s="386"/>
      <c r="E38" s="387"/>
      <c r="F38" s="295" t="str">
        <f>"(Line "&amp;A35&amp;" + Line "&amp;A36&amp;" + Line "&amp;A37&amp;")"</f>
        <v>(Line 14 + Line 15 + Line 16)</v>
      </c>
      <c r="G38" s="1032"/>
      <c r="H38" s="299">
        <f>SUM(H35:H37)</f>
        <v>105760850.09572521</v>
      </c>
    </row>
    <row r="39" spans="1:8">
      <c r="A39" s="367">
        <f>+A38+1</f>
        <v>18</v>
      </c>
      <c r="B39" s="367"/>
      <c r="C39" s="391" t="s">
        <v>30</v>
      </c>
      <c r="D39" s="380"/>
      <c r="E39" s="366"/>
      <c r="F39" s="294" t="str">
        <f>"(Line "&amp;A$16&amp;")"</f>
        <v>(Line 5)</v>
      </c>
      <c r="G39" s="1030"/>
      <c r="H39" s="687">
        <f>H16</f>
        <v>0.15894128950099584</v>
      </c>
    </row>
    <row r="40" spans="1:8">
      <c r="A40" s="367">
        <f>A39+1</f>
        <v>19</v>
      </c>
      <c r="B40" s="284"/>
      <c r="C40" s="358" t="s">
        <v>31</v>
      </c>
      <c r="D40" s="371"/>
      <c r="E40" s="393"/>
      <c r="F40" s="295" t="str">
        <f>"(Line "&amp;A38&amp;" * Line "&amp;A39&amp;")"</f>
        <v>(Line 17 * Line 18)</v>
      </c>
      <c r="G40" s="1032"/>
      <c r="H40" s="704">
        <f>+H38*H39</f>
        <v>16809765.892936084</v>
      </c>
    </row>
    <row r="41" spans="1:8">
      <c r="A41" s="384"/>
      <c r="B41" s="293"/>
      <c r="C41" s="354"/>
      <c r="D41" s="284"/>
      <c r="E41" s="384"/>
      <c r="F41" s="284"/>
      <c r="H41" s="322"/>
    </row>
    <row r="42" spans="1:8" s="17" customFormat="1" ht="21" thickBot="1">
      <c r="A42" s="367">
        <f>+A40+1</f>
        <v>20</v>
      </c>
      <c r="B42" s="376" t="s">
        <v>32</v>
      </c>
      <c r="C42" s="377"/>
      <c r="D42" s="377"/>
      <c r="E42" s="395"/>
      <c r="F42" s="365" t="str">
        <f>"(Line "&amp;A33&amp;" + Line "&amp;A40&amp;")"</f>
        <v>(Line 13 + Line 19)</v>
      </c>
      <c r="G42" s="1031"/>
      <c r="H42" s="705">
        <f>+H33+H40</f>
        <v>601069299.17047465</v>
      </c>
    </row>
    <row r="43" spans="1:8" ht="21" thickTop="1">
      <c r="A43" s="384"/>
      <c r="B43" s="293"/>
      <c r="C43" s="284"/>
      <c r="D43" s="284"/>
      <c r="E43" s="384"/>
    </row>
    <row r="44" spans="1:8">
      <c r="A44" s="367"/>
      <c r="B44" s="354" t="s">
        <v>33</v>
      </c>
      <c r="C44" s="354"/>
      <c r="D44" s="290"/>
      <c r="E44" s="357"/>
      <c r="F44" s="289"/>
      <c r="G44" s="1051"/>
      <c r="H44" s="290"/>
    </row>
    <row r="45" spans="1:8">
      <c r="A45" s="384"/>
      <c r="B45" s="331"/>
      <c r="C45" s="331"/>
      <c r="D45" s="331"/>
      <c r="E45" s="384"/>
      <c r="F45" s="290"/>
      <c r="G45" s="1048"/>
      <c r="H45" s="289"/>
    </row>
    <row r="46" spans="1:8">
      <c r="A46" s="367">
        <f>+A42+1</f>
        <v>21</v>
      </c>
      <c r="B46" s="367"/>
      <c r="C46" s="380" t="s">
        <v>34</v>
      </c>
      <c r="D46" s="331"/>
      <c r="E46" s="357" t="str">
        <f>"(Note "&amp;B$296&amp;")"</f>
        <v>(Note A)</v>
      </c>
      <c r="F46" s="290" t="str">
        <f>"(Attachment 4, Line "&amp;'4 - Cost Support'!A23&amp;")"</f>
        <v>(Attachment 4, Line 11)</v>
      </c>
      <c r="G46" s="1048"/>
      <c r="H46" s="290">
        <f>+'4 - Cost Support'!T23</f>
        <v>-241043628.42560709</v>
      </c>
    </row>
    <row r="47" spans="1:8">
      <c r="A47" s="367"/>
      <c r="B47" s="367"/>
      <c r="C47" s="388"/>
      <c r="D47" s="352"/>
      <c r="E47" s="357"/>
      <c r="F47" s="295"/>
      <c r="G47" s="1029"/>
      <c r="H47" s="295"/>
    </row>
    <row r="48" spans="1:8">
      <c r="A48" s="367">
        <f>A46+1</f>
        <v>22</v>
      </c>
      <c r="B48" s="367"/>
      <c r="C48" s="388" t="s">
        <v>35</v>
      </c>
      <c r="D48" s="352"/>
      <c r="E48" s="357" t="str">
        <f>"(Note "&amp;B$296&amp;")"</f>
        <v>(Note A)</v>
      </c>
      <c r="F48" s="290" t="str">
        <f>"(Attachment 4, Line "&amp;'4 - Cost Support'!A24&amp;")"</f>
        <v>(Attachment 4, Line 12)</v>
      </c>
      <c r="G48" s="1029"/>
      <c r="H48" s="295">
        <f>+'4 - Cost Support'!T24</f>
        <v>-20499770.652579337</v>
      </c>
    </row>
    <row r="49" spans="1:8">
      <c r="A49" s="367">
        <f>+A48+1</f>
        <v>23</v>
      </c>
      <c r="B49" s="367"/>
      <c r="C49" s="388" t="s">
        <v>36</v>
      </c>
      <c r="D49" s="352"/>
      <c r="E49" s="357" t="str">
        <f>"(Note "&amp;B$296&amp;")"</f>
        <v>(Note A)</v>
      </c>
      <c r="F49" s="290" t="str">
        <f>"(Attachment 4, Line "&amp;'4 - Cost Support'!A12&amp;")"</f>
        <v>(Attachment 4, Line 4)</v>
      </c>
      <c r="G49" s="1029"/>
      <c r="H49" s="295">
        <f>+'4 - Cost Support'!T12</f>
        <v>-33175855.021718282</v>
      </c>
    </row>
    <row r="50" spans="1:8">
      <c r="A50" s="367">
        <f>+A49+1</f>
        <v>24</v>
      </c>
      <c r="B50" s="367"/>
      <c r="C50" s="368" t="s">
        <v>37</v>
      </c>
      <c r="D50" s="390"/>
      <c r="E50" s="370" t="str">
        <f>"(Note "&amp;B$296&amp;")"</f>
        <v>(Note A)</v>
      </c>
      <c r="F50" s="294" t="str">
        <f>"(Attachment 4, Line "&amp;'4 - Cost Support'!A25&amp;")"</f>
        <v>(Attachment 4, Line 13)</v>
      </c>
      <c r="G50" s="1033"/>
      <c r="H50" s="294">
        <f>+'4 - Cost Support'!T25</f>
        <v>0</v>
      </c>
    </row>
    <row r="51" spans="1:8">
      <c r="A51" s="367">
        <f>+A50+1</f>
        <v>25</v>
      </c>
      <c r="B51" s="367"/>
      <c r="C51" s="388" t="s">
        <v>38</v>
      </c>
      <c r="D51" s="352"/>
      <c r="E51" s="394"/>
      <c r="F51" s="295" t="str">
        <f>"(Line "&amp;A48&amp;" + "&amp;A49&amp;" + "&amp;A50&amp;")"</f>
        <v>(Line 22 + 23 + 24)</v>
      </c>
      <c r="G51" s="1052"/>
      <c r="H51" s="295">
        <f>+H48+H50+H49</f>
        <v>-53675625.674297616</v>
      </c>
    </row>
    <row r="52" spans="1:8">
      <c r="A52" s="367">
        <f>+A51+1</f>
        <v>26</v>
      </c>
      <c r="B52" s="367"/>
      <c r="C52" s="388" t="str">
        <f>+C39</f>
        <v>Wage &amp; Salary Allocator</v>
      </c>
      <c r="D52" s="352"/>
      <c r="E52" s="394"/>
      <c r="F52" s="294" t="str">
        <f>"(Line "&amp;A$16&amp;")"</f>
        <v>(Line 5)</v>
      </c>
      <c r="G52" s="1052"/>
      <c r="H52" s="706">
        <f>H16</f>
        <v>0.15894128950099584</v>
      </c>
    </row>
    <row r="53" spans="1:8">
      <c r="A53" s="367">
        <f>+A52+1</f>
        <v>27</v>
      </c>
      <c r="B53" s="284"/>
      <c r="C53" s="358" t="s">
        <v>39</v>
      </c>
      <c r="D53" s="371"/>
      <c r="E53" s="387"/>
      <c r="F53" s="295" t="str">
        <f>"(Line "&amp;A51&amp;" * Line "&amp;A52&amp;")"</f>
        <v>(Line 25 * Line 26)</v>
      </c>
      <c r="G53" s="1032"/>
      <c r="H53" s="704">
        <f>H51*H52</f>
        <v>-8531273.1594456229</v>
      </c>
    </row>
    <row r="54" spans="1:8">
      <c r="A54" s="384"/>
      <c r="B54" s="293"/>
      <c r="C54" s="293"/>
      <c r="D54" s="293"/>
      <c r="F54" s="330"/>
      <c r="H54" s="703"/>
    </row>
    <row r="55" spans="1:8" ht="21" thickBot="1">
      <c r="A55" s="367">
        <f>+A53+1</f>
        <v>28</v>
      </c>
      <c r="B55" s="376" t="s">
        <v>40</v>
      </c>
      <c r="C55" s="376"/>
      <c r="D55" s="376"/>
      <c r="E55" s="397"/>
      <c r="F55" s="398" t="str">
        <f>"(Lines "&amp;A46&amp;" + "&amp;A53&amp;")"</f>
        <v>(Lines 21 + 27)</v>
      </c>
      <c r="G55" s="1031"/>
      <c r="H55" s="705">
        <f>+H46+H53</f>
        <v>-249574901.5850527</v>
      </c>
    </row>
    <row r="56" spans="1:8" ht="21" thickTop="1">
      <c r="A56" s="384"/>
      <c r="B56" s="293"/>
      <c r="C56" s="293"/>
      <c r="D56" s="293"/>
      <c r="F56" s="284"/>
      <c r="H56" s="440"/>
    </row>
    <row r="57" spans="1:8" ht="21" thickBot="1">
      <c r="A57" s="367">
        <f>+A55+1</f>
        <v>29</v>
      </c>
      <c r="B57" s="376" t="s">
        <v>41</v>
      </c>
      <c r="C57" s="376"/>
      <c r="D57" s="376"/>
      <c r="E57" s="397"/>
      <c r="F57" s="365" t="str">
        <f>"(Line "&amp;A42&amp;" - Line "&amp;A55&amp;")"</f>
        <v>(Line 20 - Line 28)</v>
      </c>
      <c r="G57" s="1031"/>
      <c r="H57" s="705">
        <f>H42+H55</f>
        <v>351494397.58542192</v>
      </c>
    </row>
    <row r="58" spans="1:8" ht="21" thickTop="1">
      <c r="A58" s="330"/>
      <c r="B58" s="293"/>
      <c r="C58" s="293"/>
      <c r="D58" s="293"/>
      <c r="F58" s="284"/>
    </row>
    <row r="59" spans="1:8">
      <c r="A59" s="346" t="s">
        <v>42</v>
      </c>
      <c r="B59" s="348"/>
      <c r="C59" s="348"/>
      <c r="D59" s="348"/>
      <c r="E59" s="349"/>
      <c r="F59" s="350"/>
      <c r="G59" s="1047"/>
      <c r="H59" s="301"/>
    </row>
    <row r="60" spans="1:8">
      <c r="A60" s="399"/>
      <c r="B60" s="400"/>
      <c r="C60" s="400"/>
      <c r="D60" s="400"/>
      <c r="H60" s="774"/>
    </row>
    <row r="61" spans="1:8">
      <c r="A61" s="384"/>
      <c r="B61" s="401" t="s">
        <v>43</v>
      </c>
      <c r="D61" s="284"/>
      <c r="E61" s="402"/>
      <c r="H61" s="289"/>
    </row>
    <row r="62" spans="1:8">
      <c r="A62" s="384">
        <f>+A57+1</f>
        <v>30</v>
      </c>
      <c r="B62" s="401"/>
      <c r="C62" s="403" t="s">
        <v>44</v>
      </c>
      <c r="D62" s="404"/>
      <c r="E62" s="357" t="str">
        <f>"(Notes "&amp;B$307&amp;" and "&amp;B311&amp;")"</f>
        <v>(Notes L and P)</v>
      </c>
      <c r="F62" s="290" t="str">
        <f>"(Attachment 1A, Line "&amp;'1A - ADIT'!A19&amp;")"</f>
        <v>(Attachment 1A, Line 11)</v>
      </c>
      <c r="H62" s="302">
        <f>+'1A - ADIT'!H19</f>
        <v>-59385032.150665015</v>
      </c>
    </row>
    <row r="63" spans="1:8">
      <c r="A63" s="384"/>
      <c r="B63" s="284"/>
      <c r="C63" s="401"/>
      <c r="D63" s="285"/>
      <c r="E63" s="1074"/>
      <c r="F63" s="285"/>
      <c r="G63" s="1034"/>
      <c r="H63" s="302"/>
    </row>
    <row r="64" spans="1:8">
      <c r="A64" s="384"/>
      <c r="B64" s="401" t="s">
        <v>43</v>
      </c>
      <c r="D64" s="285"/>
      <c r="E64" s="1074"/>
      <c r="F64" s="285"/>
      <c r="G64" s="1034"/>
      <c r="H64" s="302"/>
    </row>
    <row r="65" spans="1:8">
      <c r="A65" s="384">
        <f>+A62+1</f>
        <v>31</v>
      </c>
      <c r="B65" s="401"/>
      <c r="C65" s="403" t="s">
        <v>45</v>
      </c>
      <c r="D65" s="285"/>
      <c r="E65" s="357" t="str">
        <f>"(Note "&amp;B307&amp;" and "&amp;B309&amp;")"</f>
        <v>(Note L and N)</v>
      </c>
      <c r="F65" s="290" t="str">
        <f>"(Attachment 4, Line "&amp;'4 - Cost Support'!A203&amp;")"</f>
        <v>(Attachment 4, Line 78)</v>
      </c>
      <c r="G65" s="1034"/>
      <c r="H65" s="302">
        <f>+'4 - Cost Support'!T203</f>
        <v>-28673358.196358182</v>
      </c>
    </row>
    <row r="66" spans="1:8">
      <c r="A66" s="384"/>
      <c r="B66" s="401"/>
      <c r="C66" s="403"/>
      <c r="D66" s="285"/>
      <c r="E66" s="357"/>
      <c r="F66" s="285"/>
      <c r="G66" s="1034"/>
      <c r="H66" s="302"/>
    </row>
    <row r="67" spans="1:8">
      <c r="A67" s="367"/>
      <c r="B67" s="405" t="s">
        <v>46</v>
      </c>
      <c r="C67" s="284"/>
      <c r="D67" s="284"/>
      <c r="E67" s="284"/>
      <c r="F67" s="331"/>
      <c r="G67" s="1046"/>
      <c r="H67" s="284"/>
    </row>
    <row r="68" spans="1:8">
      <c r="A68" s="367">
        <f>+A65+1</f>
        <v>32</v>
      </c>
      <c r="B68" s="353"/>
      <c r="C68" s="388" t="s">
        <v>47</v>
      </c>
      <c r="D68" s="357"/>
      <c r="E68" s="357" t="str">
        <f>"(Note "&amp;B$296&amp;" &amp; "&amp;B$301&amp;")"</f>
        <v>(Note A &amp; F)</v>
      </c>
      <c r="F68" s="290" t="str">
        <f>"(Attachment 5, Line "&amp;'5 - CWIP in Rate Base'!A35&amp;")"</f>
        <v>(Attachment 5, Line 25)</v>
      </c>
      <c r="G68" s="1029"/>
      <c r="H68" s="295">
        <f>+'5 - CWIP in Rate Base'!S35</f>
        <v>9780183.7565203607</v>
      </c>
    </row>
    <row r="69" spans="1:8">
      <c r="A69" s="367"/>
      <c r="B69" s="353"/>
      <c r="C69" s="388"/>
      <c r="D69" s="357"/>
      <c r="E69" s="357"/>
      <c r="F69" s="351"/>
      <c r="G69" s="1029"/>
      <c r="H69" s="295"/>
    </row>
    <row r="70" spans="1:8" s="58" customFormat="1">
      <c r="A70" s="367"/>
      <c r="B70" s="405" t="s">
        <v>48</v>
      </c>
      <c r="C70" s="284"/>
      <c r="D70" s="284"/>
      <c r="E70" s="284"/>
      <c r="F70" s="331"/>
      <c r="G70" s="1046"/>
      <c r="H70" s="284"/>
    </row>
    <row r="71" spans="1:8" s="58" customFormat="1">
      <c r="A71" s="367">
        <f>+A68+1</f>
        <v>33</v>
      </c>
      <c r="B71" s="353"/>
      <c r="C71" s="388" t="s">
        <v>49</v>
      </c>
      <c r="D71" s="357"/>
      <c r="E71" s="357" t="str">
        <f>"(Note "&amp;B296&amp;" and "&amp;B$308&amp;")"</f>
        <v>(Note A and M)</v>
      </c>
      <c r="F71" s="290" t="str">
        <f>"(Attachment 4, Line "&amp;'4 - Cost Support'!A195&amp;")"</f>
        <v>(Attachment 4, Line 77)</v>
      </c>
      <c r="G71" s="1029"/>
      <c r="H71" s="295">
        <f>+'4 - Cost Support'!K195</f>
        <v>0</v>
      </c>
    </row>
    <row r="72" spans="1:8">
      <c r="A72" s="367"/>
      <c r="B72" s="367"/>
      <c r="C72" s="388"/>
      <c r="D72" s="357"/>
      <c r="E72" s="351"/>
      <c r="F72" s="374"/>
      <c r="G72" s="1052"/>
      <c r="H72" s="284"/>
    </row>
    <row r="73" spans="1:8">
      <c r="A73" s="367">
        <f>+A71+1</f>
        <v>34</v>
      </c>
      <c r="B73" s="406" t="s">
        <v>50</v>
      </c>
      <c r="D73" s="407"/>
      <c r="E73" s="357" t="str">
        <f>"(Note "&amp;B$297&amp;" &amp; "&amp;B$307&amp;")"</f>
        <v>(Note B &amp; L)</v>
      </c>
      <c r="F73" s="290" t="str">
        <f>"(Attachment 4, Line "&amp;'4 - Cost Support'!A40&amp;")"</f>
        <v>(Attachment 4, Line 17)</v>
      </c>
      <c r="G73" s="1029"/>
      <c r="H73" s="295">
        <f>'4 - Cost Support'!S40</f>
        <v>42369</v>
      </c>
    </row>
    <row r="74" spans="1:8">
      <c r="A74" s="367"/>
      <c r="B74" s="367"/>
      <c r="C74" s="388"/>
      <c r="D74" s="357"/>
      <c r="E74" s="351"/>
      <c r="F74" s="374"/>
      <c r="G74" s="1052"/>
      <c r="H74" s="284"/>
    </row>
    <row r="75" spans="1:8">
      <c r="A75" s="367"/>
      <c r="B75" s="408" t="s">
        <v>51</v>
      </c>
      <c r="C75" s="391"/>
      <c r="D75" s="331"/>
      <c r="E75" s="384"/>
      <c r="F75" s="409"/>
      <c r="G75" s="1048"/>
      <c r="H75" s="284"/>
    </row>
    <row r="76" spans="1:8">
      <c r="A76" s="367">
        <f>+A73+1</f>
        <v>35</v>
      </c>
      <c r="B76" s="410"/>
      <c r="C76" s="411" t="s">
        <v>52</v>
      </c>
      <c r="D76" s="357"/>
      <c r="E76" s="357" t="str">
        <f>"(Note "&amp;B$296&amp;")"</f>
        <v>(Note A)</v>
      </c>
      <c r="F76" s="290" t="str">
        <f>"(Attachment 4, Line "&amp;'4 - Cost Support'!A51&amp;")"</f>
        <v>(Attachment 4, Line 22)</v>
      </c>
      <c r="G76" s="1053"/>
      <c r="H76" s="303">
        <f>+'4 - Cost Support'!T51</f>
        <v>7863209.9861538485</v>
      </c>
    </row>
    <row r="77" spans="1:8">
      <c r="A77" s="367">
        <f>+A76+1</f>
        <v>36</v>
      </c>
      <c r="B77" s="410"/>
      <c r="C77" s="414" t="s">
        <v>30</v>
      </c>
      <c r="D77" s="385"/>
      <c r="E77" s="415"/>
      <c r="F77" s="294" t="str">
        <f>"(Line "&amp;A$16&amp;")"</f>
        <v>(Line 5)</v>
      </c>
      <c r="G77" s="1054"/>
      <c r="H77" s="687">
        <f>+H16</f>
        <v>0.15894128950099584</v>
      </c>
    </row>
    <row r="78" spans="1:8">
      <c r="A78" s="367">
        <f>+A77+1</f>
        <v>37</v>
      </c>
      <c r="B78" s="410"/>
      <c r="C78" s="391" t="s">
        <v>53</v>
      </c>
      <c r="D78" s="331"/>
      <c r="E78" s="384"/>
      <c r="F78" s="295" t="str">
        <f>"(Line "&amp;A76&amp;" * Line "&amp;A77&amp;")"</f>
        <v>(Line 35 * Line 36)</v>
      </c>
      <c r="G78" s="1048"/>
      <c r="H78" s="305">
        <f>H76*H77</f>
        <v>1249788.7348164003</v>
      </c>
    </row>
    <row r="79" spans="1:8">
      <c r="A79" s="355"/>
      <c r="B79" s="412"/>
      <c r="C79" s="391"/>
      <c r="E79" s="355"/>
      <c r="F79" s="311"/>
      <c r="G79" s="1048"/>
      <c r="H79" s="304"/>
    </row>
    <row r="80" spans="1:8">
      <c r="A80" s="367"/>
      <c r="B80" s="408" t="s">
        <v>54</v>
      </c>
      <c r="C80" s="284"/>
      <c r="D80" s="284"/>
      <c r="E80" s="413"/>
      <c r="F80" s="311"/>
      <c r="G80" s="1048"/>
      <c r="H80" s="304"/>
    </row>
    <row r="81" spans="1:8">
      <c r="A81" s="384">
        <f>+A78+1</f>
        <v>38</v>
      </c>
      <c r="B81" s="284"/>
      <c r="C81" s="284" t="s">
        <v>55</v>
      </c>
      <c r="D81" s="331"/>
      <c r="E81" s="357" t="str">
        <f>"(Note "&amp;B$296&amp;")"</f>
        <v>(Note A)</v>
      </c>
      <c r="F81" s="290" t="str">
        <f>"(Attachment 4, Line "&amp;'4 - Cost Support'!A59&amp;")"</f>
        <v>(Attachment 4, Line 23)</v>
      </c>
      <c r="H81" s="290">
        <f>+'4 - Cost Support'!T59</f>
        <v>-212037.30769230769</v>
      </c>
    </row>
    <row r="82" spans="1:8">
      <c r="A82" s="367">
        <f>+A81+1</f>
        <v>39</v>
      </c>
      <c r="B82" s="412"/>
      <c r="C82" s="414" t="s">
        <v>30</v>
      </c>
      <c r="D82" s="385"/>
      <c r="E82" s="415"/>
      <c r="F82" s="294" t="str">
        <f>"(Line "&amp;A$16&amp;")"</f>
        <v>(Line 5)</v>
      </c>
      <c r="G82" s="1054"/>
      <c r="H82" s="687">
        <f>H16</f>
        <v>0.15894128950099584</v>
      </c>
    </row>
    <row r="83" spans="1:8">
      <c r="A83" s="367">
        <f>+A82+1</f>
        <v>40</v>
      </c>
      <c r="B83" s="412"/>
      <c r="C83" s="391" t="s">
        <v>56</v>
      </c>
      <c r="D83" s="331"/>
      <c r="E83" s="384"/>
      <c r="F83" s="295" t="str">
        <f>"(Line "&amp;A81&amp;" * Line "&amp;A82&amp;")"</f>
        <v>(Line 38 * Line 39)</v>
      </c>
      <c r="G83" s="1048"/>
      <c r="H83" s="305">
        <f>H81*H82</f>
        <v>-33701.483106934807</v>
      </c>
    </row>
    <row r="84" spans="1:8">
      <c r="A84" s="367"/>
      <c r="B84" s="412"/>
      <c r="C84" s="391" t="s">
        <v>57</v>
      </c>
      <c r="D84" s="331"/>
      <c r="E84" s="357" t="str">
        <f>"(Note "&amp;B$296&amp;" &amp; "&amp;B315&amp;")"</f>
        <v>(Note A &amp; T)</v>
      </c>
      <c r="F84" s="295" t="str">
        <f>"(Attachment 4, Line "&amp;'4 - Cost Support'!A61&amp;")"</f>
        <v>(Attachment 4, Line 25)</v>
      </c>
      <c r="G84" s="1048"/>
      <c r="H84" s="322">
        <f>+'4 - Cost Support'!T61</f>
        <v>632463.23076923075</v>
      </c>
    </row>
    <row r="85" spans="1:8">
      <c r="A85" s="367">
        <f>A83+1</f>
        <v>41</v>
      </c>
      <c r="B85" s="412"/>
      <c r="C85" s="391" t="s">
        <v>58</v>
      </c>
      <c r="D85" s="331"/>
      <c r="E85" s="357" t="str">
        <f>"(Note  "&amp;B$296&amp;" )"</f>
        <v>(Note  A )</v>
      </c>
      <c r="F85" s="294" t="str">
        <f>"(Attachment 4, Line "&amp;'4 - Cost Support'!A60&amp;")"</f>
        <v>(Attachment 4, Line 24)</v>
      </c>
      <c r="G85" s="1048"/>
      <c r="H85" s="306">
        <f>+'4 - Cost Support'!T60</f>
        <v>145324.15384615384</v>
      </c>
    </row>
    <row r="86" spans="1:8" ht="27.75" customHeight="1">
      <c r="A86" s="367">
        <f>A85+1</f>
        <v>42</v>
      </c>
      <c r="B86" s="412"/>
      <c r="C86" s="371" t="s">
        <v>59</v>
      </c>
      <c r="D86" s="386"/>
      <c r="E86" s="416"/>
      <c r="F86" s="295" t="str">
        <f>"(Line "&amp;A83&amp;" + Line "&amp;A85&amp;")"</f>
        <v>(Line 40 + Line 41)</v>
      </c>
      <c r="G86" s="1055"/>
      <c r="H86" s="322">
        <f>H83+H84+H85</f>
        <v>744085.90150844981</v>
      </c>
    </row>
    <row r="87" spans="1:8" ht="27.75" customHeight="1">
      <c r="A87" s="367"/>
      <c r="B87" s="412"/>
      <c r="C87" s="285"/>
      <c r="D87" s="352"/>
      <c r="E87" s="470"/>
      <c r="F87" s="295"/>
      <c r="G87" s="1056"/>
      <c r="H87" s="296"/>
    </row>
    <row r="88" spans="1:8">
      <c r="A88" s="367"/>
      <c r="B88" s="408" t="s">
        <v>60</v>
      </c>
      <c r="C88" s="284"/>
      <c r="D88" s="331"/>
      <c r="F88" s="311"/>
      <c r="G88" s="1048"/>
    </row>
    <row r="89" spans="1:8">
      <c r="A89" s="367">
        <f>+A86+1</f>
        <v>43</v>
      </c>
      <c r="B89" s="412"/>
      <c r="C89" s="391" t="s">
        <v>61</v>
      </c>
      <c r="D89" s="327"/>
      <c r="E89" s="384"/>
      <c r="F89" s="295" t="str">
        <f>"(Line "&amp;A$144&amp;")"</f>
        <v>(Line 78)</v>
      </c>
      <c r="G89" s="1048"/>
      <c r="H89" s="303">
        <f>H144</f>
        <v>16613289.12522961</v>
      </c>
    </row>
    <row r="90" spans="1:8">
      <c r="A90" s="367">
        <f>+A89+1</f>
        <v>44</v>
      </c>
      <c r="B90" s="412"/>
      <c r="C90" s="327" t="s">
        <v>62</v>
      </c>
      <c r="D90" s="327"/>
      <c r="E90" s="384"/>
      <c r="F90" s="414"/>
      <c r="H90" s="307">
        <v>0</v>
      </c>
    </row>
    <row r="91" spans="1:8" s="17" customFormat="1">
      <c r="A91" s="367">
        <f>+A90+1</f>
        <v>45</v>
      </c>
      <c r="B91" s="392"/>
      <c r="C91" s="417" t="s">
        <v>63</v>
      </c>
      <c r="D91" s="418"/>
      <c r="E91" s="419"/>
      <c r="F91" s="295" t="str">
        <f>"(Line "&amp;A89&amp;" * Line "&amp;A90&amp;")"</f>
        <v>(Line 43 * Line 44)</v>
      </c>
      <c r="G91" s="1032"/>
      <c r="H91" s="302">
        <f>H89*H90</f>
        <v>0</v>
      </c>
    </row>
    <row r="92" spans="1:8" s="17" customFormat="1">
      <c r="A92" s="367"/>
      <c r="B92" s="392"/>
      <c r="C92" s="411"/>
      <c r="D92" s="351"/>
      <c r="E92" s="501"/>
      <c r="F92" s="295"/>
      <c r="G92" s="1029"/>
      <c r="H92" s="302"/>
    </row>
    <row r="93" spans="1:8" s="17" customFormat="1">
      <c r="A93" s="367"/>
      <c r="B93" s="408" t="s">
        <v>64</v>
      </c>
      <c r="C93" s="411"/>
      <c r="D93" s="351"/>
      <c r="E93" s="501"/>
      <c r="F93" s="295"/>
      <c r="G93" s="1029"/>
      <c r="H93" s="302"/>
    </row>
    <row r="94" spans="1:8" s="17" customFormat="1">
      <c r="A94" s="367">
        <f>+A91+1</f>
        <v>46</v>
      </c>
      <c r="B94" s="392"/>
      <c r="C94" s="411" t="s">
        <v>65</v>
      </c>
      <c r="D94" s="351"/>
      <c r="E94" s="357" t="str">
        <f>"(Note  "&amp;B$296&amp;")"</f>
        <v>(Note  A)</v>
      </c>
      <c r="F94" s="290" t="str">
        <f>"(Attachment 4, Line "&amp;'4 - Cost Support'!A212&amp;")"</f>
        <v>(Attachment 4, Line 79)</v>
      </c>
      <c r="G94" s="1029"/>
      <c r="H94" s="302">
        <f>+'4 - Cost Support'!T212</f>
        <v>0</v>
      </c>
    </row>
    <row r="95" spans="1:8" s="17" customFormat="1">
      <c r="A95" s="367">
        <f>+A94+1</f>
        <v>47</v>
      </c>
      <c r="B95" s="392"/>
      <c r="C95" s="414" t="s">
        <v>22</v>
      </c>
      <c r="D95" s="385"/>
      <c r="E95" s="592"/>
      <c r="F95" s="294" t="str">
        <f>"(Line "&amp;A$27&amp;")"</f>
        <v>(Line 12)</v>
      </c>
      <c r="G95" s="1033"/>
      <c r="H95" s="686">
        <f>+H27</f>
        <v>0.22530875362306943</v>
      </c>
    </row>
    <row r="96" spans="1:8" s="17" customFormat="1">
      <c r="A96" s="367">
        <f>+A95+1</f>
        <v>48</v>
      </c>
      <c r="B96" s="392"/>
      <c r="C96" s="411" t="s">
        <v>66</v>
      </c>
      <c r="D96" s="351"/>
      <c r="E96" s="501"/>
      <c r="F96" s="295" t="str">
        <f>"(Line "&amp;A94&amp;" * Line "&amp;A95&amp;")"</f>
        <v>(Line 46 * Line 47)</v>
      </c>
      <c r="G96" s="1029"/>
      <c r="H96" s="302">
        <f>+H94*H95</f>
        <v>0</v>
      </c>
    </row>
    <row r="97" spans="1:8" s="17" customFormat="1">
      <c r="A97" s="367"/>
      <c r="B97" s="392"/>
      <c r="C97" s="411"/>
      <c r="D97" s="351"/>
      <c r="E97" s="501"/>
      <c r="F97" s="295"/>
      <c r="G97" s="1029"/>
      <c r="H97" s="302"/>
    </row>
    <row r="98" spans="1:8" s="17" customFormat="1">
      <c r="A98" s="367">
        <f>+A96+1</f>
        <v>49</v>
      </c>
      <c r="B98" s="392"/>
      <c r="C98" s="411" t="s">
        <v>67</v>
      </c>
      <c r="D98" s="351"/>
      <c r="E98" s="357" t="str">
        <f>"(Note  "&amp;B$296&amp;")"</f>
        <v>(Note  A)</v>
      </c>
      <c r="F98" s="290" t="str">
        <f>"(Attachment 4, Line "&amp;'4 - Cost Support'!A213&amp;")"</f>
        <v>(Attachment 4, Line 80)</v>
      </c>
      <c r="G98" s="1029"/>
      <c r="H98" s="302">
        <f>+'4 - Cost Support'!T213</f>
        <v>-1378201.076923077</v>
      </c>
    </row>
    <row r="99" spans="1:8" s="17" customFormat="1">
      <c r="A99" s="367">
        <f>+A98+1</f>
        <v>50</v>
      </c>
      <c r="B99" s="392"/>
      <c r="C99" s="411" t="s">
        <v>68</v>
      </c>
      <c r="D99" s="351"/>
      <c r="E99" s="357" t="str">
        <f>"(Note  "&amp;B$296&amp;")"</f>
        <v>(Note  A)</v>
      </c>
      <c r="F99" s="290" t="str">
        <f>"(Attachment 4, Line "&amp;'4 - Cost Support'!A214&amp;")"</f>
        <v>(Attachment 4, Line 81)</v>
      </c>
      <c r="G99" s="1029"/>
      <c r="H99" s="593">
        <f>+'4 - Cost Support'!T214</f>
        <v>-1928778.7692307692</v>
      </c>
    </row>
    <row r="100" spans="1:8" s="17" customFormat="1">
      <c r="A100" s="367">
        <f>+A99+1</f>
        <v>51</v>
      </c>
      <c r="B100" s="392"/>
      <c r="C100" s="411" t="s">
        <v>69</v>
      </c>
      <c r="D100" s="351"/>
      <c r="E100" s="501"/>
      <c r="F100" s="295" t="str">
        <f>"(Line "&amp;A98&amp;" + Line "&amp;A99&amp;")"</f>
        <v>(Line 49 + Line 50)</v>
      </c>
      <c r="G100" s="1029"/>
      <c r="H100" s="302">
        <f>+H98+H99</f>
        <v>-3306979.846153846</v>
      </c>
    </row>
    <row r="101" spans="1:8" s="17" customFormat="1">
      <c r="A101" s="367">
        <f>+A100+1</f>
        <v>52</v>
      </c>
      <c r="B101" s="392"/>
      <c r="C101" s="414" t="s">
        <v>70</v>
      </c>
      <c r="D101" s="385"/>
      <c r="E101" s="592"/>
      <c r="F101" s="294" t="str">
        <f>"(Line "&amp;A$16&amp;")"</f>
        <v>(Line 5)</v>
      </c>
      <c r="G101" s="1033"/>
      <c r="H101" s="686">
        <f>+H16</f>
        <v>0.15894128950099584</v>
      </c>
    </row>
    <row r="102" spans="1:8" s="17" customFormat="1">
      <c r="A102" s="367">
        <f>+A101+1</f>
        <v>53</v>
      </c>
      <c r="B102" s="392"/>
      <c r="C102" s="411" t="s">
        <v>71</v>
      </c>
      <c r="D102" s="351"/>
      <c r="E102" s="501"/>
      <c r="F102" s="295" t="str">
        <f>"(Line "&amp;A100&amp;" * Line "&amp;A101&amp;")"</f>
        <v>(Line 51 * Line 52)</v>
      </c>
      <c r="G102" s="1029"/>
      <c r="H102" s="302">
        <f>+H100*H101</f>
        <v>-525615.64110149711</v>
      </c>
    </row>
    <row r="103" spans="1:8" s="17" customFormat="1">
      <c r="A103" s="367"/>
      <c r="B103" s="392"/>
      <c r="C103" s="411"/>
      <c r="D103" s="351"/>
      <c r="E103" s="501"/>
      <c r="F103" s="295"/>
      <c r="G103" s="1029"/>
      <c r="H103" s="302"/>
    </row>
    <row r="104" spans="1:8" s="17" customFormat="1">
      <c r="A104" s="367">
        <f>+A102+1</f>
        <v>54</v>
      </c>
      <c r="B104" s="392"/>
      <c r="C104" s="411" t="s">
        <v>72</v>
      </c>
      <c r="D104" s="351"/>
      <c r="E104" s="357" t="str">
        <f>"(Note  "&amp;B$296&amp;")"</f>
        <v>(Note  A)</v>
      </c>
      <c r="F104" s="290" t="str">
        <f>"(Attachment 4, Line "&amp;'4 - Cost Support'!A215&amp;")"</f>
        <v>(Attachment 4, Line 82)</v>
      </c>
      <c r="G104" s="1029"/>
      <c r="H104" s="302">
        <f>+'4 - Cost Support'!T215</f>
        <v>0</v>
      </c>
    </row>
    <row r="105" spans="1:8" s="17" customFormat="1">
      <c r="A105" s="367"/>
      <c r="B105" s="392"/>
      <c r="C105" s="411"/>
      <c r="D105" s="351"/>
      <c r="E105" s="501"/>
      <c r="F105" s="295"/>
      <c r="G105" s="1029"/>
      <c r="H105" s="302"/>
    </row>
    <row r="106" spans="1:8" s="17" customFormat="1">
      <c r="A106" s="367">
        <f>+A104+1</f>
        <v>55</v>
      </c>
      <c r="B106" s="401" t="s">
        <v>73</v>
      </c>
      <c r="C106" s="411"/>
      <c r="D106" s="351"/>
      <c r="E106" s="357" t="str">
        <f>"(Note  "&amp;B$307&amp;")"</f>
        <v>(Note  L)</v>
      </c>
      <c r="F106" s="295" t="str">
        <f>"(Attachment 4, Line "&amp;'4 - Cost Support'!A231&amp;")"</f>
        <v>(Attachment 4, Line 86)</v>
      </c>
      <c r="G106" s="1029"/>
      <c r="H106" s="302">
        <f>+'4 - Cost Support'!T231</f>
        <v>-424288.15384615387</v>
      </c>
    </row>
    <row r="107" spans="1:8" s="17" customFormat="1">
      <c r="A107" s="367"/>
      <c r="B107" s="392"/>
      <c r="C107" s="411"/>
      <c r="D107" s="351"/>
      <c r="E107" s="501"/>
      <c r="F107" s="352"/>
      <c r="G107" s="1029"/>
      <c r="H107" s="706"/>
    </row>
    <row r="108" spans="1:8" s="17" customFormat="1">
      <c r="A108" s="367">
        <f>+A106+1</f>
        <v>56</v>
      </c>
      <c r="B108" s="408" t="s">
        <v>74</v>
      </c>
      <c r="C108" s="411"/>
      <c r="D108" s="351"/>
      <c r="E108" s="357" t="str">
        <f>"(Note  "&amp;B$296&amp;")"</f>
        <v>(Note  A)</v>
      </c>
      <c r="F108" s="290" t="str">
        <f>"(Attachment 4, Line "&amp;'4 - Cost Support'!A222&amp;")"</f>
        <v>(Attachment 4, Line 83)</v>
      </c>
      <c r="G108" s="1029"/>
      <c r="H108" s="302">
        <f>+'4 - Cost Support'!T222</f>
        <v>-1947</v>
      </c>
    </row>
    <row r="109" spans="1:8" s="17" customFormat="1">
      <c r="A109" s="367"/>
      <c r="B109" s="408"/>
      <c r="C109" s="411"/>
      <c r="D109" s="351"/>
      <c r="E109" s="501"/>
      <c r="F109" s="295"/>
      <c r="G109" s="1029"/>
      <c r="H109" s="302"/>
    </row>
    <row r="110" spans="1:8" s="17" customFormat="1">
      <c r="A110" s="367">
        <f>+A108+1</f>
        <v>57</v>
      </c>
      <c r="B110" s="401" t="s">
        <v>75</v>
      </c>
      <c r="C110" s="411"/>
      <c r="D110" s="421"/>
      <c r="E110" s="357" t="str">
        <f>"(Note  "&amp;B$296&amp;")"</f>
        <v>(Note  A)</v>
      </c>
      <c r="F110" s="295" t="str">
        <f>"(Attachment 4, Line "&amp;'4 - Cost Support'!A237&amp;")"</f>
        <v>(Attachment 4, Line 87)</v>
      </c>
      <c r="G110" s="1034"/>
      <c r="H110" s="322">
        <f>+'4 - Cost Support'!T237</f>
        <v>-1743491.2168173818</v>
      </c>
    </row>
    <row r="111" spans="1:8">
      <c r="A111" s="330"/>
      <c r="B111" s="293"/>
      <c r="C111" s="293"/>
      <c r="D111" s="293"/>
      <c r="F111" s="284"/>
      <c r="H111" s="298"/>
    </row>
    <row r="112" spans="1:8" ht="64.5" customHeight="1" thickBot="1">
      <c r="A112" s="330">
        <f>+A110+1</f>
        <v>58</v>
      </c>
      <c r="B112" s="376" t="s">
        <v>76</v>
      </c>
      <c r="C112" s="376"/>
      <c r="D112" s="376"/>
      <c r="E112" s="397"/>
      <c r="F112" s="594" t="str">
        <f>"(Lines "&amp;A62&amp;" + "&amp;A65&amp;" + "&amp;A68&amp;" + "&amp;A71&amp;" + "&amp;A73&amp;" + "&amp;A78&amp;" + "&amp;A86&amp;" + "&amp;A91&amp;" + "&amp;A96&amp;" + "&amp;A102&amp;" + "&amp;A104&amp;" + "&amp;A106&amp;" + "&amp;A108&amp;" + "&amp;A110&amp;")"</f>
        <v>(Lines 30 + 31 + 32 + 33 + 34 + 37 + 42 + 45 + 48 + 53 + 54 + 55 + 56 + 57)</v>
      </c>
      <c r="G112" s="1035"/>
      <c r="H112" s="793">
        <f>+H62+H65+H68+H71+H73+H78+H86+H91+H96+H102+H104+H106+H108+H110</f>
        <v>-78937304.965943009</v>
      </c>
    </row>
    <row r="113" spans="1:10" ht="21" thickTop="1">
      <c r="A113" s="330"/>
      <c r="B113" s="293"/>
      <c r="C113" s="293"/>
      <c r="D113" s="293"/>
      <c r="F113" s="284"/>
      <c r="H113" s="703"/>
    </row>
    <row r="114" spans="1:10" ht="21" thickBot="1">
      <c r="A114" s="425">
        <f>+A112+1</f>
        <v>59</v>
      </c>
      <c r="B114" s="426" t="s">
        <v>77</v>
      </c>
      <c r="C114" s="426"/>
      <c r="D114" s="426"/>
      <c r="E114" s="427"/>
      <c r="F114" s="428" t="str">
        <f>"(Line "&amp;A57&amp;" + Line "&amp;A112&amp;")"</f>
        <v>(Line 29 + Line 58)</v>
      </c>
      <c r="G114" s="1036"/>
      <c r="H114" s="707">
        <f>H57+H112</f>
        <v>272557092.61947894</v>
      </c>
    </row>
    <row r="115" spans="1:10">
      <c r="B115" s="293"/>
      <c r="C115" s="293"/>
      <c r="D115" s="293"/>
    </row>
    <row r="116" spans="1:10" s="13" customFormat="1">
      <c r="A116" s="429" t="s">
        <v>78</v>
      </c>
      <c r="B116" s="430"/>
      <c r="C116" s="431"/>
      <c r="D116" s="432"/>
      <c r="E116" s="433"/>
      <c r="F116" s="301"/>
      <c r="G116" s="1057"/>
      <c r="H116" s="287"/>
    </row>
    <row r="117" spans="1:10" s="13" customFormat="1">
      <c r="A117" s="331"/>
      <c r="B117" s="331"/>
      <c r="C117" s="331"/>
      <c r="D117" s="331"/>
      <c r="E117" s="353"/>
      <c r="F117" s="284"/>
      <c r="G117" s="1046"/>
      <c r="H117" s="774"/>
    </row>
    <row r="118" spans="1:10">
      <c r="A118" s="355"/>
      <c r="B118" s="354" t="s">
        <v>79</v>
      </c>
      <c r="D118" s="289"/>
      <c r="E118" s="300"/>
      <c r="G118" s="1048"/>
      <c r="H118" s="289"/>
    </row>
    <row r="119" spans="1:10">
      <c r="A119" s="367">
        <f>+A114+1</f>
        <v>60</v>
      </c>
      <c r="B119" s="367"/>
      <c r="C119" s="380" t="s">
        <v>79</v>
      </c>
      <c r="D119" s="331"/>
      <c r="E119" s="357"/>
      <c r="F119" s="290" t="str">
        <f>"(Attachment 4, Line "&amp;'4 - Cost Support'!A67&amp;")"</f>
        <v>(Attachment 4, Line 26)</v>
      </c>
      <c r="G119" s="1030"/>
      <c r="H119" s="290">
        <f>+'4 - Cost Support'!S67</f>
        <v>72440822.300697654</v>
      </c>
      <c r="I119" s="13"/>
      <c r="J119" s="13"/>
    </row>
    <row r="120" spans="1:10">
      <c r="A120" s="367">
        <f>+A119+1</f>
        <v>61</v>
      </c>
      <c r="B120" s="355"/>
      <c r="C120" s="380" t="s">
        <v>80</v>
      </c>
      <c r="D120" s="290"/>
      <c r="E120" s="357"/>
      <c r="F120" s="294" t="str">
        <f>"(Attachment 4, Line "&amp;'4 - Cost Support'!A70&amp;")"</f>
        <v>(Attachment 4, Line 29)</v>
      </c>
      <c r="G120" s="1046"/>
      <c r="H120" s="295">
        <f>+'4 - Cost Support'!S70</f>
        <v>64927717.993905753</v>
      </c>
    </row>
    <row r="121" spans="1:10">
      <c r="A121" s="367">
        <f>1+A120</f>
        <v>62</v>
      </c>
      <c r="B121" s="331"/>
      <c r="C121" s="434" t="s">
        <v>79</v>
      </c>
      <c r="D121" s="386"/>
      <c r="E121" s="387"/>
      <c r="F121" s="295" t="str">
        <f>"(Lines "&amp;A119&amp;" - "&amp;A120&amp;")"</f>
        <v>(Lines 60 - 61)</v>
      </c>
      <c r="G121" s="1032"/>
      <c r="H121" s="309">
        <f>+H119-H120</f>
        <v>7513104.3067919016</v>
      </c>
    </row>
    <row r="122" spans="1:10">
      <c r="A122" s="367"/>
      <c r="B122" s="367"/>
      <c r="C122" s="354"/>
      <c r="D122" s="331"/>
      <c r="E122" s="366"/>
      <c r="F122" s="331"/>
      <c r="G122" s="1046"/>
      <c r="H122" s="310"/>
    </row>
    <row r="123" spans="1:10">
      <c r="A123" s="367"/>
      <c r="B123" s="354" t="s">
        <v>81</v>
      </c>
      <c r="C123" s="331"/>
      <c r="D123" s="331"/>
      <c r="E123" s="366"/>
      <c r="F123" s="331"/>
      <c r="G123" s="1046"/>
      <c r="H123" s="310"/>
    </row>
    <row r="124" spans="1:10">
      <c r="A124" s="367">
        <f>A121+1</f>
        <v>63</v>
      </c>
      <c r="B124" s="367"/>
      <c r="C124" s="380" t="s">
        <v>82</v>
      </c>
      <c r="D124" s="331"/>
      <c r="E124" s="357" t="str">
        <f>"(Note  "&amp;B302&amp;", "&amp;B317&amp;" &amp; "&amp;B318&amp;")"</f>
        <v>(Note  G, V &amp; W)</v>
      </c>
      <c r="F124" s="290" t="str">
        <f>"(Attachment 4, Line "&amp;'4 - Cost Support'!A83&amp;")"</f>
        <v>(Attachment 4, Line 31)</v>
      </c>
      <c r="G124" s="1046"/>
      <c r="H124" s="290">
        <f>+'4 - Cost Support'!S83</f>
        <v>73522883</v>
      </c>
    </row>
    <row r="125" spans="1:10">
      <c r="A125" s="367">
        <f t="shared" ref="A125:A131" si="0">+A124+1</f>
        <v>64</v>
      </c>
      <c r="B125" s="367"/>
      <c r="C125" s="380" t="s">
        <v>83</v>
      </c>
      <c r="D125" s="290"/>
      <c r="E125" s="357"/>
      <c r="F125" s="290" t="str">
        <f>"(Attachment 4, Line "&amp;'4 - Cost Support'!A77&amp;")"</f>
        <v>(Attachment 4, Line 30)</v>
      </c>
      <c r="G125" s="1073"/>
      <c r="H125" s="290">
        <v>0</v>
      </c>
    </row>
    <row r="126" spans="1:10">
      <c r="A126" s="367">
        <f t="shared" si="0"/>
        <v>65</v>
      </c>
      <c r="B126" s="367"/>
      <c r="C126" s="380" t="s">
        <v>84</v>
      </c>
      <c r="D126" s="290"/>
      <c r="E126" s="357" t="str">
        <f>"(Note "&amp;B$299&amp;")"</f>
        <v>(Note D)</v>
      </c>
      <c r="F126" s="290" t="str">
        <f>"(Attachment 4, Line "&amp;'4 - Cost Support'!A92&amp;")"</f>
        <v>(Attachment 4, Line 34)</v>
      </c>
      <c r="G126" s="1073"/>
      <c r="H126" s="290">
        <v>0</v>
      </c>
    </row>
    <row r="127" spans="1:10">
      <c r="A127" s="367">
        <f t="shared" si="0"/>
        <v>66</v>
      </c>
      <c r="B127" s="367"/>
      <c r="C127" s="380" t="s">
        <v>85</v>
      </c>
      <c r="D127" s="290"/>
      <c r="E127" s="357" t="str">
        <f>"(Note "&amp;B310&amp;")"</f>
        <v>(Note O)</v>
      </c>
      <c r="F127" s="290" t="str">
        <f>"(Attachment 4, Line "&amp;'4 - Cost Support'!A85&amp;")"</f>
        <v>(Attachment 4, Line 33)</v>
      </c>
      <c r="G127" s="1046"/>
      <c r="H127" s="290">
        <f>+'4 - Cost Support'!S85</f>
        <v>73441553.89000003</v>
      </c>
    </row>
    <row r="128" spans="1:10" ht="40.5">
      <c r="A128" s="367">
        <f t="shared" si="0"/>
        <v>67</v>
      </c>
      <c r="B128" s="367"/>
      <c r="C128" s="380" t="s">
        <v>86</v>
      </c>
      <c r="D128" s="284"/>
      <c r="E128" s="357" t="str">
        <f>"(Note "&amp;B$298&amp;")"</f>
        <v>(Note C)</v>
      </c>
      <c r="F128" s="980" t="str">
        <f>"(Attachment 4, Line "&amp;'4 - Cost Support'!A100&amp;" &amp; Attachment 4, Line "&amp;'4 - Cost Support'!A101&amp;")"</f>
        <v>(Attachment 4, Line 36 &amp; Attachment 4, Line 37)</v>
      </c>
      <c r="G128" s="1046"/>
      <c r="H128" s="290">
        <f>+'4 - Cost Support'!S100+'4 - Cost Support'!S101</f>
        <v>0</v>
      </c>
    </row>
    <row r="129" spans="1:8">
      <c r="A129" s="367">
        <f t="shared" si="0"/>
        <v>68</v>
      </c>
      <c r="B129" s="367"/>
      <c r="C129" s="434" t="s">
        <v>87</v>
      </c>
      <c r="D129" s="386"/>
      <c r="E129" s="393"/>
      <c r="F129" s="295" t="str">
        <f>"(Lines "&amp;A124&amp;" - "&amp;A125&amp;" - "&amp;A126&amp;" - "&amp;A127&amp;" - "&amp;A128&amp;")"</f>
        <v>(Lines 63 - 64 - 65 - 66 - 67)</v>
      </c>
      <c r="G129" s="1032"/>
      <c r="H129" s="299">
        <f>+H124-SUM(H125:H128)</f>
        <v>81329.109999969602</v>
      </c>
    </row>
    <row r="130" spans="1:8">
      <c r="A130" s="367">
        <f t="shared" si="0"/>
        <v>69</v>
      </c>
      <c r="B130" s="367"/>
      <c r="C130" s="414" t="s">
        <v>30</v>
      </c>
      <c r="D130" s="327"/>
      <c r="E130" s="384"/>
      <c r="F130" s="390" t="str">
        <f>"(Line "&amp;A$16&amp;")"</f>
        <v>(Line 5)</v>
      </c>
      <c r="G130" s="1053"/>
      <c r="H130" s="687">
        <f>H16</f>
        <v>0.15894128950099584</v>
      </c>
    </row>
    <row r="131" spans="1:8">
      <c r="A131" s="367">
        <f t="shared" si="0"/>
        <v>70</v>
      </c>
      <c r="B131" s="367"/>
      <c r="C131" s="434" t="s">
        <v>88</v>
      </c>
      <c r="D131" s="386"/>
      <c r="E131" s="393"/>
      <c r="F131" s="295" t="str">
        <f>"(Line "&amp;A129&amp;" * Line "&amp;A130&amp;")"</f>
        <v>(Line 68 * Line 69)</v>
      </c>
      <c r="G131" s="1032"/>
      <c r="H131" s="312">
        <f>H129*H130</f>
        <v>12926.553617363505</v>
      </c>
    </row>
    <row r="132" spans="1:8">
      <c r="A132" s="367"/>
      <c r="B132" s="367"/>
      <c r="C132" s="406"/>
      <c r="D132" s="352"/>
      <c r="E132" s="394"/>
      <c r="F132" s="352"/>
      <c r="G132" s="1029"/>
      <c r="H132" s="295"/>
    </row>
    <row r="133" spans="1:8">
      <c r="A133" s="367"/>
      <c r="B133" s="354" t="s">
        <v>89</v>
      </c>
      <c r="C133" s="284"/>
      <c r="D133" s="352"/>
      <c r="E133" s="394"/>
      <c r="F133" s="352"/>
      <c r="G133" s="1029"/>
      <c r="H133" s="295"/>
    </row>
    <row r="134" spans="1:8">
      <c r="A134" s="367">
        <f>+A131+1</f>
        <v>71</v>
      </c>
      <c r="B134" s="412"/>
      <c r="C134" s="391" t="s">
        <v>90</v>
      </c>
      <c r="D134" s="435"/>
      <c r="E134" s="357" t="str">
        <f>"(Note "&amp;B$300&amp;")"</f>
        <v>(Note E)</v>
      </c>
      <c r="F134" s="290" t="str">
        <f>"(Attachment 4, Line "&amp;'4 - Cost Support'!A93&amp;")"</f>
        <v>(Attachment 4, Line 35)</v>
      </c>
      <c r="G134" s="1046"/>
      <c r="H134" s="290"/>
    </row>
    <row r="135" spans="1:8">
      <c r="A135" s="367">
        <f>+A134+1</f>
        <v>72</v>
      </c>
      <c r="B135" s="412"/>
      <c r="C135" s="389" t="s">
        <v>91</v>
      </c>
      <c r="D135" s="436"/>
      <c r="E135" s="370" t="str">
        <f>"(Note "&amp;B310&amp;")"</f>
        <v>(Note O)</v>
      </c>
      <c r="F135" s="294" t="str">
        <f>"(Attachment 4, Line "&amp;'4 - Cost Support'!A84&amp;")"</f>
        <v>(Attachment 4, Line 32)</v>
      </c>
      <c r="G135" s="1033"/>
      <c r="H135" s="294">
        <f>+'4 - Cost Support'!S84</f>
        <v>9087258.2648203447</v>
      </c>
    </row>
    <row r="136" spans="1:8">
      <c r="A136" s="367">
        <f>+A135+1</f>
        <v>73</v>
      </c>
      <c r="B136" s="412"/>
      <c r="C136" s="391" t="s">
        <v>92</v>
      </c>
      <c r="D136" s="331"/>
      <c r="E136" s="413"/>
      <c r="F136" s="295" t="str">
        <f>"(Line "&amp;A134&amp;" + Line "&amp;A135&amp;")"</f>
        <v>(Line 71 + Line 72)</v>
      </c>
      <c r="G136" s="1046"/>
      <c r="H136" s="303">
        <f>SUM(H134:H135)</f>
        <v>9087258.2648203447</v>
      </c>
    </row>
    <row r="137" spans="1:8">
      <c r="A137" s="367"/>
      <c r="B137" s="412"/>
      <c r="C137" s="391"/>
      <c r="D137" s="331"/>
      <c r="E137" s="413"/>
      <c r="F137" s="391"/>
      <c r="G137" s="1046"/>
      <c r="H137" s="311"/>
    </row>
    <row r="138" spans="1:8">
      <c r="A138" s="367">
        <f>+A136+1</f>
        <v>74</v>
      </c>
      <c r="B138" s="412"/>
      <c r="C138" s="391" t="s">
        <v>93</v>
      </c>
      <c r="D138" s="331"/>
      <c r="E138" s="357"/>
      <c r="F138" s="391" t="str">
        <f>"(Line "&amp;A125&amp;")"</f>
        <v>(Line 64)</v>
      </c>
      <c r="G138" s="1046"/>
      <c r="H138" s="303">
        <f>H125</f>
        <v>0</v>
      </c>
    </row>
    <row r="139" spans="1:8">
      <c r="A139" s="367">
        <f>+A138+1</f>
        <v>75</v>
      </c>
      <c r="B139" s="367"/>
      <c r="C139" s="411" t="s">
        <v>22</v>
      </c>
      <c r="D139" s="327"/>
      <c r="E139" s="367"/>
      <c r="F139" s="294" t="str">
        <f>"(Line "&amp;A$27&amp;")"</f>
        <v>(Line 12)</v>
      </c>
      <c r="G139" s="1053"/>
      <c r="H139" s="687">
        <f>H27</f>
        <v>0.22530875362306943</v>
      </c>
    </row>
    <row r="140" spans="1:8">
      <c r="A140" s="367">
        <f>+A139+1</f>
        <v>76</v>
      </c>
      <c r="B140" s="367"/>
      <c r="C140" s="434" t="s">
        <v>66</v>
      </c>
      <c r="D140" s="386"/>
      <c r="E140" s="393"/>
      <c r="F140" s="295" t="str">
        <f>"(Line "&amp;A138&amp;" * Line "&amp;A139&amp;")"</f>
        <v>(Line 74 * Line 75)</v>
      </c>
      <c r="G140" s="1058"/>
      <c r="H140" s="312">
        <f>+H138*H139</f>
        <v>0</v>
      </c>
    </row>
    <row r="141" spans="1:8">
      <c r="A141" s="367"/>
      <c r="B141" s="367"/>
      <c r="C141" s="406"/>
      <c r="D141" s="352"/>
      <c r="E141" s="394"/>
      <c r="F141" s="295"/>
      <c r="G141" s="1052"/>
      <c r="H141" s="595"/>
    </row>
    <row r="142" spans="1:8">
      <c r="A142" s="367">
        <f>+A140+1</f>
        <v>77</v>
      </c>
      <c r="B142" s="367"/>
      <c r="C142" s="354" t="s">
        <v>94</v>
      </c>
      <c r="D142" s="331"/>
      <c r="E142" s="366"/>
      <c r="F142" s="295" t="str">
        <f>"(Lines "&amp;A131&amp;" + "&amp;A136&amp;" + "&amp;A140&amp;")"</f>
        <v>(Lines 70 + 73 + 76)</v>
      </c>
      <c r="G142" s="1046"/>
      <c r="H142" s="302">
        <f>+H131+H136+H140</f>
        <v>9100184.8184377085</v>
      </c>
    </row>
    <row r="143" spans="1:8">
      <c r="A143" s="367"/>
      <c r="B143" s="367"/>
      <c r="C143" s="354"/>
      <c r="D143" s="331"/>
      <c r="E143" s="366"/>
      <c r="F143" s="295"/>
      <c r="G143" s="1046"/>
      <c r="H143" s="295"/>
    </row>
    <row r="144" spans="1:8" ht="21" thickBot="1">
      <c r="A144" s="367">
        <f>+A142+1</f>
        <v>78</v>
      </c>
      <c r="B144" s="367"/>
      <c r="C144" s="437" t="s">
        <v>95</v>
      </c>
      <c r="D144" s="438"/>
      <c r="E144" s="439"/>
      <c r="F144" s="313" t="str">
        <f>"(Lines "&amp;A121&amp;" + "&amp;A142&amp;")"</f>
        <v>(Lines 62 + 77)</v>
      </c>
      <c r="G144" s="1059"/>
      <c r="H144" s="708">
        <f>+H121+H142</f>
        <v>16613289.12522961</v>
      </c>
    </row>
    <row r="145" spans="1:8">
      <c r="A145" s="381"/>
      <c r="B145" s="355"/>
      <c r="C145" s="354"/>
      <c r="D145" s="331"/>
      <c r="E145" s="300"/>
      <c r="F145" s="316"/>
      <c r="H145" s="292"/>
    </row>
    <row r="146" spans="1:8">
      <c r="A146" s="429" t="s">
        <v>96</v>
      </c>
      <c r="B146" s="430"/>
      <c r="C146" s="431"/>
      <c r="D146" s="432"/>
      <c r="E146" s="433"/>
      <c r="F146" s="301"/>
      <c r="G146" s="1057"/>
      <c r="H146" s="287"/>
    </row>
    <row r="147" spans="1:8">
      <c r="A147" s="354"/>
      <c r="B147" s="355"/>
      <c r="C147" s="354"/>
      <c r="D147" s="331"/>
      <c r="E147" s="300"/>
      <c r="F147" s="316"/>
      <c r="H147" s="292"/>
    </row>
    <row r="148" spans="1:8">
      <c r="A148" s="330"/>
      <c r="B148" s="408" t="s">
        <v>97</v>
      </c>
      <c r="C148" s="284"/>
      <c r="F148" s="402"/>
      <c r="H148" s="314"/>
    </row>
    <row r="149" spans="1:8">
      <c r="A149" s="367">
        <f>+A144+1</f>
        <v>79</v>
      </c>
      <c r="B149" s="412"/>
      <c r="C149" s="391" t="s">
        <v>98</v>
      </c>
      <c r="D149" s="331"/>
      <c r="E149" s="357" t="str">
        <f>"(Note "&amp;B$302&amp;")"</f>
        <v>(Note G)</v>
      </c>
      <c r="F149" s="290" t="str">
        <f>"(Attachment 4, Line "&amp;'4 - Cost Support'!A108&amp;")"</f>
        <v>(Attachment 4, Line 38)</v>
      </c>
      <c r="G149" s="1046"/>
      <c r="H149" s="302">
        <f>+'4 - Cost Support'!S108</f>
        <v>11818343.403734516</v>
      </c>
    </row>
    <row r="150" spans="1:8">
      <c r="A150" s="367">
        <f>+A149+1</f>
        <v>80</v>
      </c>
      <c r="B150" s="412"/>
      <c r="C150" s="391" t="s">
        <v>99</v>
      </c>
      <c r="D150" s="331"/>
      <c r="E150" s="357" t="str">
        <f>"(Note "&amp;B$308&amp;")"</f>
        <v>(Note M)</v>
      </c>
      <c r="F150" s="290" t="str">
        <f>"(Attachment 4, Line "&amp;'4 - Cost Support'!A192&amp;")"</f>
        <v>(Attachment 4, Line 75)</v>
      </c>
      <c r="G150" s="1046"/>
      <c r="H150" s="302">
        <f>+'4 - Cost Support'!H192</f>
        <v>0</v>
      </c>
    </row>
    <row r="151" spans="1:8">
      <c r="A151" s="367"/>
      <c r="B151" s="412"/>
      <c r="C151" s="391"/>
      <c r="D151" s="331"/>
      <c r="E151" s="357"/>
      <c r="F151" s="391"/>
      <c r="G151" s="1046"/>
      <c r="H151" s="302"/>
    </row>
    <row r="152" spans="1:8">
      <c r="A152" s="367">
        <f>+A150+1</f>
        <v>81</v>
      </c>
      <c r="B152" s="412"/>
      <c r="C152" s="411" t="s">
        <v>100</v>
      </c>
      <c r="D152" s="352"/>
      <c r="E152" s="357" t="str">
        <f>"(Note "&amp;B$302&amp;")"</f>
        <v>(Note G)</v>
      </c>
      <c r="F152" s="290" t="str">
        <f>"(Attachment 4, Line "&amp;'4 - Cost Support'!A109&amp;")"</f>
        <v>(Attachment 4, Line 39)</v>
      </c>
      <c r="G152" s="1029"/>
      <c r="H152" s="302">
        <f>+'4 - Cost Support'!S109</f>
        <v>2034856.8229938156</v>
      </c>
    </row>
    <row r="153" spans="1:8">
      <c r="A153" s="367">
        <f>+A152+1</f>
        <v>82</v>
      </c>
      <c r="B153" s="412"/>
      <c r="C153" s="414" t="s">
        <v>101</v>
      </c>
      <c r="D153" s="390"/>
      <c r="E153" s="370" t="str">
        <f>"(Note "&amp;B296&amp;" &amp; "&amp;B$302&amp;")"</f>
        <v>(Note A &amp; G)</v>
      </c>
      <c r="F153" s="294" t="str">
        <f>"(Attachment 4, Line "&amp;'4 - Cost Support'!A110&amp;")"</f>
        <v>(Attachment 4, Line 40)</v>
      </c>
      <c r="G153" s="1033"/>
      <c r="H153" s="294">
        <f>+'4 - Cost Support'!S110</f>
        <v>3756766.3263958427</v>
      </c>
    </row>
    <row r="154" spans="1:8">
      <c r="A154" s="367">
        <f>+A153+1</f>
        <v>83</v>
      </c>
      <c r="B154" s="412"/>
      <c r="C154" s="411" t="s">
        <v>69</v>
      </c>
      <c r="D154" s="352"/>
      <c r="E154" s="441"/>
      <c r="F154" s="295" t="str">
        <f>"(Line "&amp;A152&amp;" + Line "&amp;A153&amp;")"</f>
        <v>(Line 81 + Line 82)</v>
      </c>
      <c r="G154" s="1046"/>
      <c r="H154" s="302">
        <f>+H152+H153</f>
        <v>5791623.1493896581</v>
      </c>
    </row>
    <row r="155" spans="1:8">
      <c r="A155" s="367">
        <f>+A154+1</f>
        <v>84</v>
      </c>
      <c r="B155" s="412"/>
      <c r="C155" s="414" t="s">
        <v>30</v>
      </c>
      <c r="D155" s="385"/>
      <c r="E155" s="442"/>
      <c r="F155" s="390" t="str">
        <f>"(Line "&amp;A$16&amp;")"</f>
        <v>(Line 5)</v>
      </c>
      <c r="G155" s="1060"/>
      <c r="H155" s="686">
        <f>H16</f>
        <v>0.15894128950099584</v>
      </c>
    </row>
    <row r="156" spans="1:8">
      <c r="A156" s="367">
        <f>+A155+1</f>
        <v>85</v>
      </c>
      <c r="B156" s="412"/>
      <c r="C156" s="391" t="s">
        <v>102</v>
      </c>
      <c r="D156" s="331"/>
      <c r="E156" s="367"/>
      <c r="F156" s="295" t="str">
        <f>"(Line "&amp;A154&amp;" * Line "&amp;A155&amp;")"</f>
        <v>(Line 83 * Line 84)</v>
      </c>
      <c r="G156" s="1053"/>
      <c r="H156" s="302">
        <f>H154*H155</f>
        <v>920528.05166781088</v>
      </c>
    </row>
    <row r="157" spans="1:8">
      <c r="A157" s="443"/>
      <c r="B157" s="444"/>
      <c r="C157" s="391"/>
      <c r="D157" s="331"/>
      <c r="E157" s="367"/>
      <c r="F157" s="391"/>
      <c r="G157" s="1048"/>
      <c r="H157" s="315"/>
    </row>
    <row r="158" spans="1:8" s="17" customFormat="1" ht="21" thickBot="1">
      <c r="A158" s="355">
        <f>+A156+1</f>
        <v>86</v>
      </c>
      <c r="B158" s="445" t="s">
        <v>103</v>
      </c>
      <c r="C158" s="445"/>
      <c r="D158" s="446"/>
      <c r="E158" s="447"/>
      <c r="F158" s="445" t="str">
        <f>"(Lines "&amp;A149&amp;" + "&amp;A150&amp;" + "&amp;A156&amp;")"</f>
        <v>(Lines 79 + 80 + 85)</v>
      </c>
      <c r="G158" s="1037"/>
      <c r="H158" s="708">
        <f>+H149+H150+H156</f>
        <v>12738871.455402328</v>
      </c>
    </row>
    <row r="159" spans="1:8">
      <c r="H159" s="440"/>
    </row>
    <row r="160" spans="1:8">
      <c r="A160" s="429" t="s">
        <v>104</v>
      </c>
      <c r="B160" s="430"/>
      <c r="C160" s="431"/>
      <c r="D160" s="432"/>
      <c r="E160" s="448"/>
      <c r="F160" s="301"/>
      <c r="G160" s="1057"/>
      <c r="H160" s="709"/>
    </row>
    <row r="161" spans="1:8">
      <c r="A161" s="399"/>
      <c r="B161" s="355"/>
      <c r="C161" s="354"/>
      <c r="D161" s="331"/>
      <c r="E161" s="300"/>
      <c r="F161" s="316"/>
      <c r="H161" s="710"/>
    </row>
    <row r="162" spans="1:8">
      <c r="A162" s="367">
        <f>+A158+1</f>
        <v>87</v>
      </c>
      <c r="B162" s="391" t="s">
        <v>105</v>
      </c>
      <c r="C162" s="410"/>
      <c r="E162" s="357"/>
      <c r="F162" s="290" t="str">
        <f>"(Attachment 2, Line "&amp;'2 - Other Taxes'!A29&amp;")"</f>
        <v>(Attachment 2, Line 11)</v>
      </c>
      <c r="G162" s="1046"/>
      <c r="H162" s="303">
        <f>+'2 - Other Taxes'!G29</f>
        <v>18630978.552873544</v>
      </c>
    </row>
    <row r="163" spans="1:8">
      <c r="A163" s="384"/>
      <c r="B163" s="331"/>
      <c r="E163" s="355"/>
      <c r="F163" s="391"/>
      <c r="G163" s="391"/>
      <c r="H163" s="440"/>
    </row>
    <row r="164" spans="1:8" ht="21" thickBot="1">
      <c r="A164" s="367">
        <f>+A162+1</f>
        <v>88</v>
      </c>
      <c r="B164" s="437" t="s">
        <v>106</v>
      </c>
      <c r="C164" s="437"/>
      <c r="D164" s="446"/>
      <c r="E164" s="427"/>
      <c r="F164" s="428" t="str">
        <f>"(Line "&amp;A162&amp;")"</f>
        <v>(Line 87)</v>
      </c>
      <c r="G164" s="1036"/>
      <c r="H164" s="707">
        <f>H162</f>
        <v>18630978.552873544</v>
      </c>
    </row>
    <row r="165" spans="1:8">
      <c r="A165" s="429" t="s">
        <v>107</v>
      </c>
      <c r="B165" s="430"/>
      <c r="C165" s="431"/>
      <c r="D165" s="432"/>
      <c r="E165" s="433"/>
      <c r="F165" s="301"/>
      <c r="G165" s="1057"/>
      <c r="H165" s="287"/>
    </row>
    <row r="166" spans="1:8">
      <c r="A166" s="381"/>
      <c r="B166" s="355"/>
      <c r="C166" s="354"/>
      <c r="D166" s="331"/>
      <c r="E166" s="300"/>
      <c r="F166" s="316"/>
      <c r="H166" s="774"/>
    </row>
    <row r="167" spans="1:8">
      <c r="A167" s="367">
        <f>+A164+1</f>
        <v>89</v>
      </c>
      <c r="B167" s="449" t="s">
        <v>108</v>
      </c>
      <c r="D167" s="374"/>
      <c r="E167" s="357"/>
      <c r="F167" s="290" t="str">
        <f>"(Attachment 4, Line "&amp;'4 - Cost Support'!A132&amp;")"</f>
        <v>(Attachment 4, Line 50)</v>
      </c>
      <c r="G167" s="1056"/>
      <c r="H167" s="290">
        <f>+'4 - Cost Support'!S132</f>
        <v>27056456.769432761</v>
      </c>
    </row>
    <row r="168" spans="1:8">
      <c r="A168" s="355"/>
      <c r="B168" s="355"/>
      <c r="C168" s="289"/>
      <c r="E168" s="375"/>
      <c r="F168" s="331"/>
      <c r="G168" s="1048"/>
      <c r="H168" s="290"/>
    </row>
    <row r="169" spans="1:8">
      <c r="A169" s="355">
        <f>+A167+1</f>
        <v>90</v>
      </c>
      <c r="B169" s="450" t="s">
        <v>109</v>
      </c>
      <c r="E169" s="357"/>
      <c r="F169" s="290" t="str">
        <f>"(Attachment 4, Line "&amp;'4 - Cost Support'!A133&amp;")"</f>
        <v>(Attachment 4, Line 51)</v>
      </c>
      <c r="G169" s="1056"/>
      <c r="H169" s="290">
        <f>+'4 - Cost Support'!S133</f>
        <v>0</v>
      </c>
    </row>
    <row r="170" spans="1:8">
      <c r="A170" s="355"/>
      <c r="B170" s="452" t="s">
        <v>110</v>
      </c>
      <c r="C170" s="361"/>
      <c r="E170" s="451"/>
      <c r="F170" s="290"/>
      <c r="G170" s="1048"/>
      <c r="H170" s="289"/>
    </row>
    <row r="171" spans="1:8">
      <c r="A171" s="355"/>
      <c r="B171" s="452" t="s">
        <v>111</v>
      </c>
      <c r="E171" s="451"/>
      <c r="F171" s="290"/>
      <c r="G171" s="1048"/>
      <c r="H171" s="289"/>
    </row>
    <row r="172" spans="1:8">
      <c r="A172" s="355">
        <f>+A169+1</f>
        <v>91</v>
      </c>
      <c r="B172" s="355"/>
      <c r="C172" s="289" t="s">
        <v>112</v>
      </c>
      <c r="D172" s="289"/>
      <c r="E172" s="357" t="str">
        <f>"(Note "&amp;B$306&amp;")"</f>
        <v>(Note K)</v>
      </c>
      <c r="F172" s="290" t="str">
        <f>"(Attachment 4, Line "&amp;'4 - Cost Support'!A134&amp;")"</f>
        <v>(Attachment 4, Line 52)</v>
      </c>
      <c r="G172" s="1056"/>
      <c r="H172" s="290">
        <f>+'4 - Cost Support'!T134</f>
        <v>-847850098.2574861</v>
      </c>
    </row>
    <row r="173" spans="1:8">
      <c r="A173" s="367">
        <f>A172+1</f>
        <v>92</v>
      </c>
      <c r="B173" s="367"/>
      <c r="C173" s="290" t="s">
        <v>113</v>
      </c>
      <c r="D173" s="290"/>
      <c r="E173" s="357" t="str">
        <f>"(Note "&amp;B$306&amp;" )"</f>
        <v>(Note K )</v>
      </c>
      <c r="F173" s="290" t="str">
        <f>"(Attachment 4, Line "&amp;'4 - Cost Support'!A135&amp;")"</f>
        <v>(Attachment 4, Line 53)</v>
      </c>
      <c r="G173" s="1056"/>
      <c r="H173" s="290">
        <f>+'4 - Cost Support'!T135</f>
        <v>34863188.047499999</v>
      </c>
    </row>
    <row r="174" spans="1:8">
      <c r="A174" s="367">
        <f>A173+1</f>
        <v>93</v>
      </c>
      <c r="B174" s="367"/>
      <c r="C174" s="290" t="s">
        <v>114</v>
      </c>
      <c r="D174" s="290"/>
      <c r="E174" s="357" t="str">
        <f>"(Note "&amp;B$306&amp;" )"</f>
        <v>(Note K )</v>
      </c>
      <c r="F174" s="290" t="str">
        <f>"(Attachment 4, Line "&amp;'4 - Cost Support'!A146&amp;")"</f>
        <v>(Attachment 4, Line 64)</v>
      </c>
      <c r="G174" s="1056"/>
      <c r="H174" s="290">
        <f>+'4 - Cost Support'!T146</f>
        <v>0</v>
      </c>
    </row>
    <row r="175" spans="1:8">
      <c r="A175" s="367">
        <f>+A174+1</f>
        <v>94</v>
      </c>
      <c r="B175" s="367"/>
      <c r="C175" s="294" t="s">
        <v>115</v>
      </c>
      <c r="D175" s="294"/>
      <c r="E175" s="370" t="str">
        <f>"(Note "&amp;B$306&amp;")"</f>
        <v>(Note K)</v>
      </c>
      <c r="F175" s="294" t="str">
        <f>"(Attachment 4, Line "&amp;'4 - Cost Support'!A136&amp;")"</f>
        <v>(Attachment 4, Line 54)</v>
      </c>
      <c r="G175" s="1056"/>
      <c r="H175" s="294">
        <f>+'4 - Cost Support'!T136</f>
        <v>0</v>
      </c>
    </row>
    <row r="176" spans="1:8">
      <c r="A176" s="367">
        <f>+A175+1</f>
        <v>95</v>
      </c>
      <c r="B176" s="367"/>
      <c r="C176" s="453" t="s">
        <v>111</v>
      </c>
      <c r="D176" s="295"/>
      <c r="E176" s="1074"/>
      <c r="F176" s="331" t="str">
        <f>"(Line "&amp;A172&amp;" - "&amp;A173&amp;" - "&amp;A174&amp;" - "&amp;A175&amp;")"</f>
        <v>(Line 91 - 92 - 93 - 94)</v>
      </c>
      <c r="G176" s="1044"/>
      <c r="H176" s="289">
        <f>H172-H173-H174-H175</f>
        <v>-882713286.30498612</v>
      </c>
    </row>
    <row r="177" spans="1:8">
      <c r="A177" s="367"/>
      <c r="B177" s="367"/>
      <c r="C177" s="380"/>
      <c r="D177" s="331"/>
      <c r="E177" s="394"/>
      <c r="F177" s="290"/>
      <c r="H177" s="289"/>
    </row>
    <row r="178" spans="1:8">
      <c r="A178" s="355">
        <f>+A176+1</f>
        <v>96</v>
      </c>
      <c r="B178" s="355"/>
      <c r="C178" s="452" t="s">
        <v>116</v>
      </c>
      <c r="E178" s="357" t="str">
        <f>"(Note "&amp;B$306&amp;")"</f>
        <v>(Note K)</v>
      </c>
      <c r="F178" s="290" t="str">
        <f>"(Attachment 4, Line "&amp;'4 - Cost Support'!A137&amp;")"</f>
        <v>(Attachment 4, Line 55)</v>
      </c>
      <c r="G178" s="1056"/>
      <c r="H178" s="290">
        <f>+'4 - Cost Support'!T137</f>
        <v>-652096882.23496425</v>
      </c>
    </row>
    <row r="179" spans="1:8">
      <c r="A179" s="355"/>
      <c r="B179" s="355"/>
      <c r="C179" s="361" t="s">
        <v>117</v>
      </c>
      <c r="E179" s="357" t="str">
        <f>"(Note "&amp;B$306&amp;")"</f>
        <v>(Note K)</v>
      </c>
      <c r="F179" s="290" t="str">
        <f>"(Attachment 4, Line "&amp;'4 - Cost Support'!A138&amp;")"</f>
        <v>(Attachment 4, Line 56)</v>
      </c>
      <c r="G179" s="1056"/>
      <c r="H179" s="290">
        <f>+'4 - Cost Support'!T138</f>
        <v>3167948.5199999977</v>
      </c>
    </row>
    <row r="180" spans="1:8">
      <c r="A180" s="367">
        <f>+A178+1</f>
        <v>97</v>
      </c>
      <c r="B180" s="355"/>
      <c r="C180" s="361" t="s">
        <v>118</v>
      </c>
      <c r="E180" s="357" t="str">
        <f>"(Note "&amp;B$306&amp;")"</f>
        <v>(Note K)</v>
      </c>
      <c r="F180" s="290" t="str">
        <f>"(Attachment 4, Line "&amp;'4 - Cost Support'!A139&amp;")"</f>
        <v>(Attachment 4, Line 57)</v>
      </c>
      <c r="G180" s="1056"/>
      <c r="H180" s="290">
        <f>+'4 - Cost Support'!T139</f>
        <v>0</v>
      </c>
    </row>
    <row r="181" spans="1:8">
      <c r="A181" s="367">
        <f t="shared" ref="A181:A192" si="1">+A180+1</f>
        <v>98</v>
      </c>
      <c r="B181" s="355"/>
      <c r="C181" s="361" t="s">
        <v>119</v>
      </c>
      <c r="E181" s="357" t="str">
        <f t="shared" ref="E181:E182" si="2">"(Note "&amp;B$306&amp;")"</f>
        <v>(Note K)</v>
      </c>
      <c r="F181" s="290" t="str">
        <f>"(Attachment 4, Line "&amp;'4 - Cost Support'!A140&amp;")"</f>
        <v>(Attachment 4, Line 58)</v>
      </c>
      <c r="G181" s="1056"/>
      <c r="H181" s="290">
        <f>+'4 - Cost Support'!T140</f>
        <v>2459510.56</v>
      </c>
    </row>
    <row r="182" spans="1:8">
      <c r="A182" s="367">
        <f t="shared" si="1"/>
        <v>99</v>
      </c>
      <c r="B182" s="355"/>
      <c r="C182" s="361" t="s">
        <v>120</v>
      </c>
      <c r="E182" s="357" t="str">
        <f t="shared" si="2"/>
        <v>(Note K)</v>
      </c>
      <c r="F182" s="290" t="str">
        <f>"(Attachment 4, Line "&amp;'4 - Cost Support'!A141&amp;")"</f>
        <v>(Attachment 4, Line 59)</v>
      </c>
      <c r="G182" s="1056"/>
      <c r="H182" s="290">
        <f>+'4 - Cost Support'!T141</f>
        <v>0</v>
      </c>
    </row>
    <row r="183" spans="1:8">
      <c r="A183" s="367">
        <f t="shared" si="1"/>
        <v>100</v>
      </c>
      <c r="B183" s="355"/>
      <c r="C183" s="361" t="s">
        <v>121</v>
      </c>
      <c r="E183" s="357" t="str">
        <f>"(Note "&amp;B$306&amp;")"</f>
        <v>(Note K)</v>
      </c>
      <c r="F183" s="290" t="str">
        <f>"(Attachment 4, Line "&amp;'4 - Cost Support'!A142&amp;")"</f>
        <v>(Attachment 4, Line 60)</v>
      </c>
      <c r="G183" s="1056"/>
      <c r="H183" s="290">
        <f>+'4 - Cost Support'!T142</f>
        <v>0</v>
      </c>
    </row>
    <row r="184" spans="1:8">
      <c r="A184" s="367">
        <f t="shared" si="1"/>
        <v>101</v>
      </c>
      <c r="B184" s="367"/>
      <c r="C184" s="388" t="s">
        <v>122</v>
      </c>
      <c r="D184" s="491"/>
      <c r="E184" s="357" t="str">
        <f>"(Note "&amp;B$306&amp;")"</f>
        <v>(Note K)</v>
      </c>
      <c r="F184" s="290" t="str">
        <f>"(Attachment 4, Line "&amp;'4 - Cost Support'!A143&amp;")"</f>
        <v>(Attachment 4, Line 61)</v>
      </c>
      <c r="G184" s="1056"/>
      <c r="H184" s="295">
        <f>+'4 - Cost Support'!T143</f>
        <v>-1477655</v>
      </c>
    </row>
    <row r="185" spans="1:8">
      <c r="A185" s="367">
        <f>+A184+1</f>
        <v>102</v>
      </c>
      <c r="B185" s="367"/>
      <c r="C185" s="388" t="s">
        <v>123</v>
      </c>
      <c r="D185" s="491"/>
      <c r="E185" s="357" t="str">
        <f t="shared" ref="E185:E186" si="3">"(Note "&amp;B$306&amp;")"</f>
        <v>(Note K)</v>
      </c>
      <c r="F185" s="290" t="str">
        <f>"(Attachment 4, Line "&amp;'4 - Cost Support'!A144&amp;")"</f>
        <v>(Attachment 4, Line 62)</v>
      </c>
      <c r="G185" s="1056"/>
      <c r="H185" s="295">
        <f>+'4 - Cost Support'!T144</f>
        <v>0</v>
      </c>
    </row>
    <row r="186" spans="1:8">
      <c r="A186" s="367">
        <f>+A185+1</f>
        <v>103</v>
      </c>
      <c r="B186" s="367"/>
      <c r="C186" s="389" t="s">
        <v>124</v>
      </c>
      <c r="D186" s="701"/>
      <c r="E186" s="370" t="str">
        <f t="shared" si="3"/>
        <v>(Note K)</v>
      </c>
      <c r="F186" s="294" t="str">
        <f>"(Attachment 4, Line "&amp;'4 - Cost Support'!A145&amp;")"</f>
        <v>(Attachment 4, Line 63)</v>
      </c>
      <c r="G186" s="1056"/>
      <c r="H186" s="294">
        <f>+'4 - Cost Support'!T145</f>
        <v>0</v>
      </c>
    </row>
    <row r="187" spans="1:8" ht="60.75">
      <c r="A187" s="367">
        <f>+A186+1</f>
        <v>104</v>
      </c>
      <c r="B187" s="367"/>
      <c r="C187" s="406" t="s">
        <v>125</v>
      </c>
      <c r="D187" s="352"/>
      <c r="E187" s="1074"/>
      <c r="F187" s="721" t="str">
        <f>"(Line "&amp;A178&amp;" + "&amp;A180&amp;" + "&amp;A181&amp;" + "&amp;A182&amp;" + "&amp;A183&amp;" + "&amp;A184&amp;" + "&amp;A185&amp;" + "&amp;A186&amp;")"</f>
        <v>(Line 96 + 97 + 98 + 99 + 100 + 101 + 102 + 103)</v>
      </c>
      <c r="G187" s="1029"/>
      <c r="H187" s="295">
        <f>+SUM(H178:H186)</f>
        <v>-647947078.15496433</v>
      </c>
    </row>
    <row r="188" spans="1:8">
      <c r="A188" s="367"/>
      <c r="B188" s="367"/>
      <c r="C188" s="406" t="s">
        <v>126</v>
      </c>
      <c r="D188" s="352"/>
      <c r="E188" s="1074"/>
      <c r="F188" s="721"/>
      <c r="G188" s="1029"/>
      <c r="H188" s="295"/>
    </row>
    <row r="189" spans="1:8">
      <c r="A189" s="367">
        <f>+A187+1</f>
        <v>105</v>
      </c>
      <c r="B189" s="367"/>
      <c r="C189" s="406" t="s">
        <v>127</v>
      </c>
      <c r="D189" s="352"/>
      <c r="E189" s="1074"/>
      <c r="F189" s="295" t="str">
        <f>+"(Line "&amp;A178&amp;")"</f>
        <v>(Line 96)</v>
      </c>
      <c r="G189" s="1029"/>
      <c r="H189" s="295">
        <f>+H178</f>
        <v>-652096882.23496425</v>
      </c>
    </row>
    <row r="190" spans="1:8">
      <c r="A190" s="367">
        <f t="shared" ref="A190" si="4">+A189+1</f>
        <v>106</v>
      </c>
      <c r="B190" s="355"/>
      <c r="C190" s="452" t="s">
        <v>128</v>
      </c>
      <c r="E190" s="357"/>
      <c r="F190" s="295" t="str">
        <f>+"(Line "&amp;A174&amp;")"</f>
        <v>(Line 93)</v>
      </c>
      <c r="H190" s="290">
        <f>+'4 - Cost Support'!T146</f>
        <v>0</v>
      </c>
    </row>
    <row r="191" spans="1:8">
      <c r="A191" s="367">
        <f t="shared" si="1"/>
        <v>107</v>
      </c>
      <c r="B191" s="355"/>
      <c r="C191" s="452" t="s">
        <v>111</v>
      </c>
      <c r="E191" s="357"/>
      <c r="F191" s="294" t="str">
        <f>+"(Line "&amp;A176&amp;")"</f>
        <v>(Line 95)</v>
      </c>
      <c r="H191" s="297">
        <f>H176</f>
        <v>-882713286.30498612</v>
      </c>
    </row>
    <row r="192" spans="1:8">
      <c r="A192" s="367">
        <f t="shared" si="1"/>
        <v>108</v>
      </c>
      <c r="B192" s="355"/>
      <c r="C192" s="434" t="s">
        <v>129</v>
      </c>
      <c r="D192" s="360"/>
      <c r="E192" s="372"/>
      <c r="F192" s="295" t="str">
        <f>"(Line "&amp;A189&amp;" + Line"&amp;A190&amp;" + Line "&amp;A191&amp;")"</f>
        <v>(Line 105 + Line106 + Line 107)</v>
      </c>
      <c r="G192" s="1055"/>
      <c r="H192" s="291">
        <f>+H189+H190+H191</f>
        <v>-1534810168.5399504</v>
      </c>
    </row>
    <row r="193" spans="1:8">
      <c r="A193" s="355"/>
      <c r="B193" s="355"/>
      <c r="C193" s="361"/>
      <c r="F193" s="284"/>
      <c r="G193" s="1048"/>
      <c r="H193" s="300"/>
    </row>
    <row r="194" spans="1:8">
      <c r="A194" s="367">
        <f>+A192+1</f>
        <v>109</v>
      </c>
      <c r="B194" s="355"/>
      <c r="C194" s="454" t="s">
        <v>130</v>
      </c>
      <c r="D194" s="388" t="s">
        <v>131</v>
      </c>
      <c r="E194" s="357"/>
      <c r="F194" s="295" t="str">
        <f>"(Line "&amp;A189&amp;" / Line "&amp;A192&amp;")"</f>
        <v>(Line 105 / Line 108)</v>
      </c>
      <c r="G194" s="1048"/>
      <c r="H194" s="711">
        <f>+H189/H192</f>
        <v>0.42487135907843088</v>
      </c>
    </row>
    <row r="195" spans="1:8">
      <c r="A195" s="367">
        <f>+A194+1</f>
        <v>110</v>
      </c>
      <c r="B195" s="355"/>
      <c r="C195" s="454" t="s">
        <v>132</v>
      </c>
      <c r="D195" s="361" t="s">
        <v>128</v>
      </c>
      <c r="E195" s="357"/>
      <c r="F195" s="295" t="str">
        <f>"(Line "&amp;A190&amp;" / Line "&amp;A192&amp;")"</f>
        <v>(Line 106 / Line 108)</v>
      </c>
      <c r="G195" s="1048"/>
      <c r="H195" s="712">
        <f>+H190/H192</f>
        <v>0</v>
      </c>
    </row>
    <row r="196" spans="1:8">
      <c r="A196" s="367">
        <f>+A195+1</f>
        <v>111</v>
      </c>
      <c r="B196" s="355"/>
      <c r="C196" s="454" t="s">
        <v>133</v>
      </c>
      <c r="D196" s="361" t="s">
        <v>111</v>
      </c>
      <c r="E196" s="357"/>
      <c r="F196" s="295" t="str">
        <f>"(Line "&amp;A191&amp;" / Line "&amp;A192&amp;")"</f>
        <v>(Line 107 / Line 108)</v>
      </c>
      <c r="G196" s="1048"/>
      <c r="H196" s="711">
        <f>+H191/H192</f>
        <v>0.57512864092156912</v>
      </c>
    </row>
    <row r="197" spans="1:8">
      <c r="A197" s="367"/>
      <c r="B197" s="355"/>
      <c r="C197" s="455"/>
      <c r="F197" s="290"/>
      <c r="G197" s="1048"/>
      <c r="H197" s="703"/>
    </row>
    <row r="198" spans="1:8">
      <c r="A198" s="367">
        <f>+A196+1</f>
        <v>112</v>
      </c>
      <c r="B198" s="355"/>
      <c r="C198" s="455" t="s">
        <v>134</v>
      </c>
      <c r="D198" s="388" t="s">
        <v>131</v>
      </c>
      <c r="F198" s="295" t="str">
        <f>"(Line "&amp;A167&amp;" / Line "&amp;A187&amp;")"</f>
        <v>(Line 89 / Line 104)</v>
      </c>
      <c r="G198" s="1048"/>
      <c r="H198" s="711">
        <f>+H167/H187*-1</f>
        <v>4.1757201601211456E-2</v>
      </c>
    </row>
    <row r="199" spans="1:8">
      <c r="A199" s="367">
        <f>+A198+1</f>
        <v>113</v>
      </c>
      <c r="B199" s="355"/>
      <c r="C199" s="455" t="s">
        <v>135</v>
      </c>
      <c r="D199" s="361" t="s">
        <v>128</v>
      </c>
      <c r="F199" s="295" t="str">
        <f>"(Line "&amp;A169&amp;" / Line "&amp;A190&amp;")"</f>
        <v>(Line 90 / Line 106)</v>
      </c>
      <c r="G199" s="1048"/>
      <c r="H199" s="711">
        <f>+IF(H190=0,0,H169/H190)</f>
        <v>0</v>
      </c>
    </row>
    <row r="200" spans="1:8">
      <c r="A200" s="367">
        <f>+A199+1</f>
        <v>114</v>
      </c>
      <c r="B200" s="355"/>
      <c r="C200" s="455" t="s">
        <v>136</v>
      </c>
      <c r="D200" s="361" t="s">
        <v>111</v>
      </c>
      <c r="E200" s="357" t="str">
        <f>"(Note "&amp;B$302&amp;")"</f>
        <v>(Note G)</v>
      </c>
      <c r="F200" s="290" t="s">
        <v>137</v>
      </c>
      <c r="G200" s="1048"/>
      <c r="H200" s="884">
        <v>9.8500000000000004E-2</v>
      </c>
    </row>
    <row r="201" spans="1:8">
      <c r="A201" s="367"/>
      <c r="B201" s="355"/>
      <c r="C201" s="455"/>
      <c r="F201" s="290"/>
      <c r="G201" s="1048"/>
      <c r="H201" s="440"/>
    </row>
    <row r="202" spans="1:8">
      <c r="A202" s="367">
        <f>+A200+1</f>
        <v>115</v>
      </c>
      <c r="B202" s="355"/>
      <c r="C202" s="454" t="s">
        <v>138</v>
      </c>
      <c r="D202" s="388" t="s">
        <v>139</v>
      </c>
      <c r="F202" s="295" t="str">
        <f>"(Line "&amp;A194&amp;" * Line "&amp;A198&amp;")"</f>
        <v>(Line 109 * Line 112)</v>
      </c>
      <c r="G202" s="1061"/>
      <c r="H202" s="712">
        <f>H194*H198</f>
        <v>1.7741438995618742E-2</v>
      </c>
    </row>
    <row r="203" spans="1:8">
      <c r="A203" s="367">
        <f>+A202+1</f>
        <v>116</v>
      </c>
      <c r="B203" s="355"/>
      <c r="C203" s="454" t="s">
        <v>140</v>
      </c>
      <c r="D203" s="361" t="s">
        <v>128</v>
      </c>
      <c r="F203" s="295" t="str">
        <f>"(Line "&amp;A195&amp;" * Line "&amp;A199&amp;")"</f>
        <v>(Line 110 * Line 113)</v>
      </c>
      <c r="H203" s="712">
        <f>H195*H199</f>
        <v>0</v>
      </c>
    </row>
    <row r="204" spans="1:8">
      <c r="A204" s="367">
        <f>+A203+1</f>
        <v>117</v>
      </c>
      <c r="B204" s="456"/>
      <c r="C204" s="457" t="s">
        <v>141</v>
      </c>
      <c r="D204" s="458" t="s">
        <v>111</v>
      </c>
      <c r="E204" s="459"/>
      <c r="F204" s="294" t="str">
        <f>"(Line "&amp;A196&amp;" * Line "&amp;A200&amp;")"</f>
        <v>(Line 111 * Line 114)</v>
      </c>
      <c r="G204" s="1054"/>
      <c r="H204" s="713">
        <f>H196*H200</f>
        <v>5.6650171130774564E-2</v>
      </c>
    </row>
    <row r="205" spans="1:8" s="17" customFormat="1">
      <c r="A205" s="355">
        <f>+A204+1</f>
        <v>118</v>
      </c>
      <c r="B205" s="460" t="s">
        <v>142</v>
      </c>
      <c r="C205" s="460"/>
      <c r="D205" s="461"/>
      <c r="E205" s="422"/>
      <c r="F205" s="295" t="str">
        <f>"(Lines "&amp;A202&amp;" + "&amp;A203&amp;" + "&amp;A204&amp;")"</f>
        <v>(Lines 115 + 116 + 117)</v>
      </c>
      <c r="G205" s="1038"/>
      <c r="H205" s="714">
        <f>SUM(H202:H204)</f>
        <v>7.4391610126393309E-2</v>
      </c>
    </row>
    <row r="206" spans="1:8" s="17" customFormat="1">
      <c r="A206" s="462"/>
      <c r="B206" s="462"/>
      <c r="C206" s="460"/>
      <c r="D206" s="461"/>
      <c r="E206" s="422"/>
      <c r="F206" s="453"/>
      <c r="G206" s="1038"/>
      <c r="H206" s="715"/>
    </row>
    <row r="207" spans="1:8" ht="21" thickBot="1">
      <c r="A207" s="355">
        <f>+A205+1</f>
        <v>119</v>
      </c>
      <c r="B207" s="463" t="s">
        <v>143</v>
      </c>
      <c r="C207" s="464"/>
      <c r="D207" s="446"/>
      <c r="E207" s="465"/>
      <c r="F207" s="313" t="str">
        <f>"(Line "&amp;A114&amp;" * Line "&amp;A205&amp;")"</f>
        <v>(Line 59 * Line 118)</v>
      </c>
      <c r="G207" s="1039"/>
      <c r="H207" s="707">
        <f>H114*H205</f>
        <v>20275960.971331548</v>
      </c>
    </row>
    <row r="208" spans="1:8">
      <c r="A208" s="429" t="s">
        <v>144</v>
      </c>
      <c r="B208" s="430"/>
      <c r="C208" s="431"/>
      <c r="D208" s="432"/>
      <c r="E208" s="448"/>
      <c r="F208" s="301"/>
      <c r="G208" s="1057"/>
      <c r="H208" s="287"/>
    </row>
    <row r="209" spans="1:8">
      <c r="A209" s="355" t="s">
        <v>145</v>
      </c>
      <c r="B209" s="466" t="s">
        <v>146</v>
      </c>
      <c r="E209" s="300"/>
      <c r="F209" s="289"/>
      <c r="G209" s="1062"/>
      <c r="H209" s="316"/>
    </row>
    <row r="210" spans="1:8">
      <c r="A210" s="355">
        <f>+A207+1</f>
        <v>120</v>
      </c>
      <c r="B210" s="355"/>
      <c r="C210" s="316" t="s">
        <v>147</v>
      </c>
      <c r="E210" s="357"/>
      <c r="F210" s="316"/>
      <c r="G210" s="1030"/>
      <c r="H210" s="318">
        <v>0.21</v>
      </c>
    </row>
    <row r="211" spans="1:8">
      <c r="A211" s="355">
        <f>+A210+1</f>
        <v>121</v>
      </c>
      <c r="B211" s="355"/>
      <c r="C211" s="467" t="s">
        <v>148</v>
      </c>
      <c r="D211" s="468"/>
      <c r="F211" s="290" t="str">
        <f>"(Attachment 4, Line "&amp;'4 - Cost Support'!A153&amp;")"</f>
        <v>(Attachment 4, Line 65)</v>
      </c>
      <c r="G211" s="1030"/>
      <c r="H211" s="320">
        <f>+'4 - Cost Support'!S153</f>
        <v>0</v>
      </c>
    </row>
    <row r="212" spans="1:8">
      <c r="A212" s="355">
        <f>+A211+1</f>
        <v>122</v>
      </c>
      <c r="B212" s="355"/>
      <c r="C212" s="467" t="s">
        <v>149</v>
      </c>
      <c r="D212" s="468"/>
      <c r="F212" s="290" t="str">
        <f>"(Attachment 4, Line "&amp;'4 - Cost Support'!A154&amp;")"</f>
        <v>(Attachment 4, Line 66)</v>
      </c>
      <c r="G212" s="1030"/>
      <c r="H212" s="558">
        <f>+'4 - Cost Support'!S154</f>
        <v>1.8499999999999999E-2</v>
      </c>
    </row>
    <row r="213" spans="1:8">
      <c r="A213" s="355">
        <f>+A212+1</f>
        <v>123</v>
      </c>
      <c r="B213" s="355"/>
      <c r="C213" s="467" t="s">
        <v>150</v>
      </c>
      <c r="D213" s="467" t="s">
        <v>151</v>
      </c>
      <c r="F213" s="316" t="s">
        <v>152</v>
      </c>
      <c r="G213" s="1030"/>
      <c r="H213" s="318">
        <v>0</v>
      </c>
    </row>
    <row r="214" spans="1:8">
      <c r="A214" s="367">
        <f>+A213+1</f>
        <v>124</v>
      </c>
      <c r="B214" s="367"/>
      <c r="C214" s="467" t="s">
        <v>153</v>
      </c>
      <c r="D214" s="469" t="s">
        <v>154</v>
      </c>
      <c r="E214" s="384"/>
      <c r="F214" s="331"/>
      <c r="G214" s="1030"/>
      <c r="H214" s="319">
        <f>+H210+H211+H212-(H211+H212)*H210-(H210*H213*H211)</f>
        <v>0.22461499999999998</v>
      </c>
    </row>
    <row r="215" spans="1:8" s="58" customFormat="1">
      <c r="A215" s="384">
        <f>A214+1</f>
        <v>125</v>
      </c>
      <c r="B215" s="284"/>
      <c r="C215" s="467" t="s">
        <v>155</v>
      </c>
      <c r="D215" s="284"/>
      <c r="E215" s="284"/>
      <c r="F215" s="284"/>
      <c r="G215" s="1046"/>
      <c r="H215" s="320">
        <f>H214/(1-H214)</f>
        <v>0.28968189995937499</v>
      </c>
    </row>
    <row r="216" spans="1:8" s="58" customFormat="1">
      <c r="A216" s="384">
        <f>+A215+1</f>
        <v>126</v>
      </c>
      <c r="B216" s="284"/>
      <c r="C216" s="467" t="s">
        <v>156</v>
      </c>
      <c r="D216" s="284"/>
      <c r="E216" s="284"/>
      <c r="F216" s="284"/>
      <c r="G216" s="1046"/>
      <c r="H216" s="320">
        <f>1/(1-H214)</f>
        <v>1.2896818999593751</v>
      </c>
    </row>
    <row r="217" spans="1:8">
      <c r="A217" s="355"/>
      <c r="B217" s="355"/>
      <c r="E217" s="396"/>
      <c r="F217" s="316"/>
      <c r="G217" s="1062"/>
      <c r="H217" s="319"/>
    </row>
    <row r="218" spans="1:8">
      <c r="A218" s="355"/>
      <c r="B218" s="466" t="s">
        <v>157</v>
      </c>
      <c r="C218" s="361"/>
      <c r="E218" s="357"/>
      <c r="F218" s="316"/>
      <c r="G218" s="1062"/>
      <c r="H218" s="1093"/>
    </row>
    <row r="219" spans="1:8">
      <c r="A219" s="355">
        <f>+A216+1</f>
        <v>127</v>
      </c>
      <c r="B219" s="355"/>
      <c r="C219" s="380" t="s">
        <v>158</v>
      </c>
      <c r="D219" s="366"/>
      <c r="E219" s="357"/>
      <c r="F219" s="290" t="str">
        <f>"(Attachment 4, Line "&amp;'4 - Cost Support'!A161&amp;")"</f>
        <v>(Attachment 4, Line 68)</v>
      </c>
      <c r="G219" s="1062"/>
      <c r="H219" s="290">
        <f>'4 - Cost Support'!S161</f>
        <v>0</v>
      </c>
    </row>
    <row r="220" spans="1:8">
      <c r="A220" s="355">
        <f t="shared" ref="A220:A225" si="5">+A219+1</f>
        <v>128</v>
      </c>
      <c r="B220" s="355"/>
      <c r="C220" s="380" t="s">
        <v>159</v>
      </c>
      <c r="D220" s="366"/>
      <c r="E220" s="357"/>
      <c r="F220" s="290" t="str">
        <f>"(Attachment 4, Line "&amp;'4 - Cost Support'!A160&amp;")"</f>
        <v>(Attachment 4, Line 67)</v>
      </c>
      <c r="G220" s="1062"/>
      <c r="H220" s="290">
        <f>'4 - Cost Support'!S160</f>
        <v>0</v>
      </c>
    </row>
    <row r="221" spans="1:8">
      <c r="A221" s="355">
        <f t="shared" si="5"/>
        <v>129</v>
      </c>
      <c r="B221" s="355"/>
      <c r="C221" s="414" t="s">
        <v>30</v>
      </c>
      <c r="D221" s="385"/>
      <c r="E221" s="442"/>
      <c r="F221" s="390" t="str">
        <f>"(Line "&amp;A$16&amp;")"</f>
        <v>(Line 5)</v>
      </c>
      <c r="G221" s="1060"/>
      <c r="H221" s="686">
        <f>+H16</f>
        <v>0.15894128950099584</v>
      </c>
    </row>
    <row r="222" spans="1:8">
      <c r="A222" s="355">
        <f t="shared" si="5"/>
        <v>130</v>
      </c>
      <c r="B222" s="355"/>
      <c r="C222" s="380" t="s">
        <v>160</v>
      </c>
      <c r="D222" s="331"/>
      <c r="E222" s="367"/>
      <c r="F222" s="295" t="str">
        <f>"(Line "&amp;A220&amp;" * Line "&amp;A221&amp;")"</f>
        <v>(Line 128 * Line 129)</v>
      </c>
      <c r="G222" s="1053"/>
      <c r="H222" s="302">
        <f>+H220*H221</f>
        <v>0</v>
      </c>
    </row>
    <row r="223" spans="1:8">
      <c r="A223" s="355">
        <f t="shared" si="5"/>
        <v>131</v>
      </c>
      <c r="B223" s="355"/>
      <c r="C223" s="380" t="s">
        <v>161</v>
      </c>
      <c r="D223" s="331"/>
      <c r="E223" s="367"/>
      <c r="F223" s="295" t="str">
        <f>"(Line "&amp;A219&amp;" + Line "&amp;A222&amp;")"</f>
        <v>(Line 127 + Line 130)</v>
      </c>
      <c r="G223" s="1053"/>
      <c r="H223" s="302">
        <f>+H219+H222</f>
        <v>0</v>
      </c>
    </row>
    <row r="224" spans="1:8">
      <c r="A224" s="367">
        <f t="shared" si="5"/>
        <v>132</v>
      </c>
      <c r="B224" s="367"/>
      <c r="C224" s="389" t="s">
        <v>156</v>
      </c>
      <c r="D224" s="390"/>
      <c r="E224" s="415"/>
      <c r="F224" s="369" t="str">
        <f>"(Line "&amp;A216&amp;")"</f>
        <v>(Line 126)</v>
      </c>
      <c r="G224" s="1063"/>
      <c r="H224" s="671">
        <f>+H216</f>
        <v>1.2896818999593751</v>
      </c>
    </row>
    <row r="225" spans="1:8">
      <c r="A225" s="355">
        <f t="shared" si="5"/>
        <v>133</v>
      </c>
      <c r="B225" s="355"/>
      <c r="C225" s="472" t="s">
        <v>162</v>
      </c>
      <c r="D225" s="352"/>
      <c r="E225" s="357"/>
      <c r="F225" s="295" t="str">
        <f>"(Line "&amp;A223&amp;" * Line "&amp;A224&amp;")"</f>
        <v>(Line 131 * Line 132)</v>
      </c>
      <c r="G225" s="1056"/>
      <c r="H225" s="308">
        <f>+H223*H224</f>
        <v>0</v>
      </c>
    </row>
    <row r="226" spans="1:8">
      <c r="A226" s="355"/>
      <c r="B226" s="355"/>
      <c r="C226" s="472"/>
      <c r="D226" s="352"/>
      <c r="E226" s="357"/>
      <c r="F226" s="295"/>
      <c r="G226" s="1056"/>
      <c r="H226" s="308"/>
    </row>
    <row r="227" spans="1:8">
      <c r="A227" s="355"/>
      <c r="B227" s="490" t="s">
        <v>163</v>
      </c>
      <c r="C227" s="472"/>
      <c r="D227" s="352"/>
      <c r="E227" s="357"/>
      <c r="F227" s="295"/>
      <c r="G227" s="1056"/>
      <c r="H227" s="308"/>
    </row>
    <row r="228" spans="1:8">
      <c r="A228" s="355">
        <f>+A225+1</f>
        <v>134</v>
      </c>
      <c r="B228" s="355"/>
      <c r="C228" s="380" t="s">
        <v>163</v>
      </c>
      <c r="D228" s="366"/>
      <c r="E228" s="357"/>
      <c r="F228" s="290" t="str">
        <f>"(Attachment 4, Line "&amp;'4 - Cost Support'!A162&amp;")"</f>
        <v>(Attachment 4, Line 69)</v>
      </c>
      <c r="G228" s="1062"/>
      <c r="H228" s="290">
        <f>+'4 - Cost Support'!S162</f>
        <v>232055</v>
      </c>
    </row>
    <row r="229" spans="1:8">
      <c r="A229" s="355">
        <f>+A228+1</f>
        <v>135</v>
      </c>
      <c r="B229" s="355"/>
      <c r="C229" s="912" t="s">
        <v>164</v>
      </c>
      <c r="D229" s="366"/>
      <c r="E229" s="357"/>
      <c r="F229" s="295" t="str">
        <f>"(Line "&amp;A214&amp;" * Line "&amp;A228&amp;")"</f>
        <v>(Line 124 * Line 134)</v>
      </c>
      <c r="G229" s="1062"/>
      <c r="H229" s="290">
        <f>+H228*H214</f>
        <v>52123.033824999999</v>
      </c>
    </row>
    <row r="230" spans="1:8">
      <c r="A230" s="355">
        <f>+A229+1</f>
        <v>136</v>
      </c>
      <c r="B230" s="355"/>
      <c r="C230" s="380" t="s">
        <v>156</v>
      </c>
      <c r="D230" s="331"/>
      <c r="E230" s="415"/>
      <c r="F230" s="369" t="str">
        <f>"(Line "&amp;A216&amp;")"</f>
        <v>(Line 126)</v>
      </c>
      <c r="G230" s="1064"/>
      <c r="H230" s="320">
        <f>+H216</f>
        <v>1.2896818999593751</v>
      </c>
    </row>
    <row r="231" spans="1:8">
      <c r="A231" s="355">
        <f>+A230+1</f>
        <v>137</v>
      </c>
      <c r="B231" s="355"/>
      <c r="C231" s="471" t="s">
        <v>165</v>
      </c>
      <c r="D231" s="386"/>
      <c r="E231" s="357"/>
      <c r="F231" s="295" t="str">
        <f>"(Line "&amp;A229&amp;" * Line "&amp;A230&amp;")"</f>
        <v>(Line 135 * Line 136)</v>
      </c>
      <c r="G231" s="1055"/>
      <c r="H231" s="321">
        <f>+H229*H230</f>
        <v>67222.133295072766</v>
      </c>
    </row>
    <row r="232" spans="1:8">
      <c r="A232" s="355"/>
      <c r="B232" s="355"/>
      <c r="C232" s="472"/>
      <c r="D232" s="352"/>
      <c r="E232" s="357"/>
      <c r="F232" s="295"/>
      <c r="G232" s="1056"/>
      <c r="H232" s="308"/>
    </row>
    <row r="233" spans="1:8">
      <c r="A233" s="355"/>
      <c r="B233" s="490" t="s">
        <v>166</v>
      </c>
      <c r="C233" s="472"/>
      <c r="D233" s="352"/>
      <c r="E233" s="357"/>
      <c r="F233" s="295"/>
      <c r="G233" s="1056"/>
      <c r="H233" s="308"/>
    </row>
    <row r="234" spans="1:8">
      <c r="A234" s="355">
        <f>+A231+1</f>
        <v>138</v>
      </c>
      <c r="B234" s="355"/>
      <c r="C234" s="454" t="s">
        <v>167</v>
      </c>
      <c r="D234" s="352"/>
      <c r="E234" s="357" t="str">
        <f>"(Note "&amp;B309&amp;")"</f>
        <v>(Note N)</v>
      </c>
      <c r="F234" s="290" t="str">
        <f>"(Attachment 4, Line "&amp;'4 - Cost Support'!A203&amp;")"</f>
        <v>(Attachment 4, Line 78)</v>
      </c>
      <c r="G234" s="1056"/>
      <c r="H234" s="302">
        <f>+'4 - Cost Support'!R203</f>
        <v>-2873033.8514752002</v>
      </c>
    </row>
    <row r="235" spans="1:8">
      <c r="A235" s="355">
        <f>+A234+1</f>
        <v>139</v>
      </c>
      <c r="B235" s="355"/>
      <c r="C235" s="380" t="s">
        <v>156</v>
      </c>
      <c r="D235" s="331"/>
      <c r="E235" s="370"/>
      <c r="F235" s="369" t="str">
        <f>+F224</f>
        <v>(Line 126)</v>
      </c>
      <c r="G235" s="1064"/>
      <c r="H235" s="320">
        <f>+H216</f>
        <v>1.2896818999593751</v>
      </c>
    </row>
    <row r="236" spans="1:8">
      <c r="A236" s="355">
        <f>+A235+1</f>
        <v>140</v>
      </c>
      <c r="B236" s="355"/>
      <c r="C236" s="471" t="s">
        <v>168</v>
      </c>
      <c r="D236" s="386"/>
      <c r="E236" s="357"/>
      <c r="F236" s="295" t="str">
        <f>"(Line "&amp;A234&amp;" * Line "&amp;A235&amp;")"</f>
        <v>(Line 138 * Line 139)</v>
      </c>
      <c r="G236" s="1055"/>
      <c r="H236" s="321">
        <f>+H234*H235</f>
        <v>-3705299.7562181372</v>
      </c>
    </row>
    <row r="237" spans="1:8" ht="142.5" customHeight="1">
      <c r="A237" s="367">
        <f>+A236+1</f>
        <v>141</v>
      </c>
      <c r="B237" s="405" t="s">
        <v>169</v>
      </c>
      <c r="C237" s="284"/>
      <c r="D237" s="723" t="s">
        <v>170</v>
      </c>
      <c r="E237" s="366"/>
      <c r="F237" s="722" t="str">
        <f>"(Line "&amp;A215&amp;" * Line "&amp;A114&amp;" * (Line "&amp;A203&amp;" + Line "&amp;A204&amp;"))"</f>
        <v>(Line 125 * Line 59 * (Line 116 + Line 117))</v>
      </c>
      <c r="G237" s="1046"/>
      <c r="H237" s="595">
        <f>+H215*H114*(H203+H204)</f>
        <v>4472806.1287852414</v>
      </c>
    </row>
    <row r="238" spans="1:8" ht="21" thickBot="1">
      <c r="A238" s="355">
        <f>+A237+1</f>
        <v>142</v>
      </c>
      <c r="B238" s="473" t="s">
        <v>171</v>
      </c>
      <c r="C238" s="473"/>
      <c r="D238" s="474"/>
      <c r="E238" s="397"/>
      <c r="F238" s="475" t="str">
        <f>"(Line "&amp;A225&amp;" + Line "&amp;A231&amp;" + Line "&amp;A236&amp;" + Line "&amp;A237&amp;")"</f>
        <v>(Line 133 + Line 137 + Line 140 + Line 141)</v>
      </c>
      <c r="G238" s="1040"/>
      <c r="H238" s="794">
        <f>H225+H231+H236+H237</f>
        <v>834728.50586217688</v>
      </c>
    </row>
    <row r="239" spans="1:8" ht="21" thickTop="1">
      <c r="A239" s="355"/>
      <c r="B239" s="355"/>
      <c r="C239" s="476"/>
      <c r="F239" s="303"/>
      <c r="G239" s="1062"/>
      <c r="H239" s="317"/>
    </row>
    <row r="240" spans="1:8">
      <c r="A240" s="429" t="s">
        <v>172</v>
      </c>
      <c r="B240" s="430"/>
      <c r="C240" s="431"/>
      <c r="D240" s="432"/>
      <c r="E240" s="433"/>
      <c r="F240" s="301"/>
      <c r="G240" s="1057"/>
      <c r="H240" s="287"/>
    </row>
    <row r="241" spans="1:8">
      <c r="A241" s="330"/>
      <c r="B241" s="293"/>
      <c r="C241" s="293"/>
      <c r="D241" s="293"/>
      <c r="H241" s="774"/>
    </row>
    <row r="242" spans="1:8">
      <c r="A242" s="330"/>
      <c r="B242" s="424" t="s">
        <v>173</v>
      </c>
      <c r="C242" s="285"/>
      <c r="D242" s="373"/>
    </row>
    <row r="243" spans="1:8">
      <c r="A243" s="330">
        <f>+A238+1</f>
        <v>143</v>
      </c>
      <c r="B243" s="293"/>
      <c r="C243" s="285" t="s">
        <v>174</v>
      </c>
      <c r="D243" s="373"/>
      <c r="F243" s="295" t="str">
        <f>"(Line "&amp;A57&amp;")"</f>
        <v>(Line 29)</v>
      </c>
      <c r="H243" s="703">
        <f>H57</f>
        <v>351494397.58542192</v>
      </c>
    </row>
    <row r="244" spans="1:8">
      <c r="A244" s="355">
        <f>+A243+1</f>
        <v>144</v>
      </c>
      <c r="B244" s="293"/>
      <c r="C244" s="285" t="s">
        <v>76</v>
      </c>
      <c r="D244" s="373"/>
      <c r="F244" s="294" t="str">
        <f>"(Line "&amp;A112&amp;")"</f>
        <v>(Line 58)</v>
      </c>
      <c r="H244" s="703">
        <f>H112</f>
        <v>-78937304.965943009</v>
      </c>
    </row>
    <row r="245" spans="1:8">
      <c r="A245" s="355">
        <f>+A244+1</f>
        <v>145</v>
      </c>
      <c r="B245" s="355"/>
      <c r="C245" s="420" t="s">
        <v>77</v>
      </c>
      <c r="D245" s="477"/>
      <c r="E245" s="478"/>
      <c r="F245" s="295" t="str">
        <f>"(Line "&amp;A114&amp;")"</f>
        <v>(Line 59)</v>
      </c>
      <c r="G245" s="1041"/>
      <c r="H245" s="321">
        <f>SUM(H243:H244)</f>
        <v>272557092.61947894</v>
      </c>
    </row>
    <row r="246" spans="1:8">
      <c r="A246" s="355"/>
      <c r="B246" s="355"/>
      <c r="C246" s="388"/>
      <c r="D246" s="352"/>
      <c r="E246" s="300"/>
      <c r="F246" s="331"/>
      <c r="H246" s="703"/>
    </row>
    <row r="247" spans="1:8">
      <c r="A247" s="355">
        <f>+A245+1</f>
        <v>146</v>
      </c>
      <c r="C247" s="388" t="s">
        <v>175</v>
      </c>
      <c r="D247" s="374"/>
      <c r="F247" s="295" t="str">
        <f>"(Line "&amp;A144&amp;")"</f>
        <v>(Line 78)</v>
      </c>
      <c r="H247" s="703">
        <f>H144</f>
        <v>16613289.12522961</v>
      </c>
    </row>
    <row r="248" spans="1:8">
      <c r="A248" s="355">
        <f>+A247+1</f>
        <v>147</v>
      </c>
      <c r="C248" s="411" t="s">
        <v>103</v>
      </c>
      <c r="D248" s="374"/>
      <c r="F248" s="295" t="str">
        <f>"(Line "&amp;A158&amp;")"</f>
        <v>(Line 86)</v>
      </c>
      <c r="H248" s="703">
        <f>H158</f>
        <v>12738871.455402328</v>
      </c>
    </row>
    <row r="249" spans="1:8">
      <c r="A249" s="355">
        <f>+A248+1</f>
        <v>148</v>
      </c>
      <c r="B249" s="355"/>
      <c r="C249" s="388" t="s">
        <v>176</v>
      </c>
      <c r="D249" s="352"/>
      <c r="E249" s="300"/>
      <c r="F249" s="295" t="str">
        <f>"(Line "&amp;A164&amp;")"</f>
        <v>(Line 88)</v>
      </c>
      <c r="H249" s="703">
        <f>H164</f>
        <v>18630978.552873544</v>
      </c>
    </row>
    <row r="250" spans="1:8">
      <c r="A250" s="355">
        <f>+A249+1</f>
        <v>149</v>
      </c>
      <c r="B250" s="355"/>
      <c r="C250" s="479" t="s">
        <v>177</v>
      </c>
      <c r="D250" s="352"/>
      <c r="E250" s="300"/>
      <c r="F250" s="295" t="str">
        <f>"(Line "&amp;A207&amp;")"</f>
        <v>(Line 119)</v>
      </c>
      <c r="H250" s="703">
        <f>H207</f>
        <v>20275960.971331548</v>
      </c>
    </row>
    <row r="251" spans="1:8">
      <c r="A251" s="355">
        <f>+A250+1</f>
        <v>150</v>
      </c>
      <c r="B251" s="355"/>
      <c r="C251" s="479" t="s">
        <v>178</v>
      </c>
      <c r="D251" s="352"/>
      <c r="E251" s="300"/>
      <c r="F251" s="295" t="str">
        <f>"(Line "&amp;A238&amp;")"</f>
        <v>(Line 142)</v>
      </c>
      <c r="H251" s="703">
        <f>H238</f>
        <v>834728.50586217688</v>
      </c>
    </row>
    <row r="252" spans="1:8">
      <c r="A252" s="355"/>
      <c r="B252" s="355"/>
      <c r="C252" s="479"/>
      <c r="D252" s="352"/>
      <c r="E252" s="300"/>
      <c r="F252" s="331"/>
      <c r="H252" s="703"/>
    </row>
    <row r="253" spans="1:8">
      <c r="A253" s="480">
        <f>+A251+1</f>
        <v>151</v>
      </c>
      <c r="B253" s="481"/>
      <c r="C253" s="482" t="s">
        <v>179</v>
      </c>
      <c r="D253" s="483"/>
      <c r="E253" s="974" t="str">
        <f>"(Note "&amp;B316&amp;")"</f>
        <v>(Note U)</v>
      </c>
      <c r="F253" s="484" t="str">
        <f>"(Sum Lines "&amp;A247&amp;" to "&amp;A251&amp;")"</f>
        <v>(Sum Lines 146 to 150)</v>
      </c>
      <c r="G253" s="1065"/>
      <c r="H253" s="716">
        <f>SUM(H247:H251)</f>
        <v>69093828.610699207</v>
      </c>
    </row>
    <row r="254" spans="1:8">
      <c r="A254" s="485"/>
      <c r="B254" s="470"/>
      <c r="C254" s="406"/>
      <c r="D254" s="345"/>
      <c r="E254" s="486"/>
      <c r="F254" s="449"/>
      <c r="G254" s="1034"/>
      <c r="H254" s="308"/>
    </row>
    <row r="255" spans="1:8">
      <c r="A255" s="485"/>
      <c r="B255" s="472" t="s">
        <v>180</v>
      </c>
      <c r="C255" s="406"/>
      <c r="D255" s="345"/>
      <c r="E255" s="486"/>
      <c r="F255" s="449"/>
      <c r="G255" s="1034"/>
      <c r="H255" s="308"/>
    </row>
    <row r="256" spans="1:8">
      <c r="A256" s="441">
        <f>+A253+1</f>
        <v>152</v>
      </c>
      <c r="B256" s="441"/>
      <c r="C256" s="388" t="str">
        <f>+C33</f>
        <v>Transmission Plant In Service</v>
      </c>
      <c r="D256" s="345"/>
      <c r="E256" s="486"/>
      <c r="F256" s="295" t="str">
        <f>"(Line "&amp;A33&amp;")"</f>
        <v>(Line 13)</v>
      </c>
      <c r="G256" s="1034"/>
      <c r="H256" s="302">
        <f>H33</f>
        <v>584259533.27753854</v>
      </c>
    </row>
    <row r="257" spans="1:8">
      <c r="A257" s="441">
        <f>+A256+1</f>
        <v>153</v>
      </c>
      <c r="B257" s="441"/>
      <c r="C257" s="389" t="s">
        <v>181</v>
      </c>
      <c r="D257" s="487"/>
      <c r="E257" s="370" t="str">
        <f>"(Note "&amp;B$296&amp;" &amp; "&amp;B$304&amp;")"</f>
        <v>(Note A &amp; I)</v>
      </c>
      <c r="F257" s="294" t="str">
        <f>"(Attachment 4, Line "&amp;'4 - Cost Support'!A168&amp;")"</f>
        <v>(Attachment 4, Line 70)</v>
      </c>
      <c r="G257" s="1050"/>
      <c r="H257" s="306">
        <f>+'4 - Cost Support'!T168</f>
        <v>2461408</v>
      </c>
    </row>
    <row r="258" spans="1:8">
      <c r="A258" s="441">
        <f>+A257+1</f>
        <v>154</v>
      </c>
      <c r="B258" s="441"/>
      <c r="C258" s="388" t="s">
        <v>182</v>
      </c>
      <c r="D258" s="345"/>
      <c r="E258" s="488"/>
      <c r="F258" s="295" t="str">
        <f>"(Line "&amp;A256&amp;" - Line "&amp;A257&amp;")"</f>
        <v>(Line 152 - Line 153)</v>
      </c>
      <c r="G258" s="1034"/>
      <c r="H258" s="302">
        <f>H256-H257</f>
        <v>581798125.27753854</v>
      </c>
    </row>
    <row r="259" spans="1:8">
      <c r="A259" s="441">
        <f>+A258+1</f>
        <v>155</v>
      </c>
      <c r="B259" s="441"/>
      <c r="C259" s="388" t="s">
        <v>183</v>
      </c>
      <c r="D259" s="345"/>
      <c r="E259" s="486"/>
      <c r="F259" s="295" t="str">
        <f>"(Line "&amp;A258&amp;" / Line "&amp;A256&amp;")"</f>
        <v>(Line 154 / Line 152)</v>
      </c>
      <c r="G259" s="1034"/>
      <c r="H259" s="706">
        <f>H258/H256</f>
        <v>0.99578713249881923</v>
      </c>
    </row>
    <row r="260" spans="1:8">
      <c r="A260" s="441">
        <f>+A259+1</f>
        <v>156</v>
      </c>
      <c r="B260" s="441"/>
      <c r="C260" s="389" t="s">
        <v>184</v>
      </c>
      <c r="D260" s="487"/>
      <c r="E260" s="489"/>
      <c r="F260" s="294" t="str">
        <f>"(Line "&amp;A253&amp;")"</f>
        <v>(Line 151)</v>
      </c>
      <c r="G260" s="1050"/>
      <c r="H260" s="306">
        <f>H253</f>
        <v>69093828.610699207</v>
      </c>
    </row>
    <row r="261" spans="1:8">
      <c r="A261" s="441">
        <f>+A260+1</f>
        <v>157</v>
      </c>
      <c r="B261" s="441"/>
      <c r="C261" s="406" t="s">
        <v>185</v>
      </c>
      <c r="D261" s="345"/>
      <c r="E261" s="486"/>
      <c r="F261" s="295" t="str">
        <f>"(Line "&amp;A259&amp;" * Line "&amp;A260&amp;")"</f>
        <v>(Line 155 * Line 156)</v>
      </c>
      <c r="G261" s="1034"/>
      <c r="H261" s="595">
        <f>H259*H260</f>
        <v>68802745.465613037</v>
      </c>
    </row>
    <row r="262" spans="1:8">
      <c r="A262" s="399"/>
      <c r="B262" s="355"/>
      <c r="C262" s="388"/>
      <c r="D262" s="352"/>
      <c r="E262" s="300"/>
      <c r="F262" s="331"/>
      <c r="H262" s="710"/>
    </row>
    <row r="263" spans="1:8">
      <c r="A263" s="399"/>
      <c r="B263" s="490" t="s">
        <v>186</v>
      </c>
      <c r="C263" s="388"/>
      <c r="D263" s="352"/>
      <c r="E263" s="300"/>
      <c r="F263" s="331"/>
      <c r="H263" s="710"/>
    </row>
    <row r="264" spans="1:8">
      <c r="A264" s="367">
        <f>+A261+1</f>
        <v>158</v>
      </c>
      <c r="B264" s="293"/>
      <c r="C264" s="490" t="s">
        <v>187</v>
      </c>
      <c r="D264" s="491"/>
      <c r="E264" s="357"/>
      <c r="F264" s="290" t="str">
        <f>"(Attachment 3, Line "&amp;'3 - Revenue Credits'!A34&amp;")"</f>
        <v>(Attachment 3, Line 17)</v>
      </c>
      <c r="H264" s="302">
        <f>+'3 - Revenue Credits'!D34</f>
        <v>-2578753.02</v>
      </c>
    </row>
    <row r="265" spans="1:8" ht="21" thickBot="1">
      <c r="A265" s="355"/>
      <c r="B265" s="355"/>
      <c r="C265" s="285"/>
      <c r="D265" s="285"/>
      <c r="F265" s="492"/>
      <c r="H265" s="710"/>
    </row>
    <row r="266" spans="1:8" s="17" customFormat="1" ht="21" thickBot="1">
      <c r="A266" s="493">
        <f>+A264+1</f>
        <v>159</v>
      </c>
      <c r="B266" s="494"/>
      <c r="C266" s="495" t="s">
        <v>188</v>
      </c>
      <c r="D266" s="323"/>
      <c r="E266" s="496"/>
      <c r="F266" s="497" t="str">
        <f>"(Line "&amp;A261&amp;" + Line "&amp;A264&amp;")"</f>
        <v>(Line 157 + Line 158)</v>
      </c>
      <c r="G266" s="1042"/>
      <c r="H266" s="717">
        <f>H261+H264</f>
        <v>66223992.445613034</v>
      </c>
    </row>
    <row r="267" spans="1:8" s="17" customFormat="1">
      <c r="A267" s="485"/>
      <c r="B267" s="423"/>
      <c r="C267" s="472"/>
      <c r="D267" s="743"/>
      <c r="E267" s="422"/>
      <c r="F267" s="449"/>
      <c r="G267" s="1034"/>
      <c r="H267" s="595"/>
    </row>
    <row r="268" spans="1:8" s="17" customFormat="1">
      <c r="A268" s="429" t="s">
        <v>189</v>
      </c>
      <c r="B268" s="430"/>
      <c r="C268" s="431"/>
      <c r="D268" s="432"/>
      <c r="E268" s="433"/>
      <c r="F268" s="301"/>
      <c r="G268" s="1057"/>
      <c r="H268" s="287"/>
    </row>
    <row r="269" spans="1:8">
      <c r="A269" s="399"/>
      <c r="B269" s="355"/>
      <c r="C269" s="285"/>
      <c r="D269" s="285"/>
      <c r="F269" s="316"/>
      <c r="H269" s="710"/>
    </row>
    <row r="270" spans="1:8">
      <c r="A270" s="367"/>
      <c r="B270" s="343" t="s">
        <v>190</v>
      </c>
      <c r="C270" s="284"/>
      <c r="D270" s="285"/>
      <c r="F270" s="331"/>
      <c r="H270" s="710"/>
    </row>
    <row r="271" spans="1:8">
      <c r="A271" s="367">
        <f>+A266+1</f>
        <v>160</v>
      </c>
      <c r="B271" s="367"/>
      <c r="C271" s="285" t="str">
        <f>+C260</f>
        <v>Gross Revenue Requirement</v>
      </c>
      <c r="D271" s="285"/>
      <c r="F271" s="331" t="str">
        <f>"(Line "&amp;A253&amp;")"</f>
        <v>(Line 151)</v>
      </c>
      <c r="H271" s="595">
        <f>+H253</f>
        <v>69093828.610699207</v>
      </c>
    </row>
    <row r="272" spans="1:8">
      <c r="A272" s="367">
        <f>+A271+1</f>
        <v>161</v>
      </c>
      <c r="B272" s="367"/>
      <c r="C272" s="285" t="s">
        <v>191</v>
      </c>
      <c r="D272" s="285"/>
      <c r="F272" s="331" t="str">
        <f>"(Line "&amp;A33&amp;" + Line "&amp;A46&amp;" + Line "&amp;A68&amp;")"</f>
        <v>(Line 13 + Line 21 + Line 32)</v>
      </c>
      <c r="H272" s="595">
        <f>+H33+H46+H68</f>
        <v>352996088.60845184</v>
      </c>
    </row>
    <row r="273" spans="1:8">
      <c r="A273" s="367">
        <f>+A272+1</f>
        <v>162</v>
      </c>
      <c r="B273" s="367"/>
      <c r="C273" s="285" t="s">
        <v>192</v>
      </c>
      <c r="D273" s="285"/>
      <c r="F273" s="331" t="str">
        <f>"(Line "&amp;A271&amp;" / Line "&amp;A272&amp;")"</f>
        <v>(Line 160 / Line 161)</v>
      </c>
      <c r="H273" s="718">
        <f>H271/H272</f>
        <v>0.19573539435826168</v>
      </c>
    </row>
    <row r="274" spans="1:8">
      <c r="A274" s="367">
        <f>+A273+1</f>
        <v>163</v>
      </c>
      <c r="B274" s="367"/>
      <c r="C274" s="285" t="s">
        <v>193</v>
      </c>
      <c r="D274" s="285"/>
      <c r="F274" s="331" t="str">
        <f>"(Line "&amp;A271&amp;" - Line "&amp;A149&amp;") / Line "&amp;A272</f>
        <v>(Line 160 - Line 79) / Line 161</v>
      </c>
      <c r="H274" s="718">
        <f>(H271-H149)/H272</f>
        <v>0.16225529702822133</v>
      </c>
    </row>
    <row r="275" spans="1:8">
      <c r="A275" s="367">
        <f>+A274+1</f>
        <v>164</v>
      </c>
      <c r="B275" s="367"/>
      <c r="C275" s="285" t="s">
        <v>194</v>
      </c>
      <c r="D275" s="285"/>
      <c r="E275" s="384"/>
      <c r="F275" s="331" t="str">
        <f>"(Line "&amp;A271&amp;" - Line "&amp;A149&amp;" - Line "&amp;A250&amp;" - Line "&amp;A251&amp;") / Line "&amp;A272</f>
        <v>(Line 160 - Line 79 - Line 149 - Line 150) / Line 161</v>
      </c>
      <c r="H275" s="718">
        <f>(H271-H149-H250-H251)/H272</f>
        <v>0.1024509814608327</v>
      </c>
    </row>
    <row r="276" spans="1:8">
      <c r="A276" s="367"/>
      <c r="B276" s="367"/>
      <c r="C276" s="285"/>
      <c r="D276" s="285"/>
      <c r="F276" s="331"/>
      <c r="H276" s="710"/>
    </row>
    <row r="277" spans="1:8">
      <c r="A277" s="367">
        <f>+A275+1</f>
        <v>165</v>
      </c>
      <c r="B277" s="367"/>
      <c r="C277" s="343" t="s">
        <v>188</v>
      </c>
      <c r="D277" s="285"/>
      <c r="E277" s="384"/>
      <c r="F277" s="331" t="str">
        <f>"(Line "&amp;A266&amp;")"</f>
        <v>(Line 159)</v>
      </c>
      <c r="H277" s="595">
        <f>H266</f>
        <v>66223992.445613034</v>
      </c>
    </row>
    <row r="278" spans="1:8">
      <c r="A278" s="367">
        <f t="shared" ref="A278:A283" si="6">+A277+1</f>
        <v>166</v>
      </c>
      <c r="B278" s="367"/>
      <c r="C278" s="285" t="s">
        <v>195</v>
      </c>
      <c r="D278" s="285"/>
      <c r="E278" s="357" t="str">
        <f>"(Note "&amp;B$311&amp;")"</f>
        <v>(Note P)</v>
      </c>
      <c r="F278" s="290" t="str">
        <f>"(Attachment 6A, Line "&amp;'6A - NITS True-Up '!B41&amp;")"</f>
        <v>(Attachment 6A, Line F)</v>
      </c>
      <c r="H278" s="595">
        <f>'6A - NITS True-Up '!I40</f>
        <v>-378283.90317942324</v>
      </c>
    </row>
    <row r="279" spans="1:8">
      <c r="A279" s="367">
        <f t="shared" si="6"/>
        <v>167</v>
      </c>
      <c r="B279" s="367"/>
      <c r="C279" s="285" t="s">
        <v>196</v>
      </c>
      <c r="D279" s="285"/>
      <c r="E279" s="357"/>
      <c r="F279" s="290" t="str">
        <f>"(Attachment 11, Line "&amp;'11 - Corrections'!A29&amp;")"</f>
        <v>(Attachment 11, Line 11)</v>
      </c>
      <c r="H279" s="595">
        <f>+'11 - Corrections'!F29</f>
        <v>0</v>
      </c>
    </row>
    <row r="280" spans="1:8">
      <c r="A280" s="367">
        <f t="shared" si="6"/>
        <v>168</v>
      </c>
      <c r="B280" s="367"/>
      <c r="C280" s="285" t="s">
        <v>197</v>
      </c>
      <c r="D280" s="285"/>
      <c r="E280" s="357" t="str">
        <f>"(Note "&amp;B$312&amp;")"</f>
        <v>(Note Q)</v>
      </c>
      <c r="F280" s="290" t="str">
        <f>"(Attachment 7A, Line "&amp;'7A - Project ROE Adder'!A18&amp;")"</f>
        <v>(Attachment 7A, Line 9)</v>
      </c>
      <c r="G280" s="1046"/>
      <c r="H280" s="595">
        <f>+'7A - Project ROE Adder'!E18</f>
        <v>0</v>
      </c>
    </row>
    <row r="281" spans="1:8">
      <c r="A281" s="367">
        <f t="shared" si="6"/>
        <v>169</v>
      </c>
      <c r="B281" s="367"/>
      <c r="C281" s="285" t="s">
        <v>198</v>
      </c>
      <c r="D281" s="285"/>
      <c r="E281" s="357" t="str">
        <f>"(Note "&amp;B$313&amp;")"</f>
        <v>(Note R)</v>
      </c>
      <c r="F281" s="290" t="str">
        <f>"(Attachment 7B, Line "&amp;'7B - Schedule 12 Projects'!A23&amp;")"</f>
        <v>(Attachment 7B, Line 10)</v>
      </c>
      <c r="G281" s="1073"/>
      <c r="H281" s="595">
        <f>+'7B - Schedule 12 Projects'!E23</f>
        <v>4541507.5079336241</v>
      </c>
    </row>
    <row r="282" spans="1:8">
      <c r="A282" s="367">
        <f t="shared" si="6"/>
        <v>170</v>
      </c>
      <c r="B282" s="367"/>
      <c r="C282" s="390" t="s">
        <v>199</v>
      </c>
      <c r="D282" s="688"/>
      <c r="E282" s="370" t="str">
        <f>"(Note "&amp;B$314&amp;")"</f>
        <v>(Note S)</v>
      </c>
      <c r="F282" s="294" t="str">
        <f>"(Attachment 4, Line "&amp;'4 - Cost Support'!A175</f>
        <v>(Attachment 4, Line 71</v>
      </c>
      <c r="G282" s="1050"/>
      <c r="H282" s="719">
        <f>+'4 - Cost Support'!S175</f>
        <v>0</v>
      </c>
    </row>
    <row r="283" spans="1:8">
      <c r="A283" s="367">
        <f t="shared" si="6"/>
        <v>171</v>
      </c>
      <c r="B283" s="367"/>
      <c r="C283" s="343" t="s">
        <v>200</v>
      </c>
      <c r="D283" s="285"/>
      <c r="E283" s="384"/>
      <c r="F283" s="331" t="str">
        <f>"(Line "&amp;A277&amp;" + "&amp;A278&amp;" + "&amp;A280&amp;" - "&amp;A281&amp;" + "&amp;A282&amp;")"</f>
        <v>(Line 165 + 166 + 168 - 169 + 170)</v>
      </c>
      <c r="H283" s="595">
        <f>(H277+H278+H280-H281+H282)</f>
        <v>61304201.034499988</v>
      </c>
    </row>
    <row r="284" spans="1:8">
      <c r="A284" s="367"/>
      <c r="B284" s="355"/>
      <c r="C284" s="285"/>
      <c r="D284" s="285"/>
      <c r="F284" s="331"/>
      <c r="H284" s="720"/>
    </row>
    <row r="285" spans="1:8">
      <c r="A285" s="367"/>
      <c r="B285" s="490" t="s">
        <v>201</v>
      </c>
      <c r="C285" s="285"/>
      <c r="D285" s="285"/>
      <c r="F285" s="331"/>
      <c r="H285" s="720"/>
    </row>
    <row r="286" spans="1:8">
      <c r="A286" s="367">
        <f>+A283+1</f>
        <v>172</v>
      </c>
      <c r="B286" s="355"/>
      <c r="C286" s="331" t="s">
        <v>202</v>
      </c>
      <c r="E286" s="357" t="str">
        <f>"(Note "&amp;B$303&amp;")"</f>
        <v>(Note H)</v>
      </c>
      <c r="F286" s="290" t="str">
        <f>"(Attachment 4, Line "&amp;'4 - Cost Support'!A183&amp;")"</f>
        <v>(Attachment 4, Line 72)</v>
      </c>
      <c r="G286" s="1029"/>
      <c r="H286" s="886">
        <v>3308.8</v>
      </c>
    </row>
    <row r="287" spans="1:8">
      <c r="A287" s="367">
        <f>+A286+1</f>
        <v>173</v>
      </c>
      <c r="B287" s="355"/>
      <c r="C287" s="316" t="s">
        <v>203</v>
      </c>
      <c r="D287" s="498"/>
      <c r="E287" s="499"/>
      <c r="F287" s="295" t="str">
        <f>"(Line "&amp;A283&amp;" / "&amp;A286&amp;")"</f>
        <v>(Line 171 / 172)</v>
      </c>
      <c r="G287" s="1066"/>
      <c r="H287" s="744">
        <f>H283/H286</f>
        <v>18527.623620194627</v>
      </c>
    </row>
    <row r="288" spans="1:8" ht="21" thickBot="1">
      <c r="A288" s="355"/>
      <c r="B288" s="355"/>
      <c r="E288" s="500"/>
      <c r="F288" s="328"/>
      <c r="G288" s="1066"/>
      <c r="H288" s="324"/>
    </row>
    <row r="289" spans="1:8" s="15" customFormat="1">
      <c r="A289" s="894">
        <f>+A287+1</f>
        <v>174</v>
      </c>
      <c r="B289" s="895"/>
      <c r="C289" s="896" t="s">
        <v>204</v>
      </c>
      <c r="D289" s="895"/>
      <c r="E289" s="895"/>
      <c r="F289" s="897" t="str">
        <f>"(Line "&amp;A287&amp;")"</f>
        <v>(Line 173)</v>
      </c>
      <c r="G289" s="1043"/>
      <c r="H289" s="898">
        <f>H287</f>
        <v>18527.623620194627</v>
      </c>
    </row>
    <row r="290" spans="1:8" s="15" customFormat="1">
      <c r="A290" s="899">
        <f>+A289+1</f>
        <v>175</v>
      </c>
      <c r="B290" s="485"/>
      <c r="C290" s="472" t="s">
        <v>205</v>
      </c>
      <c r="D290" s="485"/>
      <c r="E290" s="485"/>
      <c r="F290" s="454" t="str">
        <f>"(Line "&amp;A289&amp;" / 12)"</f>
        <v>(Line 174 / 12)</v>
      </c>
      <c r="G290" s="1044"/>
      <c r="H290" s="900">
        <f>+H289/12</f>
        <v>1543.968635016219</v>
      </c>
    </row>
    <row r="291" spans="1:8" s="15" customFormat="1">
      <c r="A291" s="899">
        <f t="shared" ref="A291:A292" si="7">+A290+1</f>
        <v>176</v>
      </c>
      <c r="B291" s="485"/>
      <c r="C291" s="472" t="s">
        <v>206</v>
      </c>
      <c r="D291" s="485"/>
      <c r="E291" s="485"/>
      <c r="F291" s="454" t="str">
        <f>"(Line "&amp;A289&amp;" / 52)"</f>
        <v>(Line 174 / 52)</v>
      </c>
      <c r="G291" s="1044"/>
      <c r="H291" s="900">
        <f>+H289/52</f>
        <v>356.30045423451207</v>
      </c>
    </row>
    <row r="292" spans="1:8" s="15" customFormat="1">
      <c r="A292" s="899">
        <f t="shared" si="7"/>
        <v>177</v>
      </c>
      <c r="B292" s="485"/>
      <c r="C292" s="472" t="s">
        <v>207</v>
      </c>
      <c r="D292" s="485"/>
      <c r="E292" s="485"/>
      <c r="F292" s="454" t="str">
        <f>"(Line "&amp;A291&amp;" / 5)"</f>
        <v>(Line 176 / 5)</v>
      </c>
      <c r="G292" s="1044"/>
      <c r="H292" s="900">
        <f>+H291/5</f>
        <v>71.260090846902415</v>
      </c>
    </row>
    <row r="293" spans="1:8" s="15" customFormat="1" ht="21" thickBot="1">
      <c r="A293" s="901">
        <f>+A292+1</f>
        <v>178</v>
      </c>
      <c r="B293" s="902"/>
      <c r="C293" s="903" t="s">
        <v>208</v>
      </c>
      <c r="D293" s="902"/>
      <c r="E293" s="902"/>
      <c r="F293" s="905" t="str">
        <f>"(Line "&amp;A291&amp;" / 7)"</f>
        <v>(Line 176 / 7)</v>
      </c>
      <c r="G293" s="1045"/>
      <c r="H293" s="904">
        <f>+H291/7</f>
        <v>50.900064890644579</v>
      </c>
    </row>
    <row r="294" spans="1:8" s="15" customFormat="1">
      <c r="A294" s="485"/>
      <c r="B294" s="485"/>
      <c r="C294" s="472"/>
      <c r="D294" s="485"/>
      <c r="E294" s="485"/>
      <c r="F294" s="485"/>
      <c r="G294" s="1044"/>
      <c r="H294" s="744"/>
    </row>
    <row r="295" spans="1:8" s="15" customFormat="1">
      <c r="A295" s="429" t="s">
        <v>4</v>
      </c>
      <c r="B295" s="430"/>
      <c r="C295" s="431"/>
      <c r="D295" s="432"/>
      <c r="E295" s="433"/>
      <c r="F295" s="301"/>
      <c r="G295" s="1057"/>
      <c r="H295" s="287"/>
    </row>
    <row r="296" spans="1:8" s="14" customFormat="1" ht="46.5" customHeight="1">
      <c r="A296" s="326"/>
      <c r="B296" s="441" t="s">
        <v>209</v>
      </c>
      <c r="C296" s="352" t="s">
        <v>210</v>
      </c>
      <c r="D296" s="352"/>
      <c r="E296" s="499"/>
      <c r="F296" s="328"/>
      <c r="G296" s="1067"/>
      <c r="H296" s="774"/>
    </row>
    <row r="297" spans="1:8" s="14" customFormat="1" ht="38.25" customHeight="1">
      <c r="A297" s="326"/>
      <c r="B297" s="975" t="s">
        <v>211</v>
      </c>
      <c r="C297" s="1156" t="s">
        <v>212</v>
      </c>
      <c r="D297" s="1156"/>
      <c r="E297" s="1156"/>
      <c r="F297" s="1156"/>
      <c r="G297" s="1156"/>
      <c r="H297" s="1156"/>
    </row>
    <row r="298" spans="1:8" s="14" customFormat="1" ht="28.15" customHeight="1">
      <c r="A298" s="326"/>
      <c r="B298" s="975" t="s">
        <v>213</v>
      </c>
      <c r="C298" s="467" t="s">
        <v>214</v>
      </c>
      <c r="D298" s="352"/>
      <c r="E298" s="499"/>
      <c r="F298" s="328"/>
      <c r="G298" s="1067"/>
      <c r="H298" s="325"/>
    </row>
    <row r="299" spans="1:8" s="14" customFormat="1" ht="28.15" customHeight="1">
      <c r="A299" s="326"/>
      <c r="B299" s="975" t="s">
        <v>215</v>
      </c>
      <c r="C299" s="331" t="s">
        <v>216</v>
      </c>
      <c r="D299" s="352"/>
      <c r="E299" s="499"/>
      <c r="F299" s="328"/>
      <c r="G299" s="1067"/>
      <c r="H299" s="325"/>
    </row>
    <row r="300" spans="1:8" s="14" customFormat="1" ht="38.25" customHeight="1">
      <c r="A300" s="326"/>
      <c r="B300" s="975" t="s">
        <v>217</v>
      </c>
      <c r="C300" s="1159" t="s">
        <v>218</v>
      </c>
      <c r="D300" s="1159"/>
      <c r="E300" s="1159"/>
      <c r="F300" s="1159"/>
      <c r="G300" s="1159"/>
      <c r="H300" s="1159"/>
    </row>
    <row r="301" spans="1:8" s="14" customFormat="1" ht="28.15" customHeight="1">
      <c r="A301" s="326"/>
      <c r="B301" s="975" t="s">
        <v>219</v>
      </c>
      <c r="C301" s="467" t="s">
        <v>220</v>
      </c>
      <c r="D301" s="352"/>
      <c r="E301" s="499"/>
      <c r="F301" s="328"/>
      <c r="G301" s="1067"/>
      <c r="H301" s="328"/>
    </row>
    <row r="302" spans="1:8" s="14" customFormat="1" ht="192.75" customHeight="1">
      <c r="A302" s="326"/>
      <c r="B302" s="975" t="s">
        <v>221</v>
      </c>
      <c r="C302" s="1157" t="s">
        <v>222</v>
      </c>
      <c r="D302" s="1157"/>
      <c r="E302" s="1157"/>
      <c r="F302" s="1157"/>
      <c r="G302" s="1157"/>
      <c r="H302" s="1157"/>
    </row>
    <row r="303" spans="1:8" s="14" customFormat="1" ht="65.25" customHeight="1">
      <c r="A303" s="326"/>
      <c r="B303" s="975" t="s">
        <v>223</v>
      </c>
      <c r="C303" s="1157" t="s">
        <v>224</v>
      </c>
      <c r="D303" s="1157"/>
      <c r="E303" s="1157"/>
      <c r="F303" s="1157"/>
      <c r="G303" s="1157"/>
      <c r="H303" s="1157"/>
    </row>
    <row r="304" spans="1:8" s="13" customFormat="1" ht="28.15" customHeight="1">
      <c r="A304" s="367"/>
      <c r="B304" s="977" t="s">
        <v>225</v>
      </c>
      <c r="C304" s="331" t="s">
        <v>226</v>
      </c>
      <c r="D304" s="331"/>
      <c r="E304" s="499"/>
      <c r="F304" s="328"/>
      <c r="G304" s="1067"/>
      <c r="H304" s="325"/>
    </row>
    <row r="305" spans="1:8" s="14" customFormat="1" ht="150.75" customHeight="1">
      <c r="A305" s="502"/>
      <c r="B305" s="975" t="s">
        <v>227</v>
      </c>
      <c r="C305" s="1157" t="s">
        <v>228</v>
      </c>
      <c r="D305" s="1157"/>
      <c r="E305" s="1157"/>
      <c r="F305" s="1157"/>
      <c r="G305" s="1157"/>
      <c r="H305" s="1157"/>
    </row>
    <row r="306" spans="1:8" s="13" customFormat="1" ht="47.25" customHeight="1">
      <c r="A306" s="327"/>
      <c r="B306" s="978" t="s">
        <v>229</v>
      </c>
      <c r="C306" s="1156" t="s">
        <v>230</v>
      </c>
      <c r="D306" s="1156"/>
      <c r="E306" s="1156"/>
      <c r="F306" s="1156"/>
      <c r="G306" s="1156"/>
      <c r="H306" s="1156"/>
    </row>
    <row r="307" spans="1:8" s="14" customFormat="1" ht="28.15" customHeight="1">
      <c r="A307" s="326"/>
      <c r="B307" s="975" t="s">
        <v>231</v>
      </c>
      <c r="C307" s="352" t="s">
        <v>232</v>
      </c>
      <c r="D307" s="352"/>
      <c r="E307" s="499"/>
      <c r="F307" s="328"/>
      <c r="G307" s="1067"/>
      <c r="H307" s="325"/>
    </row>
    <row r="308" spans="1:8" s="13" customFormat="1" ht="28.15" customHeight="1">
      <c r="B308" s="975" t="s">
        <v>233</v>
      </c>
      <c r="C308" s="352" t="s">
        <v>234</v>
      </c>
      <c r="D308" s="352"/>
      <c r="E308" s="499"/>
      <c r="F308" s="328"/>
      <c r="G308" s="1067"/>
      <c r="H308" s="328"/>
    </row>
    <row r="309" spans="1:8" s="13" customFormat="1" ht="72.75" customHeight="1">
      <c r="B309" s="978" t="s">
        <v>235</v>
      </c>
      <c r="C309" s="1156" t="s">
        <v>236</v>
      </c>
      <c r="D309" s="1156"/>
      <c r="E309" s="1156"/>
      <c r="F309" s="1156"/>
      <c r="G309" s="1156"/>
      <c r="H309" s="1156"/>
    </row>
    <row r="310" spans="1:8" s="13" customFormat="1" ht="113.25" customHeight="1">
      <c r="B310" s="976" t="s">
        <v>237</v>
      </c>
      <c r="C310" s="1156" t="s">
        <v>238</v>
      </c>
      <c r="D310" s="1156"/>
      <c r="E310" s="1156"/>
      <c r="F310" s="1156"/>
      <c r="G310" s="1156"/>
      <c r="H310" s="1156"/>
    </row>
    <row r="311" spans="1:8" s="13" customFormat="1" ht="52.5" customHeight="1">
      <c r="B311" s="976" t="s">
        <v>239</v>
      </c>
      <c r="C311" s="1156" t="s">
        <v>240</v>
      </c>
      <c r="D311" s="1156"/>
      <c r="E311" s="1156"/>
      <c r="F311" s="1156"/>
      <c r="G311" s="1156"/>
      <c r="H311" s="1156"/>
    </row>
    <row r="312" spans="1:8" ht="30.6" customHeight="1">
      <c r="A312" s="12"/>
      <c r="B312" s="976" t="s">
        <v>241</v>
      </c>
      <c r="C312" s="331" t="s">
        <v>242</v>
      </c>
      <c r="D312" s="331"/>
      <c r="E312" s="384"/>
      <c r="F312" s="284"/>
    </row>
    <row r="313" spans="1:8" ht="45.75" customHeight="1">
      <c r="B313" s="976" t="s">
        <v>243</v>
      </c>
      <c r="C313" s="1156" t="s">
        <v>244</v>
      </c>
      <c r="D313" s="1156"/>
      <c r="E313" s="1156"/>
      <c r="F313" s="1156"/>
      <c r="G313" s="1156"/>
      <c r="H313" s="1156"/>
    </row>
    <row r="314" spans="1:8" ht="23.25" customHeight="1">
      <c r="B314" s="976" t="s">
        <v>245</v>
      </c>
      <c r="C314" s="331" t="s">
        <v>246</v>
      </c>
      <c r="D314" s="331"/>
      <c r="E314" s="384"/>
      <c r="F314" s="284"/>
    </row>
    <row r="315" spans="1:8" ht="44.25" customHeight="1">
      <c r="B315" s="976" t="s">
        <v>247</v>
      </c>
      <c r="C315" s="1160" t="s">
        <v>248</v>
      </c>
      <c r="D315" s="1160"/>
      <c r="E315" s="1160"/>
      <c r="F315" s="1160"/>
      <c r="G315" s="1160"/>
      <c r="H315" s="1160"/>
    </row>
    <row r="316" spans="1:8" ht="29.25" customHeight="1">
      <c r="A316" s="327"/>
      <c r="B316" s="976" t="s">
        <v>249</v>
      </c>
      <c r="C316" s="58" t="s">
        <v>250</v>
      </c>
      <c r="D316" s="331"/>
      <c r="E316" s="384"/>
      <c r="F316" s="284"/>
      <c r="G316" s="1068"/>
      <c r="H316" s="12"/>
    </row>
    <row r="317" spans="1:8" ht="35.25" customHeight="1">
      <c r="A317" s="327"/>
      <c r="B317" s="976" t="s">
        <v>251</v>
      </c>
      <c r="C317" s="58" t="s">
        <v>252</v>
      </c>
      <c r="D317" s="331"/>
      <c r="E317" s="384"/>
      <c r="F317" s="284"/>
      <c r="G317" s="1068"/>
      <c r="H317" s="12"/>
    </row>
    <row r="318" spans="1:8" ht="48.75" customHeight="1">
      <c r="A318" s="326" t="s">
        <v>253</v>
      </c>
      <c r="B318" s="976" t="s">
        <v>254</v>
      </c>
      <c r="C318" s="1158" t="s">
        <v>255</v>
      </c>
      <c r="D318" s="1158"/>
      <c r="E318" s="1158"/>
      <c r="F318" s="1158"/>
      <c r="G318" s="1158"/>
      <c r="H318" s="1158"/>
    </row>
    <row r="319" spans="1:8">
      <c r="A319" s="327"/>
      <c r="B319" s="976"/>
      <c r="C319" s="331"/>
      <c r="D319" s="331"/>
      <c r="E319" s="384"/>
      <c r="F319" s="284"/>
      <c r="G319" s="1068"/>
      <c r="H319" s="12"/>
    </row>
    <row r="320" spans="1:8">
      <c r="A320" s="327"/>
      <c r="B320" s="331"/>
      <c r="C320" s="331"/>
      <c r="D320" s="331"/>
      <c r="E320" s="384"/>
      <c r="F320" s="284"/>
      <c r="G320" s="1068"/>
      <c r="H320" s="12"/>
    </row>
    <row r="321" spans="1:8">
      <c r="A321" s="327"/>
      <c r="B321" s="331"/>
      <c r="C321" s="331"/>
      <c r="D321" s="331"/>
      <c r="E321" s="384"/>
      <c r="F321" s="284"/>
      <c r="G321" s="1068"/>
      <c r="H321" s="12"/>
    </row>
    <row r="322" spans="1:8">
      <c r="A322" s="327"/>
      <c r="B322" s="331"/>
      <c r="C322" s="331"/>
      <c r="D322" s="331"/>
      <c r="E322" s="384"/>
      <c r="F322" s="284"/>
      <c r="G322" s="1068"/>
      <c r="H322" s="12"/>
    </row>
    <row r="323" spans="1:8">
      <c r="A323" s="327"/>
      <c r="B323" s="331"/>
      <c r="C323" s="331"/>
      <c r="D323" s="331"/>
      <c r="E323" s="384"/>
      <c r="F323" s="284"/>
      <c r="G323" s="1068"/>
      <c r="H323" s="12"/>
    </row>
    <row r="324" spans="1:8">
      <c r="A324" s="327"/>
      <c r="B324" s="331"/>
      <c r="C324" s="331"/>
      <c r="D324" s="331"/>
      <c r="E324" s="384"/>
      <c r="F324" s="284"/>
      <c r="G324" s="1068"/>
      <c r="H324" s="12"/>
    </row>
    <row r="325" spans="1:8">
      <c r="A325" s="327"/>
      <c r="B325" s="331"/>
      <c r="C325" s="331"/>
      <c r="D325" s="331"/>
      <c r="E325" s="384"/>
      <c r="F325" s="284"/>
      <c r="G325" s="1068"/>
      <c r="H325" s="12"/>
    </row>
    <row r="326" spans="1:8">
      <c r="A326" s="327"/>
      <c r="B326" s="331"/>
      <c r="C326" s="331"/>
      <c r="D326" s="331"/>
      <c r="E326" s="384"/>
      <c r="F326" s="284"/>
      <c r="G326" s="1068"/>
      <c r="H326" s="12"/>
    </row>
    <row r="327" spans="1:8">
      <c r="A327" s="327"/>
      <c r="B327" s="331"/>
      <c r="C327" s="331"/>
      <c r="D327" s="331"/>
      <c r="E327" s="384"/>
      <c r="F327" s="284"/>
      <c r="G327" s="1068"/>
      <c r="H327" s="12"/>
    </row>
    <row r="328" spans="1:8">
      <c r="A328" s="327"/>
      <c r="B328" s="331"/>
      <c r="C328" s="331"/>
      <c r="D328" s="331"/>
      <c r="E328" s="384"/>
      <c r="F328" s="284"/>
      <c r="G328" s="1068"/>
      <c r="H328" s="12"/>
    </row>
    <row r="329" spans="1:8">
      <c r="A329" s="327"/>
      <c r="B329" s="331"/>
      <c r="C329" s="331"/>
      <c r="D329" s="331"/>
      <c r="E329" s="384"/>
      <c r="F329" s="284"/>
      <c r="G329" s="1068"/>
      <c r="H329" s="12"/>
    </row>
    <row r="330" spans="1:8">
      <c r="A330" s="327"/>
      <c r="B330" s="331"/>
      <c r="C330" s="331"/>
      <c r="D330" s="331"/>
      <c r="E330" s="384"/>
      <c r="F330" s="284"/>
      <c r="G330" s="1068"/>
      <c r="H330" s="12"/>
    </row>
    <row r="331" spans="1:8">
      <c r="A331" s="327"/>
      <c r="B331" s="331"/>
      <c r="C331" s="331"/>
      <c r="D331" s="331"/>
      <c r="E331" s="384"/>
      <c r="F331" s="284"/>
      <c r="G331" s="1068"/>
      <c r="H331" s="12"/>
    </row>
    <row r="332" spans="1:8">
      <c r="A332" s="327"/>
      <c r="B332" s="331"/>
      <c r="C332" s="331"/>
      <c r="D332" s="331"/>
      <c r="E332" s="384"/>
      <c r="F332" s="284"/>
      <c r="G332" s="1068"/>
      <c r="H332" s="12"/>
    </row>
    <row r="333" spans="1:8">
      <c r="A333" s="327"/>
      <c r="B333" s="331"/>
      <c r="C333" s="331"/>
      <c r="D333" s="331"/>
      <c r="E333" s="384"/>
      <c r="F333" s="284"/>
      <c r="G333" s="1068"/>
      <c r="H333" s="12"/>
    </row>
    <row r="334" spans="1:8">
      <c r="A334" s="327"/>
      <c r="B334" s="331"/>
      <c r="C334" s="331"/>
      <c r="D334" s="331"/>
      <c r="E334" s="384"/>
      <c r="F334" s="284"/>
      <c r="G334" s="1068"/>
      <c r="H334" s="12"/>
    </row>
    <row r="335" spans="1:8">
      <c r="A335" s="327"/>
      <c r="B335" s="331"/>
      <c r="C335" s="331"/>
      <c r="D335" s="331"/>
      <c r="E335" s="384"/>
      <c r="F335" s="284"/>
      <c r="G335" s="1068"/>
      <c r="H335" s="12"/>
    </row>
    <row r="336" spans="1:8">
      <c r="A336" s="327"/>
      <c r="B336" s="331"/>
      <c r="C336" s="331"/>
      <c r="D336" s="331"/>
      <c r="E336" s="384"/>
      <c r="F336" s="284"/>
      <c r="G336" s="1068"/>
      <c r="H336" s="12"/>
    </row>
    <row r="337" spans="1:8">
      <c r="A337" s="327"/>
      <c r="B337" s="331"/>
      <c r="C337" s="331"/>
      <c r="D337" s="331"/>
      <c r="E337" s="384"/>
      <c r="F337" s="284"/>
      <c r="G337" s="1068"/>
      <c r="H337" s="12"/>
    </row>
    <row r="338" spans="1:8">
      <c r="A338" s="327"/>
      <c r="B338" s="331"/>
      <c r="C338" s="331"/>
      <c r="D338" s="331"/>
      <c r="E338" s="384"/>
      <c r="F338" s="284"/>
      <c r="G338" s="1068"/>
      <c r="H338" s="12"/>
    </row>
    <row r="339" spans="1:8">
      <c r="A339" s="327"/>
      <c r="B339" s="331"/>
      <c r="C339" s="331"/>
      <c r="D339" s="331"/>
      <c r="E339" s="384"/>
      <c r="F339" s="284"/>
      <c r="G339" s="1068"/>
      <c r="H339" s="12"/>
    </row>
    <row r="340" spans="1:8">
      <c r="A340" s="327"/>
      <c r="B340" s="331"/>
      <c r="C340" s="331"/>
      <c r="D340" s="331"/>
      <c r="E340" s="384"/>
      <c r="F340" s="284"/>
      <c r="G340" s="1068"/>
      <c r="H340" s="12"/>
    </row>
    <row r="341" spans="1:8">
      <c r="A341" s="327"/>
      <c r="B341" s="331"/>
      <c r="C341" s="331"/>
      <c r="D341" s="331"/>
      <c r="E341" s="384"/>
      <c r="F341" s="284"/>
      <c r="G341" s="1068"/>
      <c r="H341" s="12"/>
    </row>
    <row r="342" spans="1:8">
      <c r="A342" s="327"/>
      <c r="B342" s="331"/>
      <c r="C342" s="331"/>
      <c r="D342" s="331"/>
      <c r="E342" s="384"/>
      <c r="F342" s="284"/>
      <c r="G342" s="1068"/>
      <c r="H342" s="12"/>
    </row>
    <row r="343" spans="1:8">
      <c r="A343" s="327"/>
      <c r="B343" s="331"/>
      <c r="C343" s="331"/>
      <c r="D343" s="331"/>
      <c r="E343" s="384"/>
      <c r="F343" s="284"/>
      <c r="G343" s="1068"/>
      <c r="H343" s="12"/>
    </row>
    <row r="344" spans="1:8">
      <c r="A344" s="327"/>
      <c r="B344" s="331"/>
      <c r="C344" s="331"/>
      <c r="D344" s="331"/>
      <c r="E344" s="384"/>
      <c r="F344" s="284"/>
      <c r="G344" s="1068"/>
      <c r="H344" s="12"/>
    </row>
    <row r="345" spans="1:8">
      <c r="A345" s="327"/>
      <c r="B345" s="331"/>
      <c r="C345" s="331"/>
      <c r="D345" s="331"/>
      <c r="E345" s="384"/>
      <c r="F345" s="284"/>
      <c r="G345" s="1068"/>
      <c r="H345" s="12"/>
    </row>
    <row r="346" spans="1:8">
      <c r="A346" s="327"/>
      <c r="B346" s="331"/>
      <c r="C346" s="331"/>
      <c r="D346" s="331"/>
      <c r="E346" s="384"/>
      <c r="F346" s="284"/>
      <c r="G346" s="1068"/>
      <c r="H346" s="12"/>
    </row>
    <row r="347" spans="1:8">
      <c r="A347" s="327"/>
      <c r="B347" s="331"/>
      <c r="C347" s="331"/>
      <c r="D347" s="331"/>
      <c r="E347" s="384"/>
      <c r="F347" s="284"/>
      <c r="G347" s="1068"/>
      <c r="H347" s="12"/>
    </row>
    <row r="348" spans="1:8">
      <c r="A348" s="327"/>
      <c r="B348" s="331"/>
      <c r="C348" s="331"/>
      <c r="D348" s="331"/>
      <c r="E348" s="384"/>
      <c r="F348" s="284"/>
      <c r="G348" s="1068"/>
      <c r="H348" s="12"/>
    </row>
    <row r="349" spans="1:8">
      <c r="A349" s="327"/>
      <c r="B349" s="331"/>
      <c r="C349" s="331"/>
      <c r="D349" s="331"/>
      <c r="E349" s="384"/>
      <c r="F349" s="284"/>
      <c r="G349" s="1068"/>
      <c r="H349" s="12"/>
    </row>
    <row r="350" spans="1:8">
      <c r="A350" s="327"/>
      <c r="B350" s="331"/>
      <c r="C350" s="331"/>
      <c r="D350" s="331"/>
      <c r="E350" s="384"/>
      <c r="F350" s="284"/>
      <c r="G350" s="1068"/>
      <c r="H350" s="12"/>
    </row>
    <row r="351" spans="1:8">
      <c r="A351" s="327"/>
      <c r="B351" s="331"/>
      <c r="C351" s="331"/>
      <c r="D351" s="331"/>
      <c r="E351" s="384"/>
      <c r="F351" s="284"/>
      <c r="G351" s="1068"/>
      <c r="H351" s="12"/>
    </row>
    <row r="352" spans="1:8">
      <c r="A352" s="327"/>
      <c r="B352" s="331"/>
      <c r="C352" s="331"/>
      <c r="D352" s="331"/>
      <c r="E352" s="384"/>
      <c r="F352" s="284"/>
      <c r="G352" s="1068"/>
      <c r="H352" s="12"/>
    </row>
    <row r="353" spans="1:8">
      <c r="A353" s="327"/>
      <c r="B353" s="331"/>
      <c r="C353" s="331"/>
      <c r="D353" s="331"/>
      <c r="E353" s="384"/>
      <c r="F353" s="284"/>
      <c r="G353" s="1068"/>
      <c r="H353" s="12"/>
    </row>
    <row r="354" spans="1:8">
      <c r="A354" s="327"/>
      <c r="B354" s="331"/>
      <c r="C354" s="331"/>
      <c r="D354" s="331"/>
      <c r="E354" s="384"/>
      <c r="F354" s="284"/>
      <c r="G354" s="1068"/>
      <c r="H354" s="12"/>
    </row>
    <row r="355" spans="1:8">
      <c r="A355" s="327"/>
      <c r="B355" s="331"/>
      <c r="C355" s="331"/>
      <c r="D355" s="331"/>
      <c r="E355" s="384"/>
      <c r="F355" s="284"/>
      <c r="G355" s="1068"/>
      <c r="H355" s="12"/>
    </row>
    <row r="356" spans="1:8">
      <c r="A356" s="327"/>
      <c r="B356" s="331"/>
      <c r="C356" s="331"/>
      <c r="D356" s="331"/>
      <c r="E356" s="384"/>
      <c r="F356" s="284"/>
      <c r="G356" s="1068"/>
      <c r="H356" s="12"/>
    </row>
    <row r="357" spans="1:8">
      <c r="A357" s="327"/>
      <c r="B357" s="331"/>
      <c r="C357" s="331"/>
      <c r="D357" s="331"/>
      <c r="E357" s="384"/>
      <c r="F357" s="284"/>
      <c r="G357" s="1068"/>
      <c r="H357" s="12"/>
    </row>
    <row r="358" spans="1:8">
      <c r="A358" s="327"/>
      <c r="B358" s="331"/>
      <c r="C358" s="331"/>
      <c r="D358" s="331"/>
      <c r="E358" s="384"/>
      <c r="F358" s="284"/>
      <c r="G358" s="1068"/>
      <c r="H358" s="12"/>
    </row>
    <row r="359" spans="1:8">
      <c r="A359" s="327"/>
      <c r="B359" s="331"/>
      <c r="C359" s="331"/>
      <c r="D359" s="331"/>
      <c r="E359" s="384"/>
      <c r="F359" s="284"/>
      <c r="G359" s="1068"/>
      <c r="H359" s="12"/>
    </row>
    <row r="360" spans="1:8">
      <c r="A360" s="327"/>
      <c r="B360" s="331"/>
      <c r="C360" s="331"/>
      <c r="D360" s="331"/>
      <c r="E360" s="384"/>
      <c r="F360" s="284"/>
      <c r="G360" s="1068"/>
      <c r="H360" s="12"/>
    </row>
    <row r="361" spans="1:8">
      <c r="A361" s="327"/>
      <c r="B361" s="331"/>
      <c r="C361" s="331"/>
      <c r="D361" s="331"/>
      <c r="E361" s="384"/>
      <c r="F361" s="284"/>
      <c r="G361" s="1068"/>
      <c r="H361" s="12"/>
    </row>
    <row r="362" spans="1:8">
      <c r="A362" s="327"/>
      <c r="B362" s="331"/>
      <c r="C362" s="331"/>
      <c r="D362" s="331"/>
      <c r="E362" s="384"/>
      <c r="F362" s="284"/>
      <c r="G362" s="1068"/>
      <c r="H362" s="12"/>
    </row>
    <row r="363" spans="1:8">
      <c r="A363" s="327"/>
      <c r="B363" s="331"/>
      <c r="C363" s="331"/>
      <c r="D363" s="331"/>
      <c r="E363" s="384"/>
      <c r="F363" s="284"/>
      <c r="G363" s="1068"/>
      <c r="H363" s="12"/>
    </row>
    <row r="364" spans="1:8">
      <c r="A364" s="327"/>
      <c r="B364" s="331"/>
      <c r="C364" s="331"/>
      <c r="D364" s="331"/>
      <c r="E364" s="384"/>
      <c r="F364" s="284"/>
      <c r="G364" s="1068"/>
      <c r="H364" s="12"/>
    </row>
    <row r="365" spans="1:8">
      <c r="A365" s="327"/>
      <c r="B365" s="331"/>
      <c r="C365" s="331"/>
      <c r="D365" s="331"/>
      <c r="E365" s="384"/>
      <c r="F365" s="284"/>
      <c r="G365" s="1068"/>
      <c r="H365" s="12"/>
    </row>
    <row r="366" spans="1:8">
      <c r="A366" s="327"/>
      <c r="B366" s="331"/>
      <c r="C366" s="331"/>
      <c r="D366" s="331"/>
      <c r="E366" s="384"/>
      <c r="F366" s="284"/>
      <c r="G366" s="1068"/>
      <c r="H366" s="12"/>
    </row>
    <row r="367" spans="1:8">
      <c r="A367" s="327"/>
      <c r="B367" s="331"/>
      <c r="C367" s="331"/>
      <c r="D367" s="331"/>
      <c r="E367" s="384"/>
      <c r="F367" s="284"/>
      <c r="G367" s="1068"/>
      <c r="H367" s="12"/>
    </row>
    <row r="368" spans="1:8">
      <c r="A368" s="327"/>
      <c r="B368" s="331"/>
      <c r="C368" s="331"/>
      <c r="D368" s="331"/>
      <c r="E368" s="384"/>
      <c r="F368" s="284"/>
      <c r="G368" s="1068"/>
      <c r="H368" s="12"/>
    </row>
    <row r="369" spans="1:8">
      <c r="A369" s="327"/>
      <c r="B369" s="331"/>
      <c r="C369" s="331"/>
      <c r="D369" s="331"/>
      <c r="E369" s="384"/>
      <c r="F369" s="284"/>
      <c r="G369" s="1068"/>
      <c r="H369" s="12"/>
    </row>
    <row r="370" spans="1:8">
      <c r="A370" s="327"/>
      <c r="B370" s="331"/>
      <c r="C370" s="331"/>
      <c r="D370" s="331"/>
      <c r="E370" s="384"/>
      <c r="F370" s="284"/>
      <c r="G370" s="1068"/>
      <c r="H370" s="12"/>
    </row>
    <row r="371" spans="1:8">
      <c r="A371" s="327"/>
      <c r="B371" s="331"/>
      <c r="C371" s="331"/>
      <c r="D371" s="331"/>
      <c r="E371" s="384"/>
      <c r="F371" s="284"/>
      <c r="G371" s="1068"/>
      <c r="H371" s="12"/>
    </row>
    <row r="372" spans="1:8">
      <c r="A372" s="327"/>
      <c r="B372" s="331"/>
      <c r="C372" s="331"/>
      <c r="D372" s="331"/>
      <c r="E372" s="384"/>
      <c r="F372" s="284"/>
      <c r="G372" s="1068"/>
      <c r="H372" s="12"/>
    </row>
    <row r="373" spans="1:8">
      <c r="A373" s="327"/>
      <c r="B373" s="331"/>
      <c r="C373" s="331"/>
      <c r="D373" s="331"/>
      <c r="E373" s="384"/>
      <c r="F373" s="284"/>
      <c r="G373" s="1068"/>
      <c r="H373" s="12"/>
    </row>
    <row r="374" spans="1:8">
      <c r="A374" s="327"/>
      <c r="B374" s="331"/>
      <c r="C374" s="331"/>
      <c r="D374" s="331"/>
      <c r="E374" s="384"/>
      <c r="F374" s="284"/>
      <c r="G374" s="1068"/>
      <c r="H374" s="12"/>
    </row>
    <row r="375" spans="1:8">
      <c r="A375" s="327"/>
      <c r="B375" s="331"/>
      <c r="C375" s="331"/>
      <c r="D375" s="331"/>
      <c r="E375" s="384"/>
      <c r="F375" s="284"/>
      <c r="G375" s="1068"/>
      <c r="H375" s="12"/>
    </row>
    <row r="376" spans="1:8">
      <c r="A376" s="327"/>
      <c r="B376" s="331"/>
      <c r="C376" s="331"/>
      <c r="D376" s="331"/>
      <c r="E376" s="384"/>
      <c r="F376" s="284"/>
      <c r="G376" s="1068"/>
      <c r="H376" s="12"/>
    </row>
    <row r="377" spans="1:8">
      <c r="A377" s="327"/>
      <c r="B377" s="331"/>
      <c r="C377" s="331"/>
      <c r="D377" s="331"/>
      <c r="E377" s="384"/>
      <c r="F377" s="284"/>
      <c r="G377" s="1068"/>
      <c r="H377" s="12"/>
    </row>
    <row r="378" spans="1:8">
      <c r="A378" s="327"/>
      <c r="B378" s="331"/>
      <c r="C378" s="331"/>
      <c r="D378" s="331"/>
      <c r="E378" s="384"/>
      <c r="F378" s="284"/>
      <c r="G378" s="1068"/>
      <c r="H378" s="12"/>
    </row>
    <row r="379" spans="1:8">
      <c r="A379" s="327"/>
      <c r="B379" s="331"/>
      <c r="C379" s="331"/>
      <c r="D379" s="331"/>
      <c r="E379" s="384"/>
      <c r="F379" s="284"/>
      <c r="G379" s="1068"/>
      <c r="H379" s="12"/>
    </row>
    <row r="380" spans="1:8">
      <c r="A380" s="327"/>
      <c r="B380" s="331"/>
      <c r="C380" s="331"/>
      <c r="D380" s="331"/>
      <c r="E380" s="384"/>
      <c r="F380" s="284"/>
      <c r="G380" s="1068"/>
      <c r="H380" s="12"/>
    </row>
    <row r="381" spans="1:8">
      <c r="A381" s="327"/>
      <c r="B381" s="331"/>
      <c r="C381" s="331"/>
      <c r="D381" s="331"/>
      <c r="E381" s="384"/>
      <c r="F381" s="284"/>
      <c r="G381" s="1068"/>
      <c r="H381" s="12"/>
    </row>
    <row r="382" spans="1:8">
      <c r="A382" s="327"/>
      <c r="B382" s="331"/>
      <c r="C382" s="331"/>
      <c r="D382" s="331"/>
      <c r="E382" s="384"/>
      <c r="F382" s="284"/>
      <c r="G382" s="1068"/>
      <c r="H382" s="12"/>
    </row>
    <row r="383" spans="1:8">
      <c r="A383" s="327"/>
      <c r="B383" s="331"/>
      <c r="C383" s="331"/>
      <c r="D383" s="331"/>
      <c r="E383" s="384"/>
      <c r="F383" s="284"/>
      <c r="G383" s="1068"/>
      <c r="H383" s="12"/>
    </row>
    <row r="384" spans="1:8">
      <c r="A384" s="327"/>
      <c r="B384" s="331"/>
      <c r="C384" s="331"/>
      <c r="D384" s="331"/>
      <c r="E384" s="384"/>
      <c r="F384" s="284"/>
      <c r="G384" s="1068"/>
      <c r="H384" s="12"/>
    </row>
    <row r="385" spans="1:8">
      <c r="A385" s="327"/>
      <c r="B385" s="331"/>
      <c r="C385" s="331"/>
      <c r="D385" s="331"/>
      <c r="E385" s="384"/>
      <c r="F385" s="284"/>
      <c r="G385" s="1068"/>
      <c r="H385" s="12"/>
    </row>
    <row r="386" spans="1:8">
      <c r="A386" s="327"/>
      <c r="B386" s="331"/>
      <c r="C386" s="331"/>
      <c r="D386" s="331"/>
      <c r="E386" s="384"/>
      <c r="F386" s="284"/>
      <c r="G386" s="1068"/>
      <c r="H386" s="12"/>
    </row>
    <row r="387" spans="1:8">
      <c r="A387" s="327"/>
      <c r="B387" s="331"/>
      <c r="C387" s="331"/>
      <c r="D387" s="331"/>
      <c r="E387" s="384"/>
      <c r="F387" s="284"/>
      <c r="G387" s="1068"/>
      <c r="H387" s="12"/>
    </row>
    <row r="388" spans="1:8">
      <c r="A388" s="327"/>
      <c r="B388" s="331"/>
      <c r="C388" s="331"/>
      <c r="D388" s="331"/>
      <c r="E388" s="384"/>
      <c r="F388" s="284"/>
      <c r="G388" s="1068"/>
      <c r="H388" s="12"/>
    </row>
    <row r="389" spans="1:8">
      <c r="A389" s="327"/>
      <c r="B389" s="331"/>
      <c r="C389" s="331"/>
      <c r="D389" s="331"/>
      <c r="E389" s="384"/>
      <c r="F389" s="284"/>
      <c r="G389" s="1068"/>
      <c r="H389" s="12"/>
    </row>
    <row r="390" spans="1:8">
      <c r="A390" s="327"/>
      <c r="B390" s="331"/>
      <c r="C390" s="331"/>
      <c r="D390" s="331"/>
      <c r="E390" s="384"/>
      <c r="F390" s="284"/>
      <c r="G390" s="1068"/>
      <c r="H390" s="12"/>
    </row>
    <row r="391" spans="1:8">
      <c r="A391" s="327"/>
      <c r="B391" s="331"/>
      <c r="C391" s="331"/>
      <c r="D391" s="331"/>
      <c r="E391" s="384"/>
      <c r="F391" s="284"/>
      <c r="G391" s="1068"/>
      <c r="H391" s="12"/>
    </row>
    <row r="392" spans="1:8">
      <c r="A392" s="327"/>
      <c r="B392" s="331"/>
      <c r="C392" s="331"/>
      <c r="D392" s="331"/>
      <c r="E392" s="384"/>
      <c r="F392" s="284"/>
      <c r="G392" s="1068"/>
      <c r="H392" s="12"/>
    </row>
    <row r="393" spans="1:8">
      <c r="A393" s="327"/>
      <c r="B393" s="331"/>
      <c r="C393" s="331"/>
      <c r="D393" s="331"/>
      <c r="E393" s="384"/>
      <c r="F393" s="284"/>
      <c r="G393" s="1068"/>
      <c r="H393" s="12"/>
    </row>
    <row r="394" spans="1:8">
      <c r="A394" s="327"/>
      <c r="B394" s="331"/>
      <c r="C394" s="331"/>
      <c r="D394" s="331"/>
      <c r="E394" s="384"/>
      <c r="F394" s="284"/>
      <c r="G394" s="1068"/>
      <c r="H394" s="12"/>
    </row>
    <row r="395" spans="1:8">
      <c r="A395" s="327"/>
      <c r="B395" s="331"/>
      <c r="C395" s="331"/>
      <c r="D395" s="331"/>
      <c r="E395" s="384"/>
      <c r="F395" s="284"/>
      <c r="G395" s="1068"/>
      <c r="H395" s="12"/>
    </row>
    <row r="396" spans="1:8">
      <c r="A396" s="327"/>
      <c r="B396" s="331"/>
      <c r="C396" s="331"/>
      <c r="D396" s="331"/>
      <c r="E396" s="384"/>
      <c r="F396" s="284"/>
      <c r="G396" s="1068"/>
      <c r="H396" s="12"/>
    </row>
    <row r="397" spans="1:8">
      <c r="A397" s="327"/>
      <c r="B397" s="331"/>
      <c r="C397" s="331"/>
      <c r="D397" s="331"/>
      <c r="E397" s="384"/>
      <c r="F397" s="284"/>
      <c r="G397" s="1068"/>
      <c r="H397" s="12"/>
    </row>
    <row r="398" spans="1:8">
      <c r="A398" s="327"/>
      <c r="B398" s="331"/>
      <c r="C398" s="331"/>
      <c r="D398" s="331"/>
      <c r="E398" s="384"/>
      <c r="F398" s="284"/>
      <c r="G398" s="1068"/>
      <c r="H398" s="12"/>
    </row>
    <row r="399" spans="1:8">
      <c r="A399" s="327"/>
      <c r="B399" s="331"/>
      <c r="C399" s="331"/>
      <c r="D399" s="331"/>
      <c r="E399" s="384"/>
      <c r="F399" s="284"/>
      <c r="G399" s="1068"/>
      <c r="H399" s="12"/>
    </row>
    <row r="400" spans="1:8">
      <c r="A400" s="327"/>
      <c r="B400" s="331"/>
      <c r="C400" s="331"/>
      <c r="D400" s="331"/>
      <c r="E400" s="384"/>
      <c r="F400" s="284"/>
      <c r="G400" s="1068"/>
      <c r="H400" s="12"/>
    </row>
    <row r="401" spans="1:8">
      <c r="A401" s="327"/>
      <c r="B401" s="331"/>
      <c r="C401" s="331"/>
      <c r="D401" s="331"/>
      <c r="E401" s="384"/>
      <c r="F401" s="284"/>
      <c r="G401" s="1068"/>
      <c r="H401" s="12"/>
    </row>
    <row r="402" spans="1:8">
      <c r="A402" s="327"/>
      <c r="B402" s="331"/>
      <c r="C402" s="331"/>
      <c r="D402" s="331"/>
      <c r="E402" s="384"/>
      <c r="F402" s="284"/>
      <c r="G402" s="1068"/>
      <c r="H402" s="12"/>
    </row>
    <row r="403" spans="1:8">
      <c r="A403" s="327"/>
      <c r="B403" s="331"/>
      <c r="C403" s="331"/>
      <c r="D403" s="331"/>
      <c r="E403" s="384"/>
      <c r="F403" s="284"/>
      <c r="G403" s="1068"/>
      <c r="H403" s="12"/>
    </row>
    <row r="404" spans="1:8">
      <c r="A404" s="327"/>
      <c r="B404" s="331"/>
      <c r="C404" s="331"/>
      <c r="D404" s="331"/>
      <c r="E404" s="384"/>
      <c r="F404" s="284"/>
      <c r="G404" s="1068"/>
      <c r="H404" s="12"/>
    </row>
    <row r="405" spans="1:8">
      <c r="A405" s="327"/>
      <c r="B405" s="331"/>
      <c r="C405" s="331"/>
      <c r="D405" s="331"/>
      <c r="E405" s="384"/>
      <c r="F405" s="284"/>
      <c r="G405" s="1068"/>
      <c r="H405" s="12"/>
    </row>
    <row r="406" spans="1:8">
      <c r="A406" s="327"/>
      <c r="B406" s="331"/>
      <c r="C406" s="331"/>
      <c r="D406" s="331"/>
      <c r="E406" s="384"/>
      <c r="F406" s="284"/>
      <c r="G406" s="1068"/>
      <c r="H406" s="12"/>
    </row>
    <row r="407" spans="1:8">
      <c r="A407" s="327"/>
      <c r="B407" s="331"/>
      <c r="C407" s="331"/>
      <c r="D407" s="331"/>
      <c r="E407" s="384"/>
      <c r="F407" s="284"/>
      <c r="G407" s="1068"/>
      <c r="H407" s="12"/>
    </row>
    <row r="408" spans="1:8">
      <c r="A408" s="327"/>
      <c r="B408" s="331"/>
      <c r="C408" s="331"/>
      <c r="D408" s="331"/>
      <c r="E408" s="384"/>
      <c r="F408" s="284"/>
      <c r="G408" s="1068"/>
      <c r="H408" s="12"/>
    </row>
    <row r="409" spans="1:8">
      <c r="A409" s="327"/>
      <c r="B409" s="331"/>
      <c r="C409" s="331"/>
      <c r="D409" s="331"/>
      <c r="E409" s="384"/>
      <c r="F409" s="284"/>
      <c r="G409" s="1068"/>
      <c r="H409" s="12"/>
    </row>
    <row r="410" spans="1:8">
      <c r="A410" s="327"/>
      <c r="B410" s="331"/>
      <c r="C410" s="331"/>
      <c r="D410" s="331"/>
      <c r="E410" s="384"/>
      <c r="F410" s="284"/>
      <c r="G410" s="1068"/>
      <c r="H410" s="12"/>
    </row>
    <row r="411" spans="1:8">
      <c r="A411" s="327"/>
      <c r="B411" s="331"/>
      <c r="C411" s="331"/>
      <c r="D411" s="331"/>
      <c r="E411" s="384"/>
      <c r="F411" s="284"/>
      <c r="G411" s="1068"/>
      <c r="H411" s="12"/>
    </row>
    <row r="412" spans="1:8">
      <c r="A412" s="327"/>
      <c r="B412" s="331"/>
      <c r="C412" s="331"/>
      <c r="D412" s="331"/>
      <c r="E412" s="384"/>
      <c r="F412" s="284"/>
      <c r="G412" s="1068"/>
      <c r="H412" s="12"/>
    </row>
    <row r="413" spans="1:8">
      <c r="A413" s="327"/>
      <c r="B413" s="331"/>
      <c r="C413" s="331"/>
      <c r="D413" s="331"/>
      <c r="E413" s="384"/>
      <c r="F413" s="284"/>
      <c r="G413" s="1068"/>
      <c r="H413" s="12"/>
    </row>
    <row r="414" spans="1:8">
      <c r="A414" s="327"/>
      <c r="B414" s="331"/>
      <c r="C414" s="331"/>
      <c r="D414" s="331"/>
      <c r="E414" s="384"/>
      <c r="F414" s="284"/>
      <c r="G414" s="1068"/>
      <c r="H414" s="12"/>
    </row>
    <row r="415" spans="1:8">
      <c r="A415" s="327"/>
      <c r="B415" s="331"/>
      <c r="C415" s="331"/>
      <c r="D415" s="331"/>
      <c r="E415" s="384"/>
      <c r="F415" s="284"/>
      <c r="G415" s="1068"/>
      <c r="H415" s="12"/>
    </row>
    <row r="416" spans="1:8">
      <c r="A416" s="327"/>
      <c r="B416" s="331"/>
      <c r="C416" s="331"/>
      <c r="D416" s="331"/>
      <c r="E416" s="384"/>
      <c r="F416" s="284"/>
      <c r="G416" s="1068"/>
      <c r="H416" s="12"/>
    </row>
    <row r="417" spans="1:8">
      <c r="A417" s="327"/>
      <c r="B417" s="331"/>
      <c r="C417" s="331"/>
      <c r="D417" s="331"/>
      <c r="E417" s="384"/>
      <c r="F417" s="284"/>
      <c r="G417" s="1068"/>
      <c r="H417" s="12"/>
    </row>
    <row r="418" spans="1:8">
      <c r="A418" s="327"/>
      <c r="B418" s="331"/>
      <c r="C418" s="331"/>
      <c r="D418" s="331"/>
      <c r="E418" s="384"/>
      <c r="F418" s="284"/>
      <c r="G418" s="1068"/>
      <c r="H418" s="12"/>
    </row>
    <row r="419" spans="1:8">
      <c r="A419" s="327"/>
      <c r="B419" s="331"/>
      <c r="C419" s="331"/>
      <c r="D419" s="331"/>
      <c r="E419" s="384"/>
      <c r="F419" s="284"/>
      <c r="G419" s="1068"/>
      <c r="H419" s="12"/>
    </row>
    <row r="420" spans="1:8">
      <c r="A420" s="327"/>
      <c r="B420" s="331"/>
      <c r="C420" s="331"/>
      <c r="D420" s="331"/>
      <c r="E420" s="384"/>
      <c r="F420" s="284"/>
      <c r="G420" s="1068"/>
      <c r="H420" s="12"/>
    </row>
    <row r="421" spans="1:8">
      <c r="A421" s="327"/>
      <c r="B421" s="331"/>
      <c r="C421" s="331"/>
      <c r="D421" s="331"/>
      <c r="E421" s="384"/>
      <c r="F421" s="284"/>
      <c r="G421" s="1068"/>
      <c r="H421" s="12"/>
    </row>
    <row r="422" spans="1:8">
      <c r="A422" s="327"/>
      <c r="B422" s="331"/>
      <c r="C422" s="331"/>
      <c r="D422" s="331"/>
      <c r="E422" s="384"/>
      <c r="F422" s="284"/>
      <c r="G422" s="1068"/>
      <c r="H422" s="12"/>
    </row>
    <row r="423" spans="1:8">
      <c r="A423" s="327"/>
      <c r="B423" s="331"/>
      <c r="C423" s="331"/>
      <c r="D423" s="331"/>
      <c r="E423" s="384"/>
      <c r="F423" s="284"/>
      <c r="G423" s="1068"/>
      <c r="H423" s="12"/>
    </row>
    <row r="424" spans="1:8">
      <c r="A424" s="327"/>
      <c r="B424" s="331"/>
      <c r="C424" s="331"/>
      <c r="D424" s="331"/>
      <c r="E424" s="384"/>
      <c r="F424" s="284"/>
      <c r="G424" s="1068"/>
      <c r="H424" s="12"/>
    </row>
    <row r="425" spans="1:8">
      <c r="A425" s="327"/>
      <c r="B425" s="331"/>
      <c r="C425" s="331"/>
      <c r="D425" s="331"/>
      <c r="E425" s="384"/>
      <c r="F425" s="284"/>
      <c r="G425" s="1068"/>
      <c r="H425" s="12"/>
    </row>
    <row r="426" spans="1:8">
      <c r="A426" s="327"/>
      <c r="B426" s="331"/>
      <c r="C426" s="331"/>
      <c r="D426" s="331"/>
      <c r="E426" s="384"/>
      <c r="F426" s="284"/>
      <c r="G426" s="1068"/>
      <c r="H426" s="12"/>
    </row>
    <row r="427" spans="1:8">
      <c r="A427" s="327"/>
      <c r="B427" s="331"/>
      <c r="C427" s="331"/>
      <c r="D427" s="331"/>
      <c r="E427" s="384"/>
      <c r="F427" s="284"/>
      <c r="G427" s="1068"/>
      <c r="H427" s="12"/>
    </row>
    <row r="428" spans="1:8">
      <c r="A428" s="327"/>
      <c r="B428" s="331"/>
      <c r="C428" s="331"/>
      <c r="D428" s="331"/>
      <c r="E428" s="384"/>
      <c r="F428" s="284"/>
      <c r="G428" s="1068"/>
      <c r="H428" s="12"/>
    </row>
    <row r="429" spans="1:8">
      <c r="A429" s="327"/>
      <c r="B429" s="331"/>
      <c r="C429" s="331"/>
      <c r="D429" s="331"/>
      <c r="E429" s="384"/>
      <c r="F429" s="284"/>
      <c r="G429" s="1068"/>
      <c r="H429" s="12"/>
    </row>
    <row r="430" spans="1:8">
      <c r="A430" s="327"/>
      <c r="B430" s="331"/>
      <c r="C430" s="331"/>
      <c r="D430" s="331"/>
      <c r="E430" s="384"/>
      <c r="F430" s="284"/>
      <c r="G430" s="1068"/>
      <c r="H430" s="12"/>
    </row>
    <row r="431" spans="1:8">
      <c r="A431" s="327"/>
      <c r="B431" s="331"/>
      <c r="C431" s="331"/>
      <c r="D431" s="331"/>
      <c r="E431" s="384"/>
      <c r="F431" s="284"/>
      <c r="G431" s="1068"/>
      <c r="H431" s="12"/>
    </row>
    <row r="432" spans="1:8">
      <c r="A432" s="327"/>
      <c r="B432" s="331"/>
      <c r="C432" s="331"/>
      <c r="D432" s="331"/>
      <c r="E432" s="384"/>
      <c r="F432" s="284"/>
      <c r="G432" s="1068"/>
      <c r="H432" s="12"/>
    </row>
    <row r="433" spans="1:8">
      <c r="A433" s="327"/>
      <c r="B433" s="331"/>
      <c r="C433" s="331"/>
      <c r="D433" s="331"/>
      <c r="E433" s="384"/>
      <c r="F433" s="284"/>
      <c r="G433" s="1068"/>
      <c r="H433" s="12"/>
    </row>
    <row r="434" spans="1:8">
      <c r="A434" s="327"/>
      <c r="B434" s="331"/>
      <c r="C434" s="331"/>
      <c r="D434" s="331"/>
      <c r="E434" s="384"/>
      <c r="F434" s="284"/>
      <c r="G434" s="1068"/>
      <c r="H434" s="12"/>
    </row>
    <row r="435" spans="1:8">
      <c r="A435" s="327"/>
      <c r="B435" s="331"/>
      <c r="C435" s="331"/>
      <c r="D435" s="331"/>
      <c r="E435" s="384"/>
      <c r="F435" s="284"/>
      <c r="G435" s="1068"/>
      <c r="H435" s="12"/>
    </row>
    <row r="436" spans="1:8">
      <c r="A436" s="327"/>
      <c r="B436" s="331"/>
      <c r="C436" s="331"/>
      <c r="D436" s="331"/>
      <c r="E436" s="384"/>
      <c r="F436" s="284"/>
      <c r="G436" s="1068"/>
      <c r="H436" s="12"/>
    </row>
    <row r="437" spans="1:8">
      <c r="A437" s="327"/>
      <c r="B437" s="331"/>
      <c r="C437" s="331"/>
      <c r="D437" s="331"/>
      <c r="E437" s="384"/>
      <c r="F437" s="284"/>
      <c r="G437" s="1068"/>
      <c r="H437" s="12"/>
    </row>
    <row r="438" spans="1:8">
      <c r="A438" s="327"/>
      <c r="B438" s="331"/>
      <c r="C438" s="331"/>
      <c r="D438" s="331"/>
      <c r="E438" s="384"/>
      <c r="F438" s="284"/>
      <c r="G438" s="1068"/>
      <c r="H438" s="12"/>
    </row>
    <row r="439" spans="1:8">
      <c r="A439" s="327"/>
      <c r="B439" s="331"/>
      <c r="C439" s="331"/>
      <c r="D439" s="331"/>
      <c r="E439" s="384"/>
      <c r="F439" s="284"/>
      <c r="G439" s="1068"/>
      <c r="H439" s="12"/>
    </row>
    <row r="440" spans="1:8">
      <c r="A440" s="327"/>
      <c r="B440" s="331"/>
      <c r="C440" s="331"/>
      <c r="D440" s="331"/>
      <c r="E440" s="384"/>
      <c r="F440" s="284"/>
      <c r="G440" s="1068"/>
      <c r="H440" s="12"/>
    </row>
    <row r="441" spans="1:8">
      <c r="A441" s="327"/>
      <c r="B441" s="331"/>
      <c r="C441" s="331"/>
      <c r="D441" s="331"/>
      <c r="E441" s="384"/>
      <c r="F441" s="284"/>
      <c r="G441" s="1068"/>
      <c r="H441" s="12"/>
    </row>
    <row r="442" spans="1:8">
      <c r="A442" s="327"/>
      <c r="B442" s="331"/>
      <c r="C442" s="331"/>
      <c r="D442" s="331"/>
      <c r="E442" s="384"/>
      <c r="F442" s="284"/>
      <c r="G442" s="1068"/>
      <c r="H442" s="12"/>
    </row>
    <row r="443" spans="1:8">
      <c r="A443" s="327"/>
      <c r="B443" s="331"/>
      <c r="C443" s="331"/>
      <c r="D443" s="331"/>
      <c r="E443" s="384"/>
      <c r="F443" s="284"/>
      <c r="G443" s="1068"/>
      <c r="H443" s="12"/>
    </row>
    <row r="444" spans="1:8">
      <c r="A444" s="327"/>
      <c r="B444" s="331"/>
      <c r="C444" s="331"/>
      <c r="D444" s="331"/>
      <c r="E444" s="384"/>
      <c r="F444" s="284"/>
      <c r="G444" s="1068"/>
      <c r="H444" s="12"/>
    </row>
    <row r="445" spans="1:8">
      <c r="A445" s="327"/>
      <c r="B445" s="331"/>
      <c r="C445" s="331"/>
      <c r="D445" s="331"/>
      <c r="E445" s="384"/>
      <c r="F445" s="284"/>
      <c r="G445" s="1068"/>
      <c r="H445" s="12"/>
    </row>
    <row r="446" spans="1:8">
      <c r="A446" s="327"/>
      <c r="B446" s="331"/>
      <c r="C446" s="331"/>
      <c r="D446" s="331"/>
      <c r="E446" s="384"/>
      <c r="F446" s="284"/>
      <c r="G446" s="1068"/>
      <c r="H446" s="12"/>
    </row>
    <row r="447" spans="1:8">
      <c r="A447" s="327"/>
      <c r="B447" s="331"/>
      <c r="C447" s="331"/>
      <c r="D447" s="331"/>
      <c r="E447" s="384"/>
      <c r="F447" s="284"/>
      <c r="G447" s="1068"/>
      <c r="H447" s="12"/>
    </row>
    <row r="448" spans="1:8">
      <c r="A448" s="327"/>
      <c r="B448" s="331"/>
      <c r="C448" s="331"/>
      <c r="D448" s="331"/>
      <c r="E448" s="384"/>
      <c r="F448" s="284"/>
      <c r="G448" s="1068"/>
      <c r="H448" s="12"/>
    </row>
    <row r="449" spans="1:8">
      <c r="A449" s="327"/>
      <c r="B449" s="331"/>
      <c r="C449" s="331"/>
      <c r="D449" s="331"/>
      <c r="E449" s="384"/>
      <c r="F449" s="284"/>
      <c r="G449" s="1068"/>
      <c r="H449" s="12"/>
    </row>
    <row r="450" spans="1:8">
      <c r="A450" s="327"/>
      <c r="B450" s="331"/>
      <c r="C450" s="331"/>
      <c r="D450" s="331"/>
      <c r="E450" s="384"/>
      <c r="F450" s="284"/>
      <c r="G450" s="1068"/>
      <c r="H450" s="12"/>
    </row>
    <row r="451" spans="1:8">
      <c r="A451" s="327"/>
      <c r="B451" s="331"/>
      <c r="C451" s="331"/>
      <c r="D451" s="331"/>
      <c r="E451" s="384"/>
      <c r="F451" s="284"/>
      <c r="G451" s="1068"/>
      <c r="H451" s="12"/>
    </row>
    <row r="452" spans="1:8">
      <c r="A452" s="327"/>
      <c r="B452" s="331"/>
      <c r="C452" s="331"/>
      <c r="D452" s="331"/>
      <c r="E452" s="384"/>
      <c r="F452" s="284"/>
      <c r="G452" s="1068"/>
      <c r="H452" s="12"/>
    </row>
    <row r="453" spans="1:8">
      <c r="A453" s="327"/>
      <c r="B453" s="331"/>
      <c r="C453" s="331"/>
      <c r="D453" s="331"/>
      <c r="E453" s="384"/>
      <c r="F453" s="284"/>
      <c r="G453" s="1068"/>
      <c r="H453" s="12"/>
    </row>
    <row r="454" spans="1:8">
      <c r="A454" s="327"/>
      <c r="B454" s="331"/>
      <c r="C454" s="331"/>
      <c r="D454" s="331"/>
      <c r="E454" s="384"/>
      <c r="F454" s="284"/>
      <c r="G454" s="1068"/>
      <c r="H454" s="12"/>
    </row>
    <row r="455" spans="1:8">
      <c r="A455" s="327"/>
      <c r="B455" s="331"/>
      <c r="C455" s="331"/>
      <c r="D455" s="331"/>
      <c r="E455" s="384"/>
      <c r="F455" s="284"/>
      <c r="G455" s="1068"/>
      <c r="H455" s="12"/>
    </row>
    <row r="456" spans="1:8">
      <c r="A456" s="327"/>
      <c r="B456" s="331"/>
      <c r="C456" s="331"/>
      <c r="D456" s="331"/>
      <c r="E456" s="384"/>
      <c r="F456" s="284"/>
      <c r="G456" s="1068"/>
      <c r="H456" s="12"/>
    </row>
    <row r="457" spans="1:8">
      <c r="A457" s="327"/>
      <c r="B457" s="331"/>
      <c r="C457" s="331"/>
      <c r="D457" s="331"/>
      <c r="E457" s="384"/>
      <c r="F457" s="284"/>
      <c r="G457" s="1068"/>
      <c r="H457" s="12"/>
    </row>
    <row r="458" spans="1:8">
      <c r="A458" s="327"/>
      <c r="B458" s="331"/>
      <c r="C458" s="331"/>
      <c r="D458" s="331"/>
      <c r="E458" s="384"/>
      <c r="F458" s="284"/>
      <c r="G458" s="1068"/>
      <c r="H458" s="12"/>
    </row>
    <row r="459" spans="1:8">
      <c r="A459" s="327"/>
      <c r="B459" s="331"/>
      <c r="C459" s="331"/>
      <c r="D459" s="331"/>
      <c r="E459" s="384"/>
      <c r="F459" s="284"/>
      <c r="G459" s="1068"/>
      <c r="H459" s="12"/>
    </row>
    <row r="460" spans="1:8">
      <c r="A460" s="327"/>
      <c r="B460" s="331"/>
      <c r="C460" s="331"/>
      <c r="D460" s="331"/>
      <c r="E460" s="384"/>
      <c r="F460" s="284"/>
      <c r="G460" s="1068"/>
      <c r="H460" s="12"/>
    </row>
    <row r="461" spans="1:8">
      <c r="A461" s="327"/>
      <c r="B461" s="331"/>
      <c r="C461" s="331"/>
      <c r="D461" s="331"/>
      <c r="E461" s="384"/>
      <c r="F461" s="284"/>
      <c r="G461" s="1068"/>
      <c r="H461" s="12"/>
    </row>
    <row r="462" spans="1:8">
      <c r="A462" s="327"/>
      <c r="B462" s="331"/>
      <c r="C462" s="331"/>
      <c r="D462" s="331"/>
      <c r="E462" s="384"/>
      <c r="F462" s="284"/>
      <c r="G462" s="1068"/>
      <c r="H462" s="12"/>
    </row>
    <row r="463" spans="1:8">
      <c r="A463" s="327"/>
      <c r="B463" s="331"/>
      <c r="C463" s="331"/>
      <c r="D463" s="331"/>
      <c r="E463" s="384"/>
      <c r="F463" s="284"/>
      <c r="G463" s="1068"/>
      <c r="H463" s="12"/>
    </row>
    <row r="464" spans="1:8">
      <c r="A464" s="327"/>
      <c r="B464" s="331"/>
      <c r="C464" s="331"/>
      <c r="D464" s="331"/>
      <c r="E464" s="384"/>
      <c r="F464" s="284"/>
      <c r="G464" s="1068"/>
      <c r="H464" s="12"/>
    </row>
    <row r="465" spans="1:8">
      <c r="A465" s="327"/>
      <c r="B465" s="331"/>
      <c r="C465" s="331"/>
      <c r="D465" s="331"/>
      <c r="E465" s="384"/>
      <c r="F465" s="284"/>
      <c r="G465" s="1068"/>
      <c r="H465" s="12"/>
    </row>
    <row r="466" spans="1:8">
      <c r="A466" s="327"/>
      <c r="B466" s="331"/>
      <c r="C466" s="331"/>
      <c r="D466" s="331"/>
      <c r="E466" s="384"/>
      <c r="F466" s="284"/>
      <c r="G466" s="1068"/>
      <c r="H466" s="12"/>
    </row>
    <row r="467" spans="1:8">
      <c r="A467" s="327"/>
      <c r="B467" s="331"/>
      <c r="C467" s="331"/>
      <c r="D467" s="331"/>
      <c r="E467" s="384"/>
      <c r="F467" s="284"/>
      <c r="G467" s="1068"/>
      <c r="H467" s="12"/>
    </row>
    <row r="468" spans="1:8">
      <c r="A468" s="327"/>
      <c r="B468" s="331"/>
      <c r="C468" s="331"/>
      <c r="D468" s="331"/>
      <c r="E468" s="384"/>
      <c r="F468" s="284"/>
      <c r="G468" s="1068"/>
      <c r="H468" s="12"/>
    </row>
    <row r="469" spans="1:8">
      <c r="A469" s="327"/>
      <c r="B469" s="331"/>
      <c r="C469" s="331"/>
      <c r="D469" s="331"/>
      <c r="E469" s="384"/>
      <c r="F469" s="284"/>
      <c r="G469" s="1068"/>
      <c r="H469" s="12"/>
    </row>
    <row r="470" spans="1:8">
      <c r="A470" s="327"/>
      <c r="B470" s="331"/>
      <c r="C470" s="331"/>
      <c r="D470" s="331"/>
      <c r="E470" s="384"/>
      <c r="F470" s="284"/>
      <c r="G470" s="1068"/>
      <c r="H470" s="12"/>
    </row>
    <row r="471" spans="1:8">
      <c r="A471" s="327"/>
      <c r="B471" s="331"/>
      <c r="C471" s="331"/>
      <c r="D471" s="331"/>
      <c r="E471" s="384"/>
      <c r="F471" s="284"/>
      <c r="G471" s="1068"/>
      <c r="H471" s="12"/>
    </row>
    <row r="472" spans="1:8">
      <c r="A472" s="327"/>
      <c r="B472" s="331"/>
      <c r="C472" s="331"/>
      <c r="D472" s="331"/>
      <c r="E472" s="384"/>
      <c r="F472" s="284"/>
      <c r="G472" s="1068"/>
      <c r="H472" s="12"/>
    </row>
    <row r="473" spans="1:8">
      <c r="A473" s="327"/>
      <c r="B473" s="331"/>
      <c r="C473" s="331"/>
      <c r="D473" s="331"/>
      <c r="E473" s="384"/>
      <c r="F473" s="284"/>
      <c r="G473" s="1068"/>
      <c r="H473" s="12"/>
    </row>
    <row r="474" spans="1:8">
      <c r="A474" s="327"/>
      <c r="B474" s="331"/>
      <c r="C474" s="331"/>
      <c r="D474" s="331"/>
      <c r="E474" s="384"/>
      <c r="F474" s="284"/>
      <c r="G474" s="1068"/>
      <c r="H474" s="12"/>
    </row>
    <row r="475" spans="1:8">
      <c r="A475" s="327"/>
      <c r="B475" s="331"/>
      <c r="C475" s="331"/>
      <c r="D475" s="331"/>
      <c r="E475" s="384"/>
      <c r="F475" s="284"/>
      <c r="G475" s="1068"/>
      <c r="H475" s="12"/>
    </row>
    <row r="476" spans="1:8">
      <c r="A476" s="327"/>
      <c r="B476" s="331"/>
      <c r="C476" s="331"/>
      <c r="D476" s="331"/>
      <c r="E476" s="384"/>
      <c r="F476" s="284"/>
      <c r="G476" s="1068"/>
      <c r="H476" s="12"/>
    </row>
    <row r="477" spans="1:8">
      <c r="A477" s="327"/>
      <c r="B477" s="331"/>
      <c r="C477" s="331"/>
      <c r="D477" s="331"/>
      <c r="E477" s="384"/>
      <c r="F477" s="284"/>
      <c r="G477" s="1068"/>
      <c r="H477" s="12"/>
    </row>
    <row r="478" spans="1:8">
      <c r="A478" s="327"/>
      <c r="B478" s="331"/>
      <c r="C478" s="331"/>
      <c r="D478" s="331"/>
      <c r="E478" s="384"/>
      <c r="F478" s="284"/>
      <c r="G478" s="1068"/>
      <c r="H478" s="12"/>
    </row>
    <row r="479" spans="1:8">
      <c r="A479" s="327"/>
      <c r="B479" s="331"/>
      <c r="C479" s="331"/>
      <c r="D479" s="331"/>
      <c r="E479" s="384"/>
      <c r="F479" s="284"/>
      <c r="G479" s="1068"/>
      <c r="H479" s="12"/>
    </row>
    <row r="480" spans="1:8">
      <c r="A480" s="327"/>
      <c r="B480" s="331"/>
      <c r="C480" s="331"/>
      <c r="D480" s="331"/>
      <c r="E480" s="384"/>
      <c r="F480" s="284"/>
      <c r="G480" s="1068"/>
      <c r="H480" s="12"/>
    </row>
    <row r="481" spans="1:8">
      <c r="A481" s="327"/>
      <c r="B481" s="331"/>
      <c r="C481" s="331"/>
      <c r="D481" s="331"/>
      <c r="E481" s="384"/>
      <c r="F481" s="284"/>
      <c r="G481" s="1068"/>
      <c r="H481" s="12"/>
    </row>
    <row r="482" spans="1:8">
      <c r="A482" s="327"/>
      <c r="B482" s="331"/>
      <c r="C482" s="331"/>
      <c r="D482" s="331"/>
      <c r="E482" s="384"/>
      <c r="F482" s="284"/>
      <c r="G482" s="1068"/>
      <c r="H482" s="12"/>
    </row>
    <row r="483" spans="1:8">
      <c r="A483" s="327"/>
      <c r="B483" s="331"/>
      <c r="C483" s="331"/>
      <c r="D483" s="331"/>
      <c r="E483" s="384"/>
      <c r="F483" s="284"/>
      <c r="G483" s="1068"/>
      <c r="H483" s="12"/>
    </row>
    <row r="484" spans="1:8">
      <c r="A484" s="327"/>
      <c r="B484" s="331"/>
      <c r="C484" s="331"/>
      <c r="D484" s="331"/>
      <c r="E484" s="384"/>
      <c r="F484" s="284"/>
      <c r="G484" s="1068"/>
      <c r="H484" s="12"/>
    </row>
    <row r="485" spans="1:8">
      <c r="A485" s="327"/>
      <c r="B485" s="331"/>
      <c r="C485" s="331"/>
      <c r="D485" s="331"/>
      <c r="E485" s="384"/>
      <c r="F485" s="284"/>
      <c r="G485" s="1068"/>
      <c r="H485" s="12"/>
    </row>
    <row r="486" spans="1:8">
      <c r="A486" s="327"/>
      <c r="B486" s="331"/>
      <c r="C486" s="331"/>
      <c r="D486" s="331"/>
      <c r="E486" s="384"/>
      <c r="F486" s="284"/>
      <c r="G486" s="1068"/>
      <c r="H486" s="12"/>
    </row>
    <row r="487" spans="1:8">
      <c r="A487" s="327"/>
      <c r="B487" s="331"/>
      <c r="C487" s="331"/>
      <c r="D487" s="331"/>
      <c r="E487" s="384"/>
      <c r="F487" s="284"/>
      <c r="G487" s="1068"/>
      <c r="H487" s="12"/>
    </row>
    <row r="488" spans="1:8">
      <c r="A488" s="327"/>
      <c r="B488" s="331"/>
      <c r="C488" s="331"/>
      <c r="D488" s="331"/>
      <c r="E488" s="384"/>
      <c r="F488" s="284"/>
      <c r="G488" s="1068"/>
      <c r="H488" s="12"/>
    </row>
    <row r="489" spans="1:8">
      <c r="A489" s="327"/>
      <c r="B489" s="331"/>
      <c r="C489" s="331"/>
      <c r="D489" s="331"/>
      <c r="E489" s="384"/>
      <c r="F489" s="284"/>
      <c r="G489" s="1068"/>
      <c r="H489" s="12"/>
    </row>
    <row r="490" spans="1:8">
      <c r="A490" s="327"/>
      <c r="B490" s="331"/>
      <c r="C490" s="331"/>
      <c r="D490" s="331"/>
      <c r="E490" s="384"/>
      <c r="F490" s="284"/>
      <c r="G490" s="1068"/>
      <c r="H490" s="12"/>
    </row>
    <row r="491" spans="1:8">
      <c r="A491" s="327"/>
      <c r="B491" s="331"/>
      <c r="C491" s="331"/>
      <c r="D491" s="331"/>
      <c r="E491" s="384"/>
      <c r="F491" s="284"/>
      <c r="G491" s="1068"/>
      <c r="H491" s="12"/>
    </row>
    <row r="492" spans="1:8">
      <c r="A492" s="327"/>
      <c r="B492" s="331"/>
      <c r="C492" s="331"/>
      <c r="D492" s="331"/>
      <c r="E492" s="384"/>
      <c r="F492" s="284"/>
      <c r="G492" s="1068"/>
      <c r="H492" s="12"/>
    </row>
    <row r="493" spans="1:8">
      <c r="A493" s="327"/>
      <c r="B493" s="331"/>
      <c r="C493" s="331"/>
      <c r="D493" s="331"/>
      <c r="E493" s="384"/>
      <c r="F493" s="284"/>
      <c r="G493" s="1068"/>
      <c r="H493" s="12"/>
    </row>
    <row r="494" spans="1:8">
      <c r="A494" s="327"/>
      <c r="B494" s="331"/>
      <c r="C494" s="331"/>
      <c r="D494" s="331"/>
      <c r="E494" s="384"/>
      <c r="F494" s="284"/>
      <c r="G494" s="1068"/>
      <c r="H494" s="12"/>
    </row>
    <row r="495" spans="1:8">
      <c r="A495" s="327"/>
      <c r="B495" s="331"/>
      <c r="C495" s="331"/>
      <c r="D495" s="331"/>
      <c r="E495" s="384"/>
      <c r="F495" s="284"/>
      <c r="G495" s="1068"/>
      <c r="H495" s="12"/>
    </row>
    <row r="496" spans="1:8">
      <c r="A496" s="327"/>
      <c r="B496" s="331"/>
      <c r="C496" s="331"/>
      <c r="D496" s="331"/>
      <c r="E496" s="384"/>
      <c r="F496" s="284"/>
      <c r="G496" s="1068"/>
      <c r="H496" s="12"/>
    </row>
    <row r="497" spans="1:8">
      <c r="A497" s="327"/>
      <c r="B497" s="331"/>
      <c r="C497" s="331"/>
      <c r="D497" s="331"/>
      <c r="E497" s="384"/>
      <c r="F497" s="284"/>
      <c r="G497" s="1068"/>
      <c r="H497" s="12"/>
    </row>
    <row r="498" spans="1:8">
      <c r="A498" s="327"/>
      <c r="B498" s="331"/>
      <c r="C498" s="331"/>
      <c r="D498" s="331"/>
      <c r="E498" s="384"/>
      <c r="F498" s="284"/>
      <c r="G498" s="1068"/>
      <c r="H498" s="12"/>
    </row>
    <row r="499" spans="1:8">
      <c r="A499" s="327"/>
      <c r="B499" s="331"/>
      <c r="C499" s="331"/>
      <c r="D499" s="331"/>
      <c r="E499" s="384"/>
      <c r="F499" s="284"/>
      <c r="G499" s="1068"/>
      <c r="H499" s="12"/>
    </row>
    <row r="500" spans="1:8">
      <c r="A500" s="327"/>
      <c r="B500" s="331"/>
      <c r="C500" s="331"/>
      <c r="D500" s="331"/>
      <c r="E500" s="384"/>
      <c r="F500" s="284"/>
      <c r="G500" s="1068"/>
      <c r="H500" s="12"/>
    </row>
    <row r="501" spans="1:8">
      <c r="A501" s="327"/>
      <c r="B501" s="331"/>
      <c r="C501" s="331"/>
      <c r="D501" s="331"/>
      <c r="E501" s="384"/>
      <c r="F501" s="284"/>
      <c r="G501" s="1068"/>
      <c r="H501" s="12"/>
    </row>
    <row r="502" spans="1:8">
      <c r="A502" s="327"/>
      <c r="B502" s="331"/>
      <c r="C502" s="331"/>
      <c r="D502" s="331"/>
      <c r="E502" s="384"/>
      <c r="F502" s="284"/>
      <c r="G502" s="1068"/>
      <c r="H502" s="12"/>
    </row>
    <row r="503" spans="1:8">
      <c r="A503" s="327"/>
      <c r="B503" s="331"/>
      <c r="C503" s="331"/>
      <c r="D503" s="331"/>
      <c r="E503" s="384"/>
      <c r="F503" s="284"/>
      <c r="G503" s="1068"/>
      <c r="H503" s="12"/>
    </row>
    <row r="504" spans="1:8">
      <c r="A504" s="327"/>
      <c r="B504" s="331"/>
      <c r="C504" s="331"/>
      <c r="D504" s="331"/>
      <c r="E504" s="384"/>
      <c r="F504" s="284"/>
      <c r="G504" s="1068"/>
      <c r="H504" s="12"/>
    </row>
    <row r="505" spans="1:8">
      <c r="A505" s="327"/>
      <c r="B505" s="331"/>
      <c r="C505" s="331"/>
      <c r="D505" s="331"/>
      <c r="E505" s="384"/>
      <c r="F505" s="284"/>
      <c r="G505" s="1068"/>
      <c r="H505" s="12"/>
    </row>
    <row r="506" spans="1:8">
      <c r="A506" s="327"/>
      <c r="B506" s="331"/>
      <c r="C506" s="331"/>
      <c r="D506" s="331"/>
      <c r="E506" s="384"/>
      <c r="F506" s="284"/>
      <c r="G506" s="1068"/>
      <c r="H506" s="12"/>
    </row>
    <row r="507" spans="1:8">
      <c r="A507" s="327"/>
      <c r="B507" s="331"/>
      <c r="C507" s="331"/>
      <c r="D507" s="331"/>
      <c r="E507" s="384"/>
      <c r="F507" s="284"/>
      <c r="G507" s="1068"/>
      <c r="H507" s="12"/>
    </row>
    <row r="508" spans="1:8">
      <c r="A508" s="327"/>
      <c r="B508" s="331"/>
      <c r="C508" s="331"/>
      <c r="D508" s="331"/>
      <c r="E508" s="384"/>
      <c r="F508" s="284"/>
      <c r="G508" s="1068"/>
      <c r="H508" s="12"/>
    </row>
    <row r="509" spans="1:8">
      <c r="A509" s="327"/>
      <c r="B509" s="331"/>
      <c r="C509" s="331"/>
      <c r="D509" s="331"/>
      <c r="E509" s="384"/>
      <c r="F509" s="284"/>
      <c r="G509" s="1068"/>
      <c r="H509" s="12"/>
    </row>
    <row r="510" spans="1:8">
      <c r="A510" s="327"/>
      <c r="B510" s="331"/>
      <c r="C510" s="331"/>
      <c r="D510" s="331"/>
      <c r="E510" s="384"/>
      <c r="F510" s="284"/>
      <c r="G510" s="1068"/>
      <c r="H510" s="12"/>
    </row>
    <row r="511" spans="1:8">
      <c r="A511" s="327"/>
      <c r="B511" s="331"/>
      <c r="C511" s="331"/>
      <c r="D511" s="331"/>
      <c r="E511" s="384"/>
      <c r="F511" s="284"/>
      <c r="G511" s="1068"/>
      <c r="H511" s="12"/>
    </row>
    <row r="512" spans="1:8">
      <c r="A512" s="327"/>
      <c r="B512" s="331"/>
      <c r="C512" s="331"/>
      <c r="D512" s="331"/>
      <c r="E512" s="384"/>
      <c r="F512" s="284"/>
      <c r="G512" s="1068"/>
      <c r="H512" s="12"/>
    </row>
    <row r="513" spans="1:8">
      <c r="A513" s="327"/>
      <c r="B513" s="331"/>
      <c r="C513" s="331"/>
      <c r="D513" s="331"/>
      <c r="E513" s="384"/>
      <c r="F513" s="284"/>
      <c r="G513" s="1068"/>
      <c r="H513" s="12"/>
    </row>
    <row r="514" spans="1:8">
      <c r="A514" s="327"/>
      <c r="B514" s="331"/>
      <c r="C514" s="331"/>
      <c r="D514" s="331"/>
      <c r="E514" s="384"/>
      <c r="F514" s="284"/>
      <c r="G514" s="1068"/>
      <c r="H514" s="12"/>
    </row>
    <row r="515" spans="1:8">
      <c r="A515" s="327"/>
      <c r="B515" s="331"/>
      <c r="C515" s="331"/>
      <c r="D515" s="331"/>
      <c r="E515" s="384"/>
      <c r="F515" s="284"/>
      <c r="G515" s="1068"/>
      <c r="H515" s="12"/>
    </row>
    <row r="516" spans="1:8">
      <c r="A516" s="327"/>
      <c r="B516" s="331"/>
      <c r="C516" s="331"/>
      <c r="D516" s="331"/>
      <c r="E516" s="384"/>
      <c r="F516" s="284"/>
      <c r="G516" s="1068"/>
      <c r="H516" s="12"/>
    </row>
    <row r="517" spans="1:8">
      <c r="A517" s="327"/>
      <c r="B517" s="331"/>
      <c r="C517" s="331"/>
      <c r="D517" s="331"/>
      <c r="E517" s="384"/>
      <c r="F517" s="284"/>
      <c r="G517" s="1068"/>
      <c r="H517" s="12"/>
    </row>
    <row r="518" spans="1:8">
      <c r="A518" s="327"/>
      <c r="B518" s="331"/>
      <c r="C518" s="331"/>
      <c r="D518" s="331"/>
      <c r="E518" s="384"/>
      <c r="F518" s="284"/>
      <c r="G518" s="1068"/>
      <c r="H518" s="12"/>
    </row>
    <row r="519" spans="1:8">
      <c r="A519" s="327"/>
      <c r="B519" s="331"/>
      <c r="C519" s="331"/>
      <c r="D519" s="331"/>
      <c r="E519" s="384"/>
      <c r="F519" s="284"/>
      <c r="G519" s="1068"/>
      <c r="H519" s="12"/>
    </row>
    <row r="520" spans="1:8">
      <c r="A520" s="327"/>
      <c r="B520" s="331"/>
      <c r="C520" s="331"/>
      <c r="D520" s="331"/>
      <c r="E520" s="384"/>
      <c r="F520" s="284"/>
      <c r="G520" s="1068"/>
      <c r="H520" s="12"/>
    </row>
    <row r="521" spans="1:8">
      <c r="A521" s="327"/>
      <c r="B521" s="331"/>
      <c r="C521" s="331"/>
      <c r="D521" s="331"/>
      <c r="E521" s="384"/>
      <c r="F521" s="284"/>
      <c r="G521" s="1068"/>
      <c r="H521" s="12"/>
    </row>
    <row r="522" spans="1:8">
      <c r="A522" s="327"/>
      <c r="B522" s="331"/>
      <c r="C522" s="331"/>
      <c r="D522" s="331"/>
      <c r="E522" s="384"/>
      <c r="F522" s="284"/>
      <c r="G522" s="1068"/>
      <c r="H522" s="12"/>
    </row>
    <row r="523" spans="1:8">
      <c r="A523" s="327"/>
      <c r="B523" s="331"/>
      <c r="C523" s="331"/>
      <c r="D523" s="331"/>
      <c r="E523" s="384"/>
      <c r="F523" s="284"/>
      <c r="G523" s="1068"/>
      <c r="H523" s="12"/>
    </row>
    <row r="524" spans="1:8">
      <c r="A524" s="327"/>
      <c r="B524" s="331"/>
      <c r="C524" s="331"/>
      <c r="D524" s="331"/>
      <c r="E524" s="384"/>
      <c r="F524" s="284"/>
      <c r="G524" s="1068"/>
      <c r="H524" s="12"/>
    </row>
    <row r="525" spans="1:8">
      <c r="A525" s="327"/>
      <c r="B525" s="331"/>
      <c r="C525" s="331"/>
      <c r="D525" s="331"/>
      <c r="E525" s="384"/>
      <c r="F525" s="284"/>
      <c r="G525" s="1068"/>
      <c r="H525" s="12"/>
    </row>
    <row r="526" spans="1:8">
      <c r="A526" s="327"/>
      <c r="B526" s="331"/>
      <c r="C526" s="331"/>
      <c r="D526" s="331"/>
      <c r="E526" s="384"/>
      <c r="F526" s="284"/>
      <c r="G526" s="1068"/>
      <c r="H526" s="12"/>
    </row>
    <row r="527" spans="1:8">
      <c r="A527" s="327"/>
      <c r="B527" s="331"/>
      <c r="C527" s="331"/>
      <c r="D527" s="331"/>
      <c r="E527" s="384"/>
      <c r="F527" s="284"/>
      <c r="G527" s="1068"/>
      <c r="H527" s="12"/>
    </row>
    <row r="528" spans="1:8">
      <c r="A528" s="327"/>
      <c r="B528" s="331"/>
      <c r="C528" s="331"/>
      <c r="D528" s="331"/>
      <c r="E528" s="384"/>
      <c r="F528" s="284"/>
      <c r="G528" s="1068"/>
      <c r="H528" s="12"/>
    </row>
    <row r="529" spans="1:8">
      <c r="A529" s="327"/>
      <c r="B529" s="331"/>
      <c r="C529" s="331"/>
      <c r="D529" s="331"/>
      <c r="E529" s="384"/>
      <c r="F529" s="284"/>
      <c r="G529" s="1068"/>
      <c r="H529" s="12"/>
    </row>
    <row r="530" spans="1:8">
      <c r="A530" s="327"/>
      <c r="B530" s="331"/>
      <c r="C530" s="331"/>
      <c r="D530" s="331"/>
      <c r="E530" s="384"/>
      <c r="F530" s="284"/>
      <c r="G530" s="1068"/>
      <c r="H530" s="12"/>
    </row>
    <row r="531" spans="1:8">
      <c r="A531" s="327"/>
      <c r="B531" s="331"/>
      <c r="C531" s="331"/>
      <c r="D531" s="331"/>
      <c r="E531" s="384"/>
      <c r="F531" s="284"/>
      <c r="G531" s="1068"/>
      <c r="H531" s="12"/>
    </row>
    <row r="532" spans="1:8">
      <c r="A532" s="327"/>
      <c r="B532" s="331"/>
      <c r="C532" s="331"/>
      <c r="D532" s="331"/>
      <c r="E532" s="384"/>
      <c r="F532" s="284"/>
      <c r="G532" s="1068"/>
      <c r="H532" s="12"/>
    </row>
    <row r="533" spans="1:8">
      <c r="A533" s="327"/>
      <c r="B533" s="331"/>
      <c r="C533" s="331"/>
      <c r="D533" s="331"/>
      <c r="E533" s="384"/>
      <c r="F533" s="284"/>
      <c r="G533" s="1068"/>
      <c r="H533" s="12"/>
    </row>
    <row r="534" spans="1:8">
      <c r="A534" s="327"/>
      <c r="B534" s="331"/>
      <c r="C534" s="331"/>
      <c r="D534" s="331"/>
      <c r="E534" s="384"/>
      <c r="F534" s="284"/>
      <c r="G534" s="1068"/>
      <c r="H534" s="12"/>
    </row>
    <row r="535" spans="1:8">
      <c r="A535" s="327"/>
      <c r="B535" s="331"/>
      <c r="C535" s="331"/>
      <c r="D535" s="331"/>
      <c r="E535" s="384"/>
      <c r="F535" s="284"/>
      <c r="G535" s="1068"/>
      <c r="H535" s="12"/>
    </row>
    <row r="536" spans="1:8">
      <c r="A536" s="327"/>
      <c r="B536" s="331"/>
      <c r="C536" s="331"/>
      <c r="D536" s="331"/>
      <c r="E536" s="384"/>
      <c r="F536" s="284"/>
      <c r="G536" s="1068"/>
      <c r="H536" s="12"/>
    </row>
    <row r="537" spans="1:8">
      <c r="A537" s="327"/>
      <c r="B537" s="331"/>
      <c r="C537" s="331"/>
      <c r="D537" s="331"/>
      <c r="E537" s="384"/>
      <c r="F537" s="284"/>
      <c r="G537" s="1068"/>
      <c r="H537" s="12"/>
    </row>
    <row r="538" spans="1:8">
      <c r="A538" s="327"/>
      <c r="B538" s="331"/>
      <c r="C538" s="331"/>
      <c r="D538" s="331"/>
      <c r="E538" s="384"/>
      <c r="F538" s="284"/>
      <c r="G538" s="1068"/>
      <c r="H538" s="12"/>
    </row>
    <row r="539" spans="1:8">
      <c r="A539" s="327"/>
      <c r="B539" s="331"/>
      <c r="C539" s="331"/>
      <c r="D539" s="331"/>
      <c r="E539" s="384"/>
      <c r="F539" s="284"/>
      <c r="G539" s="1068"/>
      <c r="H539" s="12"/>
    </row>
    <row r="540" spans="1:8">
      <c r="A540" s="327"/>
      <c r="B540" s="331"/>
      <c r="C540" s="331"/>
      <c r="D540" s="331"/>
      <c r="E540" s="384"/>
      <c r="F540" s="284"/>
      <c r="G540" s="1068"/>
      <c r="H540" s="12"/>
    </row>
    <row r="541" spans="1:8">
      <c r="A541" s="327"/>
      <c r="B541" s="331"/>
      <c r="C541" s="331"/>
      <c r="D541" s="331"/>
      <c r="E541" s="384"/>
      <c r="F541" s="284"/>
      <c r="G541" s="1068"/>
      <c r="H541" s="12"/>
    </row>
    <row r="542" spans="1:8">
      <c r="A542" s="327"/>
      <c r="B542" s="331"/>
      <c r="C542" s="331"/>
      <c r="D542" s="331"/>
      <c r="E542" s="384"/>
      <c r="F542" s="284"/>
      <c r="G542" s="1068"/>
      <c r="H542" s="12"/>
    </row>
    <row r="543" spans="1:8">
      <c r="A543" s="327"/>
      <c r="B543" s="331"/>
      <c r="C543" s="331"/>
      <c r="D543" s="331"/>
      <c r="E543" s="384"/>
      <c r="F543" s="284"/>
      <c r="G543" s="1068"/>
      <c r="H543" s="12"/>
    </row>
    <row r="544" spans="1:8">
      <c r="A544" s="327"/>
      <c r="B544" s="331"/>
      <c r="C544" s="331"/>
      <c r="D544" s="331"/>
      <c r="E544" s="384"/>
      <c r="F544" s="284"/>
      <c r="G544" s="1068"/>
      <c r="H544" s="12"/>
    </row>
    <row r="545" spans="1:8">
      <c r="A545" s="327"/>
      <c r="B545" s="331"/>
      <c r="C545" s="331"/>
      <c r="D545" s="331"/>
      <c r="E545" s="384"/>
      <c r="F545" s="284"/>
      <c r="G545" s="1068"/>
      <c r="H545" s="12"/>
    </row>
    <row r="546" spans="1:8">
      <c r="A546" s="327"/>
      <c r="B546" s="331"/>
      <c r="C546" s="331"/>
      <c r="D546" s="331"/>
      <c r="E546" s="384"/>
      <c r="F546" s="284"/>
      <c r="G546" s="1068"/>
      <c r="H546" s="12"/>
    </row>
    <row r="547" spans="1:8">
      <c r="A547" s="327"/>
      <c r="B547" s="331"/>
      <c r="C547" s="331"/>
      <c r="D547" s="331"/>
      <c r="E547" s="384"/>
      <c r="F547" s="284"/>
      <c r="G547" s="1068"/>
      <c r="H547" s="12"/>
    </row>
    <row r="548" spans="1:8">
      <c r="A548" s="327"/>
      <c r="B548" s="331"/>
      <c r="C548" s="331"/>
      <c r="D548" s="331"/>
      <c r="E548" s="384"/>
      <c r="F548" s="284"/>
      <c r="G548" s="1068"/>
      <c r="H548" s="12"/>
    </row>
    <row r="549" spans="1:8">
      <c r="A549" s="327"/>
      <c r="B549" s="331"/>
      <c r="C549" s="331"/>
      <c r="D549" s="331"/>
      <c r="E549" s="384"/>
      <c r="F549" s="284"/>
      <c r="G549" s="1068"/>
      <c r="H549" s="12"/>
    </row>
    <row r="550" spans="1:8">
      <c r="A550" s="327"/>
      <c r="B550" s="331"/>
      <c r="C550" s="331"/>
      <c r="D550" s="331"/>
      <c r="E550" s="384"/>
      <c r="F550" s="284"/>
      <c r="G550" s="1068"/>
      <c r="H550" s="12"/>
    </row>
    <row r="551" spans="1:8">
      <c r="A551" s="327"/>
      <c r="B551" s="331"/>
      <c r="C551" s="331"/>
      <c r="D551" s="331"/>
      <c r="E551" s="384"/>
      <c r="F551" s="284"/>
      <c r="G551" s="1068"/>
      <c r="H551" s="12"/>
    </row>
    <row r="552" spans="1:8">
      <c r="A552" s="327"/>
      <c r="B552" s="331"/>
      <c r="C552" s="331"/>
      <c r="D552" s="331"/>
      <c r="E552" s="384"/>
      <c r="F552" s="284"/>
      <c r="G552" s="1068"/>
      <c r="H552" s="12"/>
    </row>
    <row r="553" spans="1:8">
      <c r="A553" s="327"/>
      <c r="B553" s="331"/>
      <c r="C553" s="331"/>
      <c r="D553" s="331"/>
      <c r="E553" s="384"/>
      <c r="F553" s="284"/>
      <c r="G553" s="1068"/>
      <c r="H553" s="12"/>
    </row>
    <row r="554" spans="1:8">
      <c r="A554" s="327"/>
      <c r="B554" s="331"/>
      <c r="C554" s="331"/>
      <c r="D554" s="331"/>
      <c r="E554" s="384"/>
      <c r="F554" s="284"/>
      <c r="G554" s="1068"/>
      <c r="H554" s="12"/>
    </row>
    <row r="555" spans="1:8">
      <c r="A555" s="327"/>
      <c r="B555" s="331"/>
      <c r="C555" s="331"/>
      <c r="D555" s="331"/>
      <c r="E555" s="384"/>
      <c r="F555" s="284"/>
      <c r="G555" s="1068"/>
      <c r="H555" s="12"/>
    </row>
    <row r="556" spans="1:8">
      <c r="A556" s="327"/>
      <c r="B556" s="331"/>
      <c r="C556" s="331"/>
      <c r="D556" s="331"/>
      <c r="E556" s="384"/>
      <c r="F556" s="284"/>
      <c r="G556" s="1068"/>
      <c r="H556" s="12"/>
    </row>
    <row r="557" spans="1:8">
      <c r="A557" s="327"/>
      <c r="B557" s="331"/>
      <c r="C557" s="331"/>
      <c r="D557" s="331"/>
      <c r="E557" s="384"/>
      <c r="F557" s="284"/>
      <c r="G557" s="1068"/>
      <c r="H557" s="12"/>
    </row>
    <row r="558" spans="1:8">
      <c r="A558" s="327"/>
      <c r="B558" s="331"/>
      <c r="C558" s="331"/>
      <c r="D558" s="331"/>
      <c r="E558" s="384"/>
      <c r="F558" s="284"/>
      <c r="G558" s="1068"/>
      <c r="H558" s="12"/>
    </row>
    <row r="559" spans="1:8">
      <c r="A559" s="327"/>
      <c r="B559" s="331"/>
      <c r="C559" s="331"/>
      <c r="D559" s="331"/>
      <c r="E559" s="384"/>
      <c r="F559" s="284"/>
      <c r="G559" s="1068"/>
      <c r="H559" s="12"/>
    </row>
    <row r="560" spans="1:8">
      <c r="A560" s="327"/>
      <c r="B560" s="331"/>
      <c r="C560" s="331"/>
      <c r="D560" s="331"/>
      <c r="E560" s="384"/>
      <c r="F560" s="284"/>
      <c r="G560" s="1068"/>
      <c r="H560" s="12"/>
    </row>
    <row r="561" spans="1:8">
      <c r="A561" s="327"/>
      <c r="B561" s="331"/>
      <c r="C561" s="331"/>
      <c r="D561" s="331"/>
      <c r="E561" s="384"/>
      <c r="F561" s="284"/>
      <c r="G561" s="1068"/>
      <c r="H561" s="12"/>
    </row>
    <row r="562" spans="1:8">
      <c r="A562" s="327"/>
      <c r="B562" s="331"/>
      <c r="C562" s="331"/>
      <c r="D562" s="331"/>
      <c r="E562" s="384"/>
      <c r="F562" s="284"/>
      <c r="G562" s="1068"/>
      <c r="H562" s="12"/>
    </row>
    <row r="563" spans="1:8">
      <c r="A563" s="327"/>
      <c r="B563" s="331"/>
      <c r="C563" s="331"/>
      <c r="D563" s="331"/>
      <c r="E563" s="384"/>
      <c r="F563" s="284"/>
      <c r="G563" s="1068"/>
      <c r="H563" s="12"/>
    </row>
    <row r="564" spans="1:8">
      <c r="A564" s="327"/>
      <c r="B564" s="331"/>
      <c r="C564" s="331"/>
      <c r="D564" s="331"/>
      <c r="E564" s="384"/>
      <c r="F564" s="284"/>
      <c r="G564" s="1068"/>
      <c r="H564" s="12"/>
    </row>
    <row r="565" spans="1:8">
      <c r="A565" s="327"/>
      <c r="B565" s="331"/>
      <c r="C565" s="331"/>
      <c r="D565" s="331"/>
      <c r="E565" s="384"/>
      <c r="F565" s="284"/>
      <c r="G565" s="1068"/>
      <c r="H565" s="12"/>
    </row>
    <row r="566" spans="1:8">
      <c r="A566" s="327"/>
      <c r="B566" s="331"/>
      <c r="C566" s="331"/>
      <c r="D566" s="331"/>
      <c r="E566" s="384"/>
      <c r="F566" s="284"/>
      <c r="G566" s="1068"/>
      <c r="H566" s="12"/>
    </row>
    <row r="567" spans="1:8">
      <c r="A567" s="327"/>
      <c r="B567" s="331"/>
      <c r="C567" s="331"/>
      <c r="D567" s="331"/>
      <c r="E567" s="384"/>
      <c r="F567" s="284"/>
      <c r="G567" s="1068"/>
      <c r="H567" s="12"/>
    </row>
    <row r="568" spans="1:8">
      <c r="A568" s="327"/>
      <c r="B568" s="331"/>
      <c r="C568" s="331"/>
      <c r="D568" s="331"/>
      <c r="E568" s="384"/>
      <c r="F568" s="284"/>
      <c r="G568" s="1068"/>
      <c r="H568" s="12"/>
    </row>
    <row r="569" spans="1:8">
      <c r="A569" s="327"/>
      <c r="B569" s="331"/>
      <c r="C569" s="331"/>
      <c r="D569" s="331"/>
      <c r="E569" s="384"/>
      <c r="F569" s="284"/>
      <c r="G569" s="1068"/>
      <c r="H569" s="12"/>
    </row>
    <row r="570" spans="1:8">
      <c r="A570" s="327"/>
      <c r="B570" s="331"/>
      <c r="C570" s="331"/>
      <c r="D570" s="331"/>
      <c r="E570" s="384"/>
      <c r="F570" s="284"/>
      <c r="G570" s="1068"/>
      <c r="H570" s="12"/>
    </row>
    <row r="571" spans="1:8">
      <c r="A571" s="327"/>
      <c r="B571" s="331"/>
      <c r="C571" s="331"/>
      <c r="D571" s="331"/>
      <c r="E571" s="384"/>
      <c r="F571" s="284"/>
      <c r="G571" s="1068"/>
      <c r="H571" s="12"/>
    </row>
    <row r="572" spans="1:8">
      <c r="A572" s="327"/>
      <c r="B572" s="331"/>
      <c r="C572" s="331"/>
      <c r="D572" s="331"/>
      <c r="E572" s="384"/>
      <c r="F572" s="284"/>
      <c r="G572" s="1068"/>
      <c r="H572" s="12"/>
    </row>
    <row r="573" spans="1:8">
      <c r="A573" s="327"/>
      <c r="B573" s="331"/>
      <c r="C573" s="331"/>
      <c r="D573" s="331"/>
      <c r="E573" s="384"/>
      <c r="F573" s="284"/>
      <c r="G573" s="1068"/>
      <c r="H573" s="12"/>
    </row>
    <row r="574" spans="1:8">
      <c r="A574" s="327"/>
      <c r="B574" s="331"/>
      <c r="C574" s="331"/>
      <c r="D574" s="331"/>
      <c r="E574" s="384"/>
      <c r="F574" s="284"/>
      <c r="G574" s="1068"/>
      <c r="H574" s="12"/>
    </row>
    <row r="575" spans="1:8">
      <c r="A575" s="327"/>
      <c r="B575" s="331"/>
      <c r="C575" s="331"/>
      <c r="D575" s="331"/>
      <c r="E575" s="384"/>
      <c r="F575" s="284"/>
      <c r="G575" s="1068"/>
      <c r="H575" s="12"/>
    </row>
    <row r="576" spans="1:8">
      <c r="A576" s="327"/>
      <c r="B576" s="331"/>
      <c r="C576" s="331"/>
      <c r="D576" s="331"/>
      <c r="E576" s="384"/>
      <c r="F576" s="284"/>
      <c r="G576" s="1068"/>
      <c r="H576" s="12"/>
    </row>
    <row r="577" spans="1:8">
      <c r="A577" s="327"/>
      <c r="B577" s="331"/>
      <c r="C577" s="331"/>
      <c r="D577" s="331"/>
      <c r="E577" s="384"/>
      <c r="F577" s="284"/>
      <c r="G577" s="1068"/>
      <c r="H577" s="12"/>
    </row>
    <row r="578" spans="1:8">
      <c r="A578" s="327"/>
      <c r="B578" s="331"/>
      <c r="C578" s="331"/>
      <c r="D578" s="331"/>
      <c r="E578" s="384"/>
      <c r="F578" s="284"/>
      <c r="G578" s="1068"/>
      <c r="H578" s="12"/>
    </row>
    <row r="579" spans="1:8">
      <c r="A579" s="327"/>
      <c r="B579" s="331"/>
      <c r="C579" s="331"/>
      <c r="D579" s="331"/>
      <c r="E579" s="384"/>
      <c r="F579" s="284"/>
      <c r="G579" s="1068"/>
      <c r="H579" s="12"/>
    </row>
    <row r="580" spans="1:8">
      <c r="A580" s="327"/>
      <c r="B580" s="331"/>
      <c r="C580" s="331"/>
      <c r="D580" s="331"/>
      <c r="E580" s="384"/>
      <c r="F580" s="284"/>
      <c r="G580" s="1068"/>
      <c r="H580" s="12"/>
    </row>
    <row r="581" spans="1:8">
      <c r="A581" s="327"/>
      <c r="B581" s="331"/>
      <c r="C581" s="331"/>
      <c r="D581" s="331"/>
      <c r="E581" s="384"/>
      <c r="F581" s="284"/>
      <c r="G581" s="1068"/>
      <c r="H581" s="12"/>
    </row>
    <row r="582" spans="1:8">
      <c r="A582" s="327"/>
      <c r="B582" s="331"/>
      <c r="C582" s="331"/>
      <c r="D582" s="331"/>
      <c r="E582" s="384"/>
      <c r="F582" s="284"/>
      <c r="G582" s="1068"/>
      <c r="H582" s="12"/>
    </row>
    <row r="583" spans="1:8">
      <c r="A583" s="327"/>
      <c r="B583" s="331"/>
      <c r="C583" s="331"/>
      <c r="D583" s="331"/>
      <c r="E583" s="384"/>
      <c r="F583" s="284"/>
      <c r="G583" s="1068"/>
      <c r="H583" s="12"/>
    </row>
    <row r="584" spans="1:8">
      <c r="A584" s="327"/>
      <c r="B584" s="331"/>
      <c r="C584" s="331"/>
      <c r="D584" s="331"/>
      <c r="E584" s="384"/>
      <c r="F584" s="284"/>
      <c r="G584" s="1068"/>
      <c r="H584" s="12"/>
    </row>
    <row r="585" spans="1:8">
      <c r="A585" s="327"/>
      <c r="B585" s="331"/>
      <c r="C585" s="331"/>
      <c r="D585" s="331"/>
      <c r="E585" s="384"/>
      <c r="F585" s="284"/>
      <c r="G585" s="1068"/>
      <c r="H585" s="12"/>
    </row>
    <row r="586" spans="1:8">
      <c r="A586" s="327"/>
      <c r="B586" s="331"/>
      <c r="C586" s="331"/>
      <c r="D586" s="331"/>
      <c r="E586" s="384"/>
      <c r="F586" s="284"/>
      <c r="G586" s="1068"/>
      <c r="H586" s="12"/>
    </row>
    <row r="587" spans="1:8">
      <c r="A587" s="327"/>
      <c r="B587" s="331"/>
      <c r="C587" s="331"/>
      <c r="D587" s="331"/>
      <c r="E587" s="384"/>
      <c r="F587" s="284"/>
      <c r="G587" s="1068"/>
      <c r="H587" s="12"/>
    </row>
    <row r="588" spans="1:8">
      <c r="A588" s="327"/>
      <c r="B588" s="331"/>
      <c r="C588" s="331"/>
      <c r="D588" s="331"/>
      <c r="E588" s="384"/>
      <c r="F588" s="284"/>
      <c r="G588" s="1068"/>
      <c r="H588" s="12"/>
    </row>
    <row r="589" spans="1:8">
      <c r="A589" s="327"/>
      <c r="B589" s="331"/>
      <c r="C589" s="331"/>
      <c r="D589" s="331"/>
      <c r="E589" s="384"/>
      <c r="F589" s="284"/>
      <c r="G589" s="1068"/>
      <c r="H589" s="12"/>
    </row>
    <row r="590" spans="1:8">
      <c r="A590" s="327"/>
      <c r="B590" s="331"/>
      <c r="C590" s="331"/>
      <c r="D590" s="331"/>
      <c r="E590" s="384"/>
      <c r="F590" s="284"/>
      <c r="G590" s="1068"/>
      <c r="H590" s="12"/>
    </row>
    <row r="591" spans="1:8">
      <c r="A591" s="327"/>
      <c r="B591" s="331"/>
      <c r="C591" s="331"/>
      <c r="D591" s="331"/>
      <c r="E591" s="384"/>
      <c r="F591" s="284"/>
      <c r="G591" s="1068"/>
      <c r="H591" s="12"/>
    </row>
    <row r="592" spans="1:8">
      <c r="A592" s="327"/>
      <c r="B592" s="331"/>
      <c r="C592" s="331"/>
      <c r="D592" s="331"/>
      <c r="E592" s="384"/>
      <c r="F592" s="284"/>
      <c r="G592" s="1068"/>
      <c r="H592" s="12"/>
    </row>
    <row r="593" spans="1:8">
      <c r="A593" s="327"/>
      <c r="B593" s="331"/>
      <c r="C593" s="331"/>
      <c r="D593" s="331"/>
      <c r="E593" s="384"/>
      <c r="F593" s="284"/>
      <c r="G593" s="1068"/>
      <c r="H593" s="12"/>
    </row>
    <row r="594" spans="1:8">
      <c r="A594" s="327"/>
      <c r="B594" s="331"/>
      <c r="C594" s="331"/>
      <c r="D594" s="331"/>
      <c r="E594" s="384"/>
      <c r="F594" s="284"/>
      <c r="G594" s="1068"/>
      <c r="H594" s="12"/>
    </row>
    <row r="595" spans="1:8">
      <c r="A595" s="327"/>
      <c r="B595" s="331"/>
      <c r="C595" s="331"/>
      <c r="D595" s="331"/>
      <c r="E595" s="384"/>
      <c r="F595" s="284"/>
      <c r="G595" s="1068"/>
      <c r="H595" s="12"/>
    </row>
    <row r="596" spans="1:8">
      <c r="A596" s="327"/>
      <c r="B596" s="331"/>
      <c r="C596" s="331"/>
      <c r="D596" s="331"/>
      <c r="E596" s="384"/>
      <c r="F596" s="284"/>
      <c r="G596" s="1068"/>
      <c r="H596" s="12"/>
    </row>
    <row r="597" spans="1:8">
      <c r="A597" s="327"/>
      <c r="B597" s="331"/>
      <c r="C597" s="331"/>
      <c r="D597" s="331"/>
      <c r="E597" s="384"/>
      <c r="F597" s="284"/>
      <c r="G597" s="1068"/>
      <c r="H597" s="12"/>
    </row>
    <row r="598" spans="1:8">
      <c r="A598" s="327"/>
      <c r="B598" s="331"/>
      <c r="C598" s="331"/>
      <c r="D598" s="331"/>
      <c r="E598" s="384"/>
      <c r="F598" s="284"/>
      <c r="G598" s="1068"/>
      <c r="H598" s="12"/>
    </row>
    <row r="599" spans="1:8">
      <c r="A599" s="327"/>
      <c r="B599" s="331"/>
      <c r="C599" s="331"/>
      <c r="D599" s="331"/>
      <c r="E599" s="384"/>
      <c r="F599" s="284"/>
      <c r="G599" s="1068"/>
      <c r="H599" s="12"/>
    </row>
    <row r="600" spans="1:8">
      <c r="A600" s="327"/>
      <c r="B600" s="331"/>
      <c r="C600" s="331"/>
      <c r="D600" s="331"/>
      <c r="E600" s="384"/>
      <c r="F600" s="284"/>
      <c r="G600" s="1068"/>
      <c r="H600" s="12"/>
    </row>
    <row r="601" spans="1:8">
      <c r="A601" s="327"/>
      <c r="B601" s="331"/>
      <c r="C601" s="331"/>
      <c r="D601" s="331"/>
      <c r="E601" s="384"/>
      <c r="F601" s="284"/>
      <c r="G601" s="1068"/>
      <c r="H601" s="12"/>
    </row>
    <row r="602" spans="1:8">
      <c r="A602" s="327"/>
      <c r="B602" s="331"/>
      <c r="C602" s="331"/>
      <c r="D602" s="331"/>
      <c r="E602" s="384"/>
      <c r="F602" s="284"/>
      <c r="G602" s="1068"/>
      <c r="H602" s="12"/>
    </row>
    <row r="603" spans="1:8">
      <c r="A603" s="327"/>
      <c r="B603" s="331"/>
      <c r="C603" s="331"/>
      <c r="D603" s="331"/>
      <c r="E603" s="384"/>
      <c r="F603" s="284"/>
      <c r="G603" s="1068"/>
      <c r="H603" s="12"/>
    </row>
    <row r="604" spans="1:8">
      <c r="A604" s="327"/>
      <c r="B604" s="331"/>
      <c r="C604" s="331"/>
      <c r="D604" s="331"/>
      <c r="E604" s="384"/>
      <c r="F604" s="284"/>
      <c r="G604" s="1068"/>
      <c r="H604" s="12"/>
    </row>
    <row r="605" spans="1:8">
      <c r="A605" s="327"/>
      <c r="B605" s="331"/>
      <c r="C605" s="331"/>
      <c r="D605" s="331"/>
      <c r="E605" s="384"/>
      <c r="F605" s="284"/>
      <c r="G605" s="1068"/>
      <c r="H605" s="12"/>
    </row>
    <row r="606" spans="1:8">
      <c r="A606" s="327"/>
      <c r="B606" s="331"/>
      <c r="C606" s="331"/>
      <c r="D606" s="331"/>
      <c r="E606" s="384"/>
      <c r="F606" s="284"/>
      <c r="G606" s="1068"/>
      <c r="H606" s="12"/>
    </row>
    <row r="607" spans="1:8">
      <c r="A607" s="327"/>
      <c r="B607" s="331"/>
      <c r="C607" s="331"/>
      <c r="D607" s="331"/>
      <c r="E607" s="384"/>
      <c r="F607" s="284"/>
      <c r="G607" s="1068"/>
      <c r="H607" s="12"/>
    </row>
    <row r="608" spans="1:8">
      <c r="A608" s="327"/>
      <c r="B608" s="331"/>
      <c r="C608" s="331"/>
      <c r="D608" s="331"/>
      <c r="E608" s="384"/>
      <c r="F608" s="284"/>
      <c r="G608" s="1068"/>
      <c r="H608" s="12"/>
    </row>
    <row r="609" spans="1:8">
      <c r="A609" s="327"/>
      <c r="B609" s="331"/>
      <c r="C609" s="331"/>
      <c r="D609" s="331"/>
      <c r="E609" s="384"/>
      <c r="F609" s="284"/>
      <c r="G609" s="1068"/>
      <c r="H609" s="12"/>
    </row>
    <row r="610" spans="1:8">
      <c r="A610" s="327"/>
      <c r="B610" s="331"/>
      <c r="C610" s="331"/>
      <c r="D610" s="331"/>
      <c r="E610" s="384"/>
      <c r="F610" s="284"/>
      <c r="G610" s="1068"/>
      <c r="H610" s="12"/>
    </row>
    <row r="611" spans="1:8">
      <c r="A611" s="327"/>
      <c r="B611" s="331"/>
      <c r="C611" s="331"/>
      <c r="D611" s="331"/>
      <c r="E611" s="384"/>
      <c r="F611" s="284"/>
      <c r="G611" s="1068"/>
      <c r="H611" s="12"/>
    </row>
    <row r="612" spans="1:8">
      <c r="A612" s="327"/>
      <c r="B612" s="331"/>
      <c r="C612" s="331"/>
      <c r="D612" s="331"/>
      <c r="E612" s="384"/>
      <c r="F612" s="284"/>
      <c r="G612" s="1068"/>
      <c r="H612" s="12"/>
    </row>
    <row r="613" spans="1:8">
      <c r="A613" s="327"/>
      <c r="B613" s="331"/>
      <c r="C613" s="331"/>
      <c r="D613" s="331"/>
      <c r="E613" s="384"/>
      <c r="F613" s="284"/>
      <c r="G613" s="1068"/>
      <c r="H613" s="12"/>
    </row>
    <row r="614" spans="1:8">
      <c r="A614" s="327"/>
      <c r="B614" s="331"/>
      <c r="C614" s="331"/>
      <c r="D614" s="331"/>
      <c r="E614" s="384"/>
      <c r="F614" s="284"/>
      <c r="G614" s="1068"/>
      <c r="H614" s="12"/>
    </row>
    <row r="615" spans="1:8">
      <c r="A615" s="327"/>
      <c r="B615" s="331"/>
      <c r="C615" s="331"/>
      <c r="D615" s="331"/>
      <c r="E615" s="384"/>
      <c r="F615" s="284"/>
      <c r="G615" s="1068"/>
      <c r="H615" s="12"/>
    </row>
    <row r="616" spans="1:8">
      <c r="A616" s="327"/>
      <c r="B616" s="331"/>
      <c r="C616" s="331"/>
      <c r="D616" s="331"/>
      <c r="E616" s="384"/>
      <c r="F616" s="284"/>
      <c r="G616" s="1068"/>
      <c r="H616" s="12"/>
    </row>
    <row r="617" spans="1:8">
      <c r="A617" s="327"/>
      <c r="B617" s="331"/>
      <c r="C617" s="331"/>
      <c r="D617" s="331"/>
      <c r="E617" s="384"/>
      <c r="F617" s="284"/>
      <c r="G617" s="1068"/>
      <c r="H617" s="12"/>
    </row>
    <row r="618" spans="1:8">
      <c r="A618" s="327"/>
      <c r="B618" s="331"/>
      <c r="C618" s="331"/>
      <c r="D618" s="331"/>
      <c r="E618" s="384"/>
      <c r="F618" s="284"/>
      <c r="G618" s="1068"/>
      <c r="H618" s="12"/>
    </row>
    <row r="619" spans="1:8">
      <c r="A619" s="327"/>
      <c r="B619" s="331"/>
      <c r="C619" s="331"/>
      <c r="D619" s="331"/>
      <c r="E619" s="384"/>
      <c r="F619" s="284"/>
      <c r="G619" s="1068"/>
      <c r="H619" s="12"/>
    </row>
    <row r="620" spans="1:8">
      <c r="A620" s="327"/>
      <c r="B620" s="331"/>
      <c r="C620" s="331"/>
      <c r="D620" s="331"/>
      <c r="E620" s="384"/>
      <c r="F620" s="284"/>
      <c r="G620" s="1068"/>
      <c r="H620" s="12"/>
    </row>
    <row r="621" spans="1:8">
      <c r="A621" s="327"/>
      <c r="B621" s="331"/>
      <c r="C621" s="331"/>
      <c r="D621" s="331"/>
      <c r="E621" s="384"/>
      <c r="F621" s="284"/>
      <c r="G621" s="1068"/>
      <c r="H621" s="12"/>
    </row>
    <row r="622" spans="1:8">
      <c r="A622" s="327"/>
      <c r="B622" s="331"/>
      <c r="C622" s="331"/>
      <c r="D622" s="331"/>
      <c r="E622" s="384"/>
      <c r="F622" s="284"/>
      <c r="G622" s="1068"/>
      <c r="H622" s="12"/>
    </row>
    <row r="623" spans="1:8">
      <c r="A623" s="327"/>
      <c r="B623" s="331"/>
      <c r="C623" s="331"/>
      <c r="D623" s="331"/>
      <c r="E623" s="384"/>
      <c r="F623" s="284"/>
      <c r="G623" s="1068"/>
      <c r="H623" s="12"/>
    </row>
    <row r="624" spans="1:8">
      <c r="A624" s="327"/>
      <c r="B624" s="331"/>
      <c r="C624" s="331"/>
      <c r="D624" s="331"/>
      <c r="E624" s="384"/>
      <c r="F624" s="284"/>
      <c r="G624" s="1068"/>
      <c r="H624" s="12"/>
    </row>
    <row r="625" spans="1:8">
      <c r="A625" s="327"/>
      <c r="B625" s="331"/>
      <c r="C625" s="331"/>
      <c r="D625" s="331"/>
      <c r="E625" s="384"/>
      <c r="F625" s="284"/>
      <c r="G625" s="1068"/>
      <c r="H625" s="12"/>
    </row>
    <row r="626" spans="1:8">
      <c r="A626" s="327"/>
      <c r="B626" s="331"/>
      <c r="C626" s="331"/>
      <c r="D626" s="331"/>
      <c r="E626" s="384"/>
      <c r="F626" s="284"/>
      <c r="G626" s="1068"/>
      <c r="H626" s="12"/>
    </row>
    <row r="627" spans="1:8">
      <c r="A627" s="327"/>
      <c r="B627" s="331"/>
      <c r="C627" s="331"/>
      <c r="D627" s="331"/>
      <c r="E627" s="384"/>
      <c r="F627" s="284"/>
      <c r="G627" s="1068"/>
      <c r="H627" s="12"/>
    </row>
    <row r="628" spans="1:8">
      <c r="A628" s="327"/>
      <c r="B628" s="331"/>
      <c r="C628" s="331"/>
      <c r="D628" s="331"/>
      <c r="E628" s="384"/>
      <c r="F628" s="284"/>
      <c r="G628" s="1068"/>
      <c r="H628" s="12"/>
    </row>
    <row r="629" spans="1:8">
      <c r="A629" s="327"/>
      <c r="B629" s="331"/>
      <c r="C629" s="331"/>
      <c r="D629" s="331"/>
      <c r="E629" s="384"/>
      <c r="F629" s="284"/>
      <c r="G629" s="1068"/>
      <c r="H629" s="12"/>
    </row>
    <row r="630" spans="1:8">
      <c r="A630" s="327"/>
      <c r="B630" s="331"/>
      <c r="C630" s="331"/>
      <c r="D630" s="331"/>
      <c r="E630" s="384"/>
      <c r="F630" s="284"/>
      <c r="G630" s="1068"/>
      <c r="H630" s="12"/>
    </row>
    <row r="631" spans="1:8">
      <c r="A631" s="327"/>
      <c r="B631" s="331"/>
      <c r="C631" s="331"/>
      <c r="D631" s="331"/>
      <c r="E631" s="384"/>
      <c r="F631" s="284"/>
      <c r="G631" s="1068"/>
      <c r="H631" s="12"/>
    </row>
    <row r="632" spans="1:8">
      <c r="A632" s="327"/>
      <c r="B632" s="331"/>
      <c r="C632" s="331"/>
      <c r="D632" s="331"/>
      <c r="E632" s="384"/>
      <c r="F632" s="284"/>
      <c r="G632" s="1068"/>
      <c r="H632" s="12"/>
    </row>
    <row r="633" spans="1:8">
      <c r="A633" s="327"/>
      <c r="B633" s="331"/>
      <c r="C633" s="331"/>
      <c r="D633" s="331"/>
      <c r="E633" s="384"/>
      <c r="F633" s="284"/>
      <c r="G633" s="1068"/>
      <c r="H633" s="12"/>
    </row>
    <row r="634" spans="1:8">
      <c r="A634" s="327"/>
      <c r="B634" s="331"/>
      <c r="C634" s="331"/>
      <c r="D634" s="331"/>
      <c r="E634" s="384"/>
      <c r="F634" s="284"/>
      <c r="G634" s="1068"/>
      <c r="H634" s="12"/>
    </row>
    <row r="635" spans="1:8">
      <c r="A635" s="327"/>
      <c r="B635" s="331"/>
      <c r="C635" s="331"/>
      <c r="D635" s="331"/>
      <c r="E635" s="384"/>
      <c r="F635" s="284"/>
      <c r="G635" s="1068"/>
      <c r="H635" s="12"/>
    </row>
    <row r="636" spans="1:8">
      <c r="A636" s="327"/>
      <c r="B636" s="331"/>
      <c r="C636" s="331"/>
      <c r="D636" s="331"/>
      <c r="E636" s="384"/>
      <c r="F636" s="284"/>
      <c r="G636" s="1068"/>
      <c r="H636" s="12"/>
    </row>
    <row r="637" spans="1:8">
      <c r="A637" s="327"/>
      <c r="B637" s="331"/>
      <c r="C637" s="331"/>
      <c r="D637" s="331"/>
      <c r="E637" s="384"/>
      <c r="F637" s="284"/>
      <c r="G637" s="1068"/>
      <c r="H637" s="12"/>
    </row>
    <row r="638" spans="1:8">
      <c r="A638" s="327"/>
      <c r="B638" s="331"/>
      <c r="C638" s="331"/>
      <c r="D638" s="331"/>
      <c r="E638" s="384"/>
      <c r="F638" s="284"/>
      <c r="G638" s="1068"/>
      <c r="H638" s="12"/>
    </row>
    <row r="639" spans="1:8">
      <c r="A639" s="327"/>
      <c r="B639" s="331"/>
      <c r="C639" s="331"/>
      <c r="D639" s="331"/>
      <c r="E639" s="384"/>
      <c r="F639" s="284"/>
      <c r="G639" s="1068"/>
      <c r="H639" s="12"/>
    </row>
    <row r="640" spans="1:8">
      <c r="A640" s="327"/>
      <c r="B640" s="331"/>
      <c r="C640" s="331"/>
      <c r="D640" s="331"/>
      <c r="E640" s="384"/>
      <c r="F640" s="284"/>
      <c r="G640" s="1068"/>
      <c r="H640" s="12"/>
    </row>
    <row r="641" spans="1:8">
      <c r="A641" s="327"/>
      <c r="B641" s="331"/>
      <c r="C641" s="331"/>
      <c r="D641" s="331"/>
      <c r="E641" s="384"/>
      <c r="F641" s="284"/>
      <c r="G641" s="1068"/>
      <c r="H641" s="12"/>
    </row>
    <row r="642" spans="1:8">
      <c r="A642" s="327"/>
      <c r="B642" s="331"/>
      <c r="C642" s="331"/>
      <c r="D642" s="331"/>
      <c r="E642" s="384"/>
      <c r="F642" s="284"/>
      <c r="G642" s="1068"/>
      <c r="H642" s="12"/>
    </row>
    <row r="643" spans="1:8">
      <c r="A643" s="327"/>
      <c r="B643" s="331"/>
      <c r="C643" s="331"/>
      <c r="D643" s="331"/>
      <c r="E643" s="384"/>
      <c r="F643" s="284"/>
      <c r="G643" s="1068"/>
      <c r="H643" s="12"/>
    </row>
    <row r="644" spans="1:8">
      <c r="A644" s="327"/>
      <c r="B644" s="331"/>
      <c r="C644" s="331"/>
      <c r="D644" s="331"/>
      <c r="E644" s="384"/>
      <c r="F644" s="284"/>
      <c r="G644" s="1068"/>
      <c r="H644" s="12"/>
    </row>
    <row r="645" spans="1:8">
      <c r="A645" s="327"/>
      <c r="B645" s="331"/>
      <c r="C645" s="331"/>
      <c r="D645" s="331"/>
      <c r="E645" s="384"/>
      <c r="F645" s="284"/>
      <c r="G645" s="1068"/>
      <c r="H645" s="12"/>
    </row>
    <row r="646" spans="1:8">
      <c r="A646" s="327"/>
      <c r="B646" s="331"/>
      <c r="C646" s="331"/>
      <c r="D646" s="331"/>
      <c r="E646" s="384"/>
      <c r="F646" s="284"/>
      <c r="G646" s="1068"/>
      <c r="H646" s="12"/>
    </row>
    <row r="647" spans="1:8">
      <c r="A647" s="327"/>
      <c r="B647" s="331"/>
      <c r="C647" s="331"/>
      <c r="D647" s="331"/>
      <c r="E647" s="384"/>
      <c r="F647" s="284"/>
      <c r="G647" s="1068"/>
      <c r="H647" s="12"/>
    </row>
    <row r="648" spans="1:8">
      <c r="A648" s="327"/>
      <c r="B648" s="331"/>
      <c r="C648" s="331"/>
      <c r="D648" s="331"/>
      <c r="E648" s="384"/>
      <c r="F648" s="284"/>
      <c r="G648" s="1068"/>
      <c r="H648" s="12"/>
    </row>
    <row r="649" spans="1:8">
      <c r="A649" s="327"/>
      <c r="B649" s="331"/>
      <c r="C649" s="331"/>
      <c r="D649" s="331"/>
      <c r="E649" s="384"/>
      <c r="F649" s="284"/>
      <c r="G649" s="1068"/>
      <c r="H649" s="12"/>
    </row>
    <row r="650" spans="1:8">
      <c r="A650" s="327"/>
      <c r="B650" s="331"/>
      <c r="C650" s="331"/>
      <c r="D650" s="331"/>
      <c r="E650" s="384"/>
      <c r="F650" s="284"/>
      <c r="G650" s="1068"/>
      <c r="H650" s="12"/>
    </row>
    <row r="651" spans="1:8">
      <c r="A651" s="327"/>
      <c r="B651" s="331"/>
      <c r="C651" s="331"/>
      <c r="D651" s="331"/>
      <c r="E651" s="384"/>
      <c r="F651" s="284"/>
      <c r="G651" s="1068"/>
      <c r="H651" s="12"/>
    </row>
    <row r="652" spans="1:8">
      <c r="A652" s="327"/>
      <c r="B652" s="331"/>
      <c r="C652" s="331"/>
      <c r="D652" s="331"/>
      <c r="E652" s="384"/>
      <c r="F652" s="284"/>
      <c r="G652" s="1068"/>
      <c r="H652" s="12"/>
    </row>
    <row r="653" spans="1:8">
      <c r="A653" s="327"/>
      <c r="B653" s="331"/>
      <c r="C653" s="331"/>
      <c r="D653" s="331"/>
      <c r="E653" s="384"/>
      <c r="F653" s="284"/>
      <c r="G653" s="1068"/>
      <c r="H653" s="12"/>
    </row>
    <row r="654" spans="1:8">
      <c r="A654" s="327"/>
      <c r="B654" s="331"/>
      <c r="C654" s="331"/>
      <c r="D654" s="331"/>
      <c r="E654" s="384"/>
      <c r="F654" s="284"/>
      <c r="G654" s="1068"/>
      <c r="H654" s="12"/>
    </row>
    <row r="655" spans="1:8">
      <c r="A655" s="327"/>
      <c r="B655" s="331"/>
      <c r="C655" s="331"/>
      <c r="D655" s="331"/>
      <c r="E655" s="384"/>
      <c r="F655" s="284"/>
      <c r="G655" s="1068"/>
      <c r="H655" s="12"/>
    </row>
    <row r="656" spans="1:8">
      <c r="A656" s="327"/>
      <c r="B656" s="331"/>
      <c r="C656" s="331"/>
      <c r="D656" s="331"/>
      <c r="E656" s="384"/>
      <c r="F656" s="284"/>
      <c r="G656" s="1068"/>
      <c r="H656" s="12"/>
    </row>
    <row r="657" spans="1:8">
      <c r="A657" s="327"/>
      <c r="B657" s="331"/>
      <c r="C657" s="331"/>
      <c r="D657" s="331"/>
      <c r="E657" s="384"/>
      <c r="F657" s="284"/>
      <c r="G657" s="1068"/>
      <c r="H657" s="12"/>
    </row>
    <row r="658" spans="1:8">
      <c r="A658" s="327"/>
      <c r="B658" s="331"/>
      <c r="C658" s="331"/>
      <c r="D658" s="331"/>
      <c r="E658" s="384"/>
      <c r="F658" s="284"/>
      <c r="G658" s="1068"/>
      <c r="H658" s="12"/>
    </row>
    <row r="659" spans="1:8">
      <c r="A659" s="327"/>
      <c r="B659" s="331"/>
      <c r="C659" s="331"/>
      <c r="D659" s="331"/>
      <c r="E659" s="384"/>
      <c r="F659" s="284"/>
      <c r="G659" s="1068"/>
      <c r="H659" s="12"/>
    </row>
    <row r="660" spans="1:8">
      <c r="A660" s="327"/>
      <c r="B660" s="331"/>
      <c r="C660" s="331"/>
      <c r="D660" s="331"/>
      <c r="E660" s="384"/>
      <c r="F660" s="284"/>
      <c r="G660" s="1068"/>
      <c r="H660" s="12"/>
    </row>
    <row r="661" spans="1:8">
      <c r="A661" s="327"/>
      <c r="B661" s="331"/>
      <c r="C661" s="331"/>
      <c r="D661" s="331"/>
      <c r="E661" s="384"/>
      <c r="F661" s="284"/>
      <c r="G661" s="1068"/>
      <c r="H661" s="12"/>
    </row>
    <row r="662" spans="1:8">
      <c r="A662" s="327"/>
      <c r="B662" s="331"/>
      <c r="C662" s="331"/>
      <c r="D662" s="331"/>
      <c r="E662" s="384"/>
      <c r="F662" s="284"/>
      <c r="G662" s="1068"/>
      <c r="H662" s="12"/>
    </row>
    <row r="663" spans="1:8">
      <c r="A663" s="327"/>
      <c r="B663" s="331"/>
      <c r="C663" s="331"/>
      <c r="D663" s="331"/>
      <c r="E663" s="384"/>
      <c r="F663" s="284"/>
      <c r="G663" s="1068"/>
      <c r="H663" s="12"/>
    </row>
    <row r="664" spans="1:8">
      <c r="A664" s="327"/>
      <c r="B664" s="331"/>
      <c r="C664" s="331"/>
      <c r="D664" s="331"/>
      <c r="E664" s="384"/>
      <c r="F664" s="284"/>
      <c r="G664" s="1068"/>
      <c r="H664" s="12"/>
    </row>
    <row r="665" spans="1:8">
      <c r="A665" s="327"/>
      <c r="B665" s="331"/>
      <c r="C665" s="331"/>
      <c r="D665" s="331"/>
      <c r="E665" s="384"/>
      <c r="F665" s="284"/>
      <c r="G665" s="1068"/>
      <c r="H665" s="12"/>
    </row>
    <row r="666" spans="1:8">
      <c r="A666" s="327"/>
      <c r="B666" s="331"/>
      <c r="C666" s="331"/>
      <c r="D666" s="331"/>
      <c r="E666" s="384"/>
      <c r="F666" s="284"/>
      <c r="G666" s="1068"/>
      <c r="H666" s="12"/>
    </row>
    <row r="667" spans="1:8">
      <c r="A667" s="327"/>
      <c r="B667" s="331"/>
      <c r="C667" s="331"/>
      <c r="D667" s="331"/>
      <c r="E667" s="384"/>
      <c r="F667" s="284"/>
      <c r="G667" s="1068"/>
      <c r="H667" s="12"/>
    </row>
    <row r="668" spans="1:8">
      <c r="A668" s="327"/>
      <c r="B668" s="331"/>
      <c r="C668" s="331"/>
      <c r="D668" s="331"/>
      <c r="E668" s="384"/>
      <c r="F668" s="284"/>
      <c r="G668" s="1068"/>
      <c r="H668" s="12"/>
    </row>
    <row r="669" spans="1:8">
      <c r="A669" s="327"/>
      <c r="B669" s="331"/>
      <c r="C669" s="331"/>
      <c r="D669" s="331"/>
      <c r="E669" s="384"/>
      <c r="F669" s="284"/>
      <c r="G669" s="1068"/>
      <c r="H669" s="12"/>
    </row>
    <row r="670" spans="1:8">
      <c r="A670" s="327"/>
      <c r="B670" s="331"/>
      <c r="C670" s="331"/>
      <c r="D670" s="331"/>
      <c r="E670" s="384"/>
      <c r="F670" s="284"/>
      <c r="G670" s="1068"/>
      <c r="H670" s="12"/>
    </row>
    <row r="671" spans="1:8">
      <c r="A671" s="327"/>
      <c r="B671" s="331"/>
      <c r="C671" s="331"/>
      <c r="D671" s="331"/>
      <c r="E671" s="384"/>
      <c r="F671" s="284"/>
      <c r="G671" s="1068"/>
      <c r="H671" s="12"/>
    </row>
    <row r="672" spans="1:8">
      <c r="A672" s="327"/>
      <c r="B672" s="331"/>
      <c r="C672" s="331"/>
      <c r="D672" s="331"/>
      <c r="E672" s="384"/>
      <c r="F672" s="284"/>
      <c r="G672" s="1068"/>
      <c r="H672" s="12"/>
    </row>
    <row r="673" spans="1:8">
      <c r="A673" s="327"/>
      <c r="B673" s="331"/>
      <c r="C673" s="331"/>
      <c r="D673" s="331"/>
      <c r="E673" s="384"/>
      <c r="F673" s="284"/>
      <c r="G673" s="1068"/>
      <c r="H673" s="12"/>
    </row>
    <row r="674" spans="1:8">
      <c r="A674" s="327"/>
      <c r="B674" s="331"/>
      <c r="C674" s="331"/>
      <c r="D674" s="331"/>
      <c r="E674" s="384"/>
      <c r="F674" s="284"/>
      <c r="G674" s="1068"/>
      <c r="H674" s="12"/>
    </row>
    <row r="675" spans="1:8">
      <c r="A675" s="327"/>
      <c r="B675" s="331"/>
      <c r="C675" s="331"/>
      <c r="D675" s="331"/>
      <c r="E675" s="384"/>
      <c r="F675" s="284"/>
      <c r="G675" s="1068"/>
      <c r="H675" s="12"/>
    </row>
    <row r="676" spans="1:8">
      <c r="A676" s="327"/>
      <c r="B676" s="331"/>
      <c r="C676" s="331"/>
      <c r="D676" s="331"/>
      <c r="E676" s="384"/>
      <c r="F676" s="284"/>
      <c r="G676" s="1068"/>
      <c r="H676" s="12"/>
    </row>
    <row r="677" spans="1:8">
      <c r="A677" s="327"/>
      <c r="B677" s="331"/>
      <c r="C677" s="331"/>
      <c r="D677" s="331"/>
      <c r="E677" s="384"/>
      <c r="F677" s="284"/>
      <c r="G677" s="1068"/>
      <c r="H677" s="12"/>
    </row>
    <row r="678" spans="1:8">
      <c r="A678" s="327"/>
      <c r="B678" s="331"/>
      <c r="C678" s="331"/>
      <c r="D678" s="331"/>
      <c r="E678" s="384"/>
      <c r="F678" s="284"/>
      <c r="G678" s="1068"/>
      <c r="H678" s="12"/>
    </row>
    <row r="679" spans="1:8">
      <c r="A679" s="327"/>
      <c r="B679" s="331"/>
      <c r="C679" s="331"/>
      <c r="D679" s="331"/>
      <c r="E679" s="384"/>
      <c r="F679" s="284"/>
      <c r="G679" s="1068"/>
      <c r="H679" s="12"/>
    </row>
    <row r="680" spans="1:8">
      <c r="A680" s="327"/>
      <c r="B680" s="331"/>
      <c r="C680" s="331"/>
      <c r="D680" s="331"/>
      <c r="E680" s="384"/>
      <c r="F680" s="284"/>
      <c r="G680" s="1068"/>
      <c r="H680" s="12"/>
    </row>
    <row r="681" spans="1:8">
      <c r="A681" s="327"/>
      <c r="B681" s="331"/>
      <c r="C681" s="331"/>
      <c r="D681" s="331"/>
      <c r="E681" s="384"/>
      <c r="F681" s="284"/>
      <c r="G681" s="1068"/>
      <c r="H681" s="12"/>
    </row>
    <row r="682" spans="1:8">
      <c r="A682" s="327"/>
      <c r="B682" s="331"/>
      <c r="C682" s="331"/>
      <c r="D682" s="331"/>
      <c r="E682" s="384"/>
      <c r="F682" s="284"/>
      <c r="G682" s="1068"/>
      <c r="H682" s="12"/>
    </row>
    <row r="683" spans="1:8">
      <c r="A683" s="327"/>
      <c r="B683" s="331"/>
      <c r="C683" s="331"/>
      <c r="D683" s="331"/>
      <c r="E683" s="384"/>
      <c r="F683" s="284"/>
      <c r="G683" s="1068"/>
      <c r="H683" s="12"/>
    </row>
    <row r="684" spans="1:8">
      <c r="A684" s="327"/>
      <c r="B684" s="331"/>
      <c r="C684" s="331"/>
      <c r="D684" s="331"/>
      <c r="E684" s="384"/>
      <c r="F684" s="284"/>
      <c r="G684" s="1068"/>
      <c r="H684" s="12"/>
    </row>
    <row r="685" spans="1:8">
      <c r="A685" s="327"/>
      <c r="B685" s="331"/>
      <c r="C685" s="331"/>
      <c r="D685" s="331"/>
      <c r="E685" s="384"/>
      <c r="F685" s="284"/>
      <c r="G685" s="1068"/>
      <c r="H685" s="12"/>
    </row>
    <row r="686" spans="1:8">
      <c r="A686" s="327"/>
      <c r="B686" s="331"/>
      <c r="C686" s="331"/>
      <c r="D686" s="331"/>
      <c r="E686" s="384"/>
      <c r="F686" s="284"/>
      <c r="G686" s="1068"/>
      <c r="H686" s="12"/>
    </row>
    <row r="687" spans="1:8">
      <c r="A687" s="327"/>
      <c r="B687" s="331"/>
      <c r="C687" s="331"/>
      <c r="D687" s="331"/>
      <c r="E687" s="384"/>
      <c r="F687" s="284"/>
      <c r="G687" s="1068"/>
      <c r="H687" s="12"/>
    </row>
    <row r="688" spans="1:8">
      <c r="A688" s="327"/>
      <c r="B688" s="331"/>
      <c r="C688" s="331"/>
      <c r="D688" s="331"/>
      <c r="E688" s="384"/>
      <c r="F688" s="284"/>
      <c r="G688" s="1068"/>
      <c r="H688" s="12"/>
    </row>
    <row r="689" spans="1:8">
      <c r="A689" s="327"/>
      <c r="B689" s="331"/>
      <c r="C689" s="331"/>
      <c r="D689" s="331"/>
      <c r="E689" s="384"/>
      <c r="F689" s="284"/>
      <c r="G689" s="1068"/>
      <c r="H689" s="12"/>
    </row>
    <row r="690" spans="1:8">
      <c r="A690" s="327"/>
      <c r="B690" s="331"/>
      <c r="C690" s="331"/>
      <c r="D690" s="331"/>
      <c r="E690" s="384"/>
      <c r="F690" s="284"/>
      <c r="G690" s="1068"/>
      <c r="H690" s="12"/>
    </row>
    <row r="691" spans="1:8">
      <c r="A691" s="327"/>
      <c r="B691" s="331"/>
      <c r="C691" s="331"/>
      <c r="D691" s="331"/>
      <c r="E691" s="384"/>
      <c r="F691" s="284"/>
      <c r="G691" s="1068"/>
      <c r="H691" s="12"/>
    </row>
    <row r="692" spans="1:8">
      <c r="A692" s="327"/>
      <c r="B692" s="331"/>
      <c r="C692" s="331"/>
      <c r="D692" s="331"/>
      <c r="E692" s="384"/>
      <c r="F692" s="284"/>
      <c r="G692" s="1068"/>
      <c r="H692" s="12"/>
    </row>
    <row r="693" spans="1:8">
      <c r="A693" s="327"/>
      <c r="B693" s="331"/>
      <c r="C693" s="331"/>
      <c r="D693" s="331"/>
      <c r="E693" s="384"/>
      <c r="F693" s="284"/>
      <c r="G693" s="1068"/>
      <c r="H693" s="12"/>
    </row>
    <row r="694" spans="1:8">
      <c r="A694" s="327"/>
      <c r="B694" s="331"/>
      <c r="C694" s="331"/>
      <c r="D694" s="331"/>
      <c r="E694" s="384"/>
      <c r="F694" s="284"/>
      <c r="G694" s="1068"/>
      <c r="H694" s="12"/>
    </row>
    <row r="695" spans="1:8">
      <c r="A695" s="327"/>
      <c r="B695" s="331"/>
      <c r="C695" s="331"/>
      <c r="D695" s="331"/>
      <c r="E695" s="384"/>
      <c r="F695" s="284"/>
      <c r="G695" s="1068"/>
      <c r="H695" s="12"/>
    </row>
    <row r="696" spans="1:8">
      <c r="A696" s="327"/>
      <c r="B696" s="331"/>
      <c r="C696" s="331"/>
      <c r="D696" s="331"/>
      <c r="E696" s="384"/>
      <c r="F696" s="284"/>
      <c r="G696" s="1068"/>
      <c r="H696" s="12"/>
    </row>
    <row r="697" spans="1:8">
      <c r="A697" s="327"/>
      <c r="B697" s="331"/>
      <c r="C697" s="331"/>
      <c r="D697" s="331"/>
      <c r="E697" s="384"/>
      <c r="F697" s="284"/>
      <c r="G697" s="1068"/>
      <c r="H697" s="12"/>
    </row>
    <row r="698" spans="1:8">
      <c r="A698" s="327"/>
      <c r="B698" s="331"/>
      <c r="C698" s="331"/>
      <c r="D698" s="331"/>
      <c r="E698" s="384"/>
      <c r="F698" s="284"/>
      <c r="G698" s="1068"/>
      <c r="H698" s="12"/>
    </row>
    <row r="699" spans="1:8">
      <c r="A699" s="327"/>
      <c r="B699" s="331"/>
      <c r="C699" s="331"/>
      <c r="D699" s="331"/>
      <c r="E699" s="384"/>
      <c r="F699" s="284"/>
      <c r="G699" s="1068"/>
      <c r="H699" s="12"/>
    </row>
    <row r="700" spans="1:8">
      <c r="A700" s="327"/>
      <c r="B700" s="331"/>
      <c r="C700" s="331"/>
      <c r="D700" s="331"/>
      <c r="E700" s="384"/>
      <c r="F700" s="284"/>
      <c r="G700" s="1068"/>
      <c r="H700" s="12"/>
    </row>
    <row r="701" spans="1:8">
      <c r="A701" s="327"/>
      <c r="B701" s="331"/>
      <c r="C701" s="331"/>
      <c r="D701" s="331"/>
      <c r="E701" s="384"/>
      <c r="F701" s="284"/>
      <c r="G701" s="1068"/>
      <c r="H701" s="12"/>
    </row>
    <row r="702" spans="1:8">
      <c r="A702" s="327"/>
      <c r="B702" s="331"/>
      <c r="C702" s="331"/>
      <c r="D702" s="331"/>
      <c r="E702" s="384"/>
      <c r="F702" s="284"/>
      <c r="G702" s="1068"/>
      <c r="H702" s="12"/>
    </row>
    <row r="703" spans="1:8">
      <c r="A703" s="327"/>
      <c r="B703" s="331"/>
      <c r="C703" s="331"/>
      <c r="D703" s="331"/>
      <c r="E703" s="384"/>
      <c r="F703" s="284"/>
      <c r="G703" s="1068"/>
      <c r="H703" s="12"/>
    </row>
    <row r="704" spans="1:8">
      <c r="A704" s="327"/>
      <c r="B704" s="331"/>
      <c r="C704" s="331"/>
      <c r="D704" s="331"/>
      <c r="E704" s="384"/>
      <c r="F704" s="284"/>
      <c r="G704" s="1068"/>
      <c r="H704" s="12"/>
    </row>
    <row r="705" spans="1:8">
      <c r="A705" s="327"/>
      <c r="B705" s="331"/>
      <c r="C705" s="331"/>
      <c r="D705" s="331"/>
      <c r="E705" s="384"/>
      <c r="F705" s="284"/>
      <c r="G705" s="1068"/>
      <c r="H705" s="12"/>
    </row>
    <row r="706" spans="1:8">
      <c r="A706" s="327"/>
      <c r="B706" s="331"/>
      <c r="C706" s="331"/>
      <c r="D706" s="331"/>
      <c r="E706" s="384"/>
      <c r="F706" s="284"/>
      <c r="G706" s="1068"/>
      <c r="H706" s="12"/>
    </row>
    <row r="707" spans="1:8">
      <c r="A707" s="327"/>
      <c r="B707" s="331"/>
      <c r="C707" s="331"/>
      <c r="D707" s="331"/>
      <c r="E707" s="384"/>
      <c r="F707" s="284"/>
      <c r="G707" s="1068"/>
      <c r="H707" s="12"/>
    </row>
    <row r="708" spans="1:8">
      <c r="A708" s="327"/>
      <c r="B708" s="331"/>
      <c r="C708" s="331"/>
      <c r="D708" s="331"/>
      <c r="E708" s="384"/>
      <c r="F708" s="284"/>
      <c r="G708" s="1068"/>
      <c r="H708" s="12"/>
    </row>
    <row r="709" spans="1:8">
      <c r="A709" s="327"/>
      <c r="B709" s="331"/>
      <c r="C709" s="331"/>
      <c r="D709" s="331"/>
      <c r="E709" s="384"/>
      <c r="F709" s="284"/>
      <c r="G709" s="1068"/>
      <c r="H709" s="12"/>
    </row>
    <row r="710" spans="1:8">
      <c r="A710" s="327"/>
      <c r="B710" s="331"/>
      <c r="C710" s="331"/>
      <c r="D710" s="331"/>
      <c r="E710" s="384"/>
      <c r="F710" s="284"/>
      <c r="G710" s="1068"/>
      <c r="H710" s="12"/>
    </row>
    <row r="711" spans="1:8">
      <c r="A711" s="327"/>
      <c r="B711" s="331"/>
      <c r="C711" s="331"/>
      <c r="D711" s="331"/>
      <c r="E711" s="384"/>
      <c r="F711" s="284"/>
      <c r="G711" s="1068"/>
      <c r="H711" s="12"/>
    </row>
    <row r="712" spans="1:8">
      <c r="A712" s="327"/>
      <c r="B712" s="331"/>
      <c r="C712" s="331"/>
      <c r="D712" s="331"/>
      <c r="E712" s="384"/>
      <c r="F712" s="284"/>
      <c r="G712" s="1068"/>
      <c r="H712" s="12"/>
    </row>
    <row r="713" spans="1:8">
      <c r="A713" s="327"/>
      <c r="B713" s="331"/>
      <c r="C713" s="331"/>
      <c r="D713" s="331"/>
      <c r="E713" s="384"/>
      <c r="F713" s="284"/>
      <c r="G713" s="1068"/>
      <c r="H713" s="12"/>
    </row>
    <row r="714" spans="1:8">
      <c r="A714" s="327"/>
      <c r="B714" s="331"/>
      <c r="C714" s="331"/>
      <c r="D714" s="331"/>
      <c r="E714" s="384"/>
      <c r="F714" s="284"/>
      <c r="G714" s="1068"/>
      <c r="H714" s="12"/>
    </row>
    <row r="715" spans="1:8">
      <c r="A715" s="327"/>
      <c r="B715" s="331"/>
      <c r="C715" s="331"/>
      <c r="D715" s="331"/>
      <c r="E715" s="384"/>
      <c r="F715" s="284"/>
      <c r="G715" s="1068"/>
      <c r="H715" s="12"/>
    </row>
    <row r="716" spans="1:8">
      <c r="A716" s="327"/>
      <c r="B716" s="331"/>
      <c r="C716" s="331"/>
      <c r="D716" s="331"/>
      <c r="E716" s="384"/>
      <c r="F716" s="284"/>
      <c r="G716" s="1068"/>
      <c r="H716" s="12"/>
    </row>
    <row r="717" spans="1:8">
      <c r="A717" s="327"/>
      <c r="B717" s="331"/>
      <c r="C717" s="331"/>
      <c r="D717" s="331"/>
      <c r="E717" s="384"/>
      <c r="F717" s="284"/>
      <c r="G717" s="1068"/>
      <c r="H717" s="12"/>
    </row>
    <row r="718" spans="1:8">
      <c r="A718" s="327"/>
      <c r="B718" s="331"/>
      <c r="C718" s="331"/>
      <c r="D718" s="331"/>
      <c r="E718" s="384"/>
      <c r="F718" s="284"/>
      <c r="G718" s="1068"/>
      <c r="H718" s="12"/>
    </row>
    <row r="719" spans="1:8">
      <c r="A719" s="327"/>
      <c r="B719" s="331"/>
      <c r="C719" s="331"/>
      <c r="D719" s="331"/>
      <c r="E719" s="384"/>
      <c r="F719" s="284"/>
      <c r="G719" s="1068"/>
      <c r="H719" s="12"/>
    </row>
    <row r="720" spans="1:8">
      <c r="A720" s="327"/>
      <c r="B720" s="331"/>
      <c r="C720" s="331"/>
      <c r="D720" s="331"/>
      <c r="E720" s="384"/>
      <c r="F720" s="284"/>
      <c r="G720" s="1068"/>
      <c r="H720" s="12"/>
    </row>
    <row r="721" spans="1:8">
      <c r="A721" s="327"/>
      <c r="B721" s="331"/>
      <c r="C721" s="331"/>
      <c r="D721" s="331"/>
      <c r="E721" s="384"/>
      <c r="F721" s="284"/>
      <c r="G721" s="1068"/>
      <c r="H721" s="12"/>
    </row>
    <row r="722" spans="1:8">
      <c r="A722" s="327"/>
      <c r="B722" s="331"/>
      <c r="C722" s="331"/>
      <c r="D722" s="331"/>
      <c r="E722" s="384"/>
      <c r="F722" s="284"/>
      <c r="G722" s="1068"/>
      <c r="H722" s="12"/>
    </row>
    <row r="723" spans="1:8">
      <c r="A723" s="327"/>
      <c r="B723" s="331"/>
      <c r="C723" s="331"/>
      <c r="D723" s="331"/>
      <c r="E723" s="384"/>
      <c r="F723" s="284"/>
      <c r="G723" s="1068"/>
      <c r="H723" s="12"/>
    </row>
    <row r="724" spans="1:8">
      <c r="A724" s="327"/>
      <c r="B724" s="331"/>
      <c r="C724" s="331"/>
      <c r="D724" s="331"/>
      <c r="E724" s="384"/>
      <c r="F724" s="284"/>
      <c r="G724" s="1068"/>
      <c r="H724" s="12"/>
    </row>
    <row r="725" spans="1:8">
      <c r="A725" s="327"/>
      <c r="B725" s="331"/>
      <c r="C725" s="331"/>
      <c r="D725" s="331"/>
      <c r="E725" s="384"/>
      <c r="F725" s="284"/>
      <c r="G725" s="1068"/>
      <c r="H725" s="12"/>
    </row>
    <row r="726" spans="1:8">
      <c r="A726" s="327"/>
      <c r="B726" s="331"/>
      <c r="C726" s="331"/>
      <c r="D726" s="331"/>
      <c r="E726" s="384"/>
      <c r="F726" s="284"/>
      <c r="G726" s="1068"/>
      <c r="H726" s="12"/>
    </row>
    <row r="727" spans="1:8">
      <c r="A727" s="327"/>
      <c r="B727" s="331"/>
      <c r="C727" s="331"/>
      <c r="D727" s="331"/>
      <c r="E727" s="384"/>
      <c r="F727" s="284"/>
      <c r="G727" s="1068"/>
      <c r="H727" s="12"/>
    </row>
    <row r="728" spans="1:8">
      <c r="A728" s="327"/>
      <c r="B728" s="331"/>
      <c r="C728" s="331"/>
      <c r="D728" s="331"/>
      <c r="E728" s="384"/>
      <c r="F728" s="284"/>
      <c r="G728" s="1068"/>
      <c r="H728" s="12"/>
    </row>
    <row r="729" spans="1:8">
      <c r="A729" s="327"/>
      <c r="B729" s="331"/>
      <c r="C729" s="331"/>
      <c r="D729" s="331"/>
      <c r="E729" s="384"/>
      <c r="F729" s="284"/>
      <c r="G729" s="1068"/>
      <c r="H729" s="12"/>
    </row>
    <row r="730" spans="1:8">
      <c r="A730" s="327"/>
      <c r="B730" s="331"/>
      <c r="C730" s="331"/>
      <c r="D730" s="331"/>
      <c r="E730" s="384"/>
      <c r="F730" s="284"/>
      <c r="G730" s="1068"/>
      <c r="H730" s="12"/>
    </row>
    <row r="731" spans="1:8">
      <c r="A731" s="327"/>
      <c r="B731" s="331"/>
      <c r="C731" s="331"/>
      <c r="D731" s="331"/>
      <c r="E731" s="384"/>
      <c r="F731" s="284"/>
      <c r="G731" s="1068"/>
      <c r="H731" s="12"/>
    </row>
    <row r="732" spans="1:8">
      <c r="A732" s="327"/>
      <c r="B732" s="331"/>
      <c r="C732" s="331"/>
      <c r="D732" s="331"/>
      <c r="E732" s="384"/>
      <c r="F732" s="284"/>
      <c r="G732" s="1068"/>
      <c r="H732" s="12"/>
    </row>
    <row r="733" spans="1:8">
      <c r="A733" s="327"/>
      <c r="B733" s="331"/>
      <c r="C733" s="331"/>
      <c r="D733" s="331"/>
      <c r="E733" s="384"/>
      <c r="F733" s="284"/>
      <c r="G733" s="1068"/>
      <c r="H733" s="12"/>
    </row>
    <row r="734" spans="1:8">
      <c r="A734" s="327"/>
      <c r="B734" s="331"/>
      <c r="C734" s="331"/>
      <c r="D734" s="331"/>
      <c r="E734" s="384"/>
      <c r="F734" s="284"/>
      <c r="G734" s="1068"/>
      <c r="H734" s="12"/>
    </row>
    <row r="735" spans="1:8">
      <c r="A735" s="327"/>
      <c r="B735" s="331"/>
      <c r="C735" s="331"/>
      <c r="D735" s="331"/>
      <c r="E735" s="384"/>
      <c r="F735" s="284"/>
      <c r="G735" s="1068"/>
      <c r="H735" s="12"/>
    </row>
    <row r="736" spans="1:8">
      <c r="A736" s="327"/>
      <c r="B736" s="331"/>
      <c r="C736" s="331"/>
      <c r="D736" s="331"/>
      <c r="E736" s="384"/>
      <c r="F736" s="284"/>
      <c r="G736" s="1068"/>
      <c r="H736" s="12"/>
    </row>
    <row r="737" spans="1:8">
      <c r="A737" s="327"/>
      <c r="B737" s="331"/>
      <c r="C737" s="331"/>
      <c r="D737" s="331"/>
      <c r="E737" s="384"/>
      <c r="F737" s="284"/>
      <c r="G737" s="1068"/>
      <c r="H737" s="12"/>
    </row>
    <row r="738" spans="1:8">
      <c r="A738" s="327"/>
      <c r="B738" s="331"/>
      <c r="C738" s="331"/>
      <c r="D738" s="331"/>
      <c r="E738" s="384"/>
      <c r="F738" s="284"/>
      <c r="G738" s="1068"/>
      <c r="H738" s="12"/>
    </row>
    <row r="739" spans="1:8">
      <c r="A739" s="327"/>
      <c r="B739" s="331"/>
      <c r="C739" s="331"/>
      <c r="D739" s="331"/>
      <c r="E739" s="384"/>
      <c r="F739" s="284"/>
      <c r="G739" s="1068"/>
      <c r="H739" s="12"/>
    </row>
    <row r="740" spans="1:8">
      <c r="A740" s="327"/>
      <c r="B740" s="331"/>
      <c r="C740" s="331"/>
      <c r="D740" s="331"/>
      <c r="E740" s="384"/>
      <c r="F740" s="284"/>
      <c r="G740" s="1068"/>
      <c r="H740" s="12"/>
    </row>
    <row r="741" spans="1:8">
      <c r="A741" s="327"/>
      <c r="B741" s="331"/>
      <c r="C741" s="331"/>
      <c r="D741" s="331"/>
      <c r="E741" s="384"/>
      <c r="F741" s="284"/>
      <c r="G741" s="1068"/>
      <c r="H741" s="12"/>
    </row>
    <row r="742" spans="1:8">
      <c r="A742" s="327"/>
      <c r="B742" s="331"/>
      <c r="C742" s="331"/>
      <c r="D742" s="331"/>
      <c r="E742" s="384"/>
      <c r="F742" s="284"/>
      <c r="G742" s="1068"/>
      <c r="H742" s="12"/>
    </row>
    <row r="743" spans="1:8">
      <c r="A743" s="327"/>
      <c r="B743" s="331"/>
      <c r="C743" s="331"/>
      <c r="D743" s="331"/>
      <c r="E743" s="384"/>
      <c r="F743" s="284"/>
      <c r="G743" s="1068"/>
      <c r="H743" s="12"/>
    </row>
    <row r="744" spans="1:8">
      <c r="A744" s="327"/>
      <c r="B744" s="331"/>
      <c r="C744" s="331"/>
      <c r="D744" s="331"/>
      <c r="E744" s="384"/>
      <c r="F744" s="284"/>
      <c r="G744" s="1068"/>
      <c r="H744" s="12"/>
    </row>
    <row r="745" spans="1:8">
      <c r="A745" s="327"/>
      <c r="B745" s="331"/>
      <c r="C745" s="331"/>
      <c r="D745" s="331"/>
      <c r="E745" s="384"/>
      <c r="F745" s="284"/>
      <c r="G745" s="1068"/>
      <c r="H745" s="12"/>
    </row>
    <row r="746" spans="1:8">
      <c r="A746" s="327"/>
      <c r="B746" s="331"/>
      <c r="C746" s="331"/>
      <c r="D746" s="331"/>
      <c r="E746" s="384"/>
      <c r="F746" s="284"/>
      <c r="G746" s="1068"/>
      <c r="H746" s="12"/>
    </row>
    <row r="747" spans="1:8">
      <c r="A747" s="327"/>
      <c r="B747" s="331"/>
      <c r="C747" s="331"/>
      <c r="D747" s="331"/>
      <c r="E747" s="384"/>
      <c r="F747" s="284"/>
      <c r="G747" s="1068"/>
      <c r="H747" s="12"/>
    </row>
    <row r="748" spans="1:8">
      <c r="A748" s="327"/>
      <c r="B748" s="331"/>
      <c r="C748" s="331"/>
      <c r="D748" s="331"/>
      <c r="E748" s="384"/>
      <c r="F748" s="284"/>
      <c r="G748" s="1068"/>
      <c r="H748" s="12"/>
    </row>
    <row r="749" spans="1:8">
      <c r="A749" s="327"/>
      <c r="B749" s="331"/>
      <c r="C749" s="331"/>
      <c r="D749" s="331"/>
      <c r="E749" s="384"/>
      <c r="F749" s="284"/>
      <c r="G749" s="1068"/>
      <c r="H749" s="12"/>
    </row>
    <row r="750" spans="1:8">
      <c r="A750" s="327"/>
      <c r="B750" s="331"/>
      <c r="C750" s="331"/>
      <c r="D750" s="331"/>
      <c r="E750" s="384"/>
      <c r="F750" s="284"/>
      <c r="G750" s="1068"/>
      <c r="H750" s="12"/>
    </row>
    <row r="751" spans="1:8">
      <c r="A751" s="327"/>
      <c r="B751" s="331"/>
      <c r="C751" s="331"/>
      <c r="D751" s="331"/>
      <c r="E751" s="384"/>
      <c r="F751" s="284"/>
      <c r="G751" s="1068"/>
      <c r="H751" s="12"/>
    </row>
    <row r="752" spans="1:8">
      <c r="A752" s="327"/>
      <c r="B752" s="331"/>
      <c r="C752" s="331"/>
      <c r="D752" s="331"/>
      <c r="E752" s="384"/>
      <c r="F752" s="284"/>
      <c r="G752" s="1068"/>
      <c r="H752" s="12"/>
    </row>
    <row r="753" spans="1:8">
      <c r="A753" s="327"/>
      <c r="B753" s="331"/>
      <c r="C753" s="331"/>
      <c r="D753" s="331"/>
      <c r="E753" s="384"/>
      <c r="F753" s="284"/>
      <c r="G753" s="1068"/>
      <c r="H753" s="12"/>
    </row>
    <row r="754" spans="1:8">
      <c r="A754" s="327"/>
      <c r="B754" s="331"/>
      <c r="C754" s="331"/>
      <c r="D754" s="331"/>
      <c r="E754" s="384"/>
      <c r="F754" s="284"/>
      <c r="G754" s="1068"/>
      <c r="H754" s="12"/>
    </row>
    <row r="755" spans="1:8">
      <c r="A755" s="327"/>
      <c r="B755" s="331"/>
      <c r="C755" s="331"/>
      <c r="D755" s="331"/>
      <c r="E755" s="384"/>
      <c r="F755" s="284"/>
      <c r="G755" s="1068"/>
      <c r="H755" s="12"/>
    </row>
    <row r="756" spans="1:8">
      <c r="A756" s="327"/>
      <c r="B756" s="331"/>
      <c r="C756" s="331"/>
      <c r="D756" s="331"/>
      <c r="E756" s="384"/>
      <c r="F756" s="284"/>
      <c r="G756" s="1068"/>
      <c r="H756" s="12"/>
    </row>
    <row r="757" spans="1:8">
      <c r="A757" s="327"/>
      <c r="B757" s="331"/>
      <c r="C757" s="331"/>
      <c r="D757" s="331"/>
      <c r="E757" s="384"/>
      <c r="F757" s="284"/>
      <c r="G757" s="1068"/>
      <c r="H757" s="12"/>
    </row>
    <row r="758" spans="1:8">
      <c r="A758" s="327"/>
      <c r="B758" s="331"/>
      <c r="C758" s="331"/>
      <c r="D758" s="331"/>
      <c r="E758" s="384"/>
      <c r="F758" s="284"/>
      <c r="G758" s="1068"/>
      <c r="H758" s="12"/>
    </row>
    <row r="759" spans="1:8">
      <c r="A759" s="327"/>
      <c r="B759" s="331"/>
      <c r="C759" s="331"/>
      <c r="D759" s="331"/>
      <c r="E759" s="384"/>
      <c r="F759" s="284"/>
      <c r="G759" s="1068"/>
      <c r="H759" s="12"/>
    </row>
    <row r="760" spans="1:8">
      <c r="A760" s="327"/>
      <c r="B760" s="331"/>
      <c r="C760" s="331"/>
      <c r="D760" s="331"/>
      <c r="E760" s="384"/>
      <c r="F760" s="284"/>
      <c r="G760" s="1068"/>
      <c r="H760" s="12"/>
    </row>
    <row r="761" spans="1:8">
      <c r="A761" s="327"/>
      <c r="B761" s="331"/>
      <c r="C761" s="331"/>
      <c r="D761" s="331"/>
      <c r="E761" s="384"/>
      <c r="F761" s="284"/>
      <c r="G761" s="1068"/>
      <c r="H761" s="12"/>
    </row>
    <row r="762" spans="1:8">
      <c r="A762" s="327"/>
      <c r="B762" s="331"/>
      <c r="C762" s="331"/>
      <c r="D762" s="331"/>
      <c r="E762" s="384"/>
      <c r="F762" s="284"/>
      <c r="G762" s="1068"/>
      <c r="H762" s="12"/>
    </row>
    <row r="763" spans="1:8">
      <c r="A763" s="327"/>
      <c r="B763" s="331"/>
      <c r="C763" s="331"/>
      <c r="D763" s="331"/>
      <c r="E763" s="384"/>
      <c r="F763" s="284"/>
      <c r="G763" s="1068"/>
      <c r="H763" s="12"/>
    </row>
    <row r="764" spans="1:8">
      <c r="A764" s="327"/>
      <c r="B764" s="331"/>
      <c r="C764" s="331"/>
      <c r="D764" s="331"/>
      <c r="E764" s="384"/>
      <c r="F764" s="284"/>
      <c r="G764" s="1068"/>
      <c r="H764" s="12"/>
    </row>
    <row r="765" spans="1:8">
      <c r="A765" s="327"/>
      <c r="B765" s="331"/>
      <c r="C765" s="331"/>
      <c r="D765" s="331"/>
      <c r="E765" s="384"/>
      <c r="F765" s="284"/>
      <c r="G765" s="1068"/>
      <c r="H765" s="12"/>
    </row>
    <row r="766" spans="1:8">
      <c r="A766" s="327"/>
      <c r="B766" s="331"/>
      <c r="C766" s="331"/>
      <c r="D766" s="331"/>
      <c r="E766" s="384"/>
      <c r="F766" s="284"/>
      <c r="G766" s="1068"/>
      <c r="H766" s="12"/>
    </row>
    <row r="767" spans="1:8">
      <c r="A767" s="327"/>
      <c r="B767" s="331"/>
      <c r="C767" s="331"/>
      <c r="D767" s="331"/>
      <c r="E767" s="384"/>
      <c r="F767" s="284"/>
      <c r="G767" s="1068"/>
      <c r="H767" s="12"/>
    </row>
    <row r="768" spans="1:8">
      <c r="A768" s="327"/>
      <c r="B768" s="331"/>
      <c r="C768" s="331"/>
      <c r="D768" s="331"/>
      <c r="E768" s="384"/>
      <c r="F768" s="284"/>
      <c r="G768" s="1068"/>
      <c r="H768" s="12"/>
    </row>
    <row r="769" spans="1:8">
      <c r="A769" s="327"/>
      <c r="B769" s="331"/>
      <c r="C769" s="331"/>
      <c r="D769" s="331"/>
      <c r="E769" s="384"/>
      <c r="F769" s="284"/>
      <c r="G769" s="1068"/>
      <c r="H769" s="12"/>
    </row>
    <row r="770" spans="1:8">
      <c r="A770" s="327"/>
      <c r="B770" s="331"/>
      <c r="C770" s="331"/>
      <c r="D770" s="331"/>
      <c r="E770" s="384"/>
      <c r="F770" s="284"/>
      <c r="G770" s="1068"/>
      <c r="H770" s="12"/>
    </row>
    <row r="771" spans="1:8">
      <c r="A771" s="327"/>
      <c r="B771" s="331"/>
      <c r="C771" s="331"/>
      <c r="D771" s="331"/>
      <c r="E771" s="384"/>
      <c r="F771" s="284"/>
      <c r="G771" s="1068"/>
      <c r="H771" s="12"/>
    </row>
    <row r="772" spans="1:8">
      <c r="A772" s="327"/>
      <c r="B772" s="331"/>
      <c r="C772" s="331"/>
      <c r="D772" s="331"/>
      <c r="E772" s="384"/>
      <c r="F772" s="284"/>
      <c r="G772" s="1068"/>
      <c r="H772" s="12"/>
    </row>
    <row r="773" spans="1:8">
      <c r="A773" s="327"/>
      <c r="B773" s="331"/>
      <c r="C773" s="331"/>
      <c r="D773" s="331"/>
      <c r="E773" s="384"/>
      <c r="F773" s="284"/>
      <c r="G773" s="1068"/>
      <c r="H773" s="12"/>
    </row>
    <row r="774" spans="1:8">
      <c r="A774" s="327"/>
      <c r="B774" s="331"/>
      <c r="C774" s="331"/>
      <c r="D774" s="331"/>
      <c r="E774" s="384"/>
      <c r="F774" s="284"/>
      <c r="G774" s="1068"/>
      <c r="H774" s="12"/>
    </row>
    <row r="775" spans="1:8">
      <c r="A775" s="327"/>
      <c r="B775" s="331"/>
      <c r="C775" s="331"/>
      <c r="D775" s="331"/>
      <c r="E775" s="384"/>
      <c r="F775" s="284"/>
      <c r="G775" s="1068"/>
      <c r="H775" s="12"/>
    </row>
    <row r="776" spans="1:8">
      <c r="A776" s="327"/>
      <c r="B776" s="331"/>
      <c r="C776" s="331"/>
      <c r="D776" s="331"/>
      <c r="E776" s="384"/>
      <c r="F776" s="284"/>
      <c r="G776" s="1068"/>
      <c r="H776" s="12"/>
    </row>
    <row r="777" spans="1:8">
      <c r="A777" s="327"/>
      <c r="B777" s="331"/>
      <c r="C777" s="331"/>
      <c r="D777" s="331"/>
      <c r="E777" s="384"/>
      <c r="F777" s="284"/>
      <c r="G777" s="1068"/>
      <c r="H777" s="12"/>
    </row>
    <row r="778" spans="1:8">
      <c r="A778" s="327"/>
      <c r="B778" s="331"/>
      <c r="C778" s="331"/>
      <c r="D778" s="331"/>
      <c r="E778" s="384"/>
      <c r="F778" s="284"/>
      <c r="G778" s="1068"/>
      <c r="H778" s="12"/>
    </row>
    <row r="779" spans="1:8">
      <c r="A779" s="327"/>
      <c r="B779" s="331"/>
      <c r="C779" s="331"/>
      <c r="D779" s="331"/>
      <c r="E779" s="384"/>
      <c r="F779" s="284"/>
      <c r="G779" s="1068"/>
      <c r="H779" s="12"/>
    </row>
    <row r="780" spans="1:8">
      <c r="A780" s="327"/>
      <c r="B780" s="331"/>
      <c r="C780" s="331"/>
      <c r="D780" s="331"/>
      <c r="E780" s="384"/>
      <c r="F780" s="284"/>
      <c r="G780" s="1068"/>
      <c r="H780" s="12"/>
    </row>
    <row r="781" spans="1:8">
      <c r="A781" s="327"/>
      <c r="B781" s="331"/>
      <c r="C781" s="331"/>
      <c r="D781" s="331"/>
      <c r="E781" s="384"/>
      <c r="F781" s="284"/>
      <c r="G781" s="1068"/>
      <c r="H781" s="12"/>
    </row>
    <row r="782" spans="1:8">
      <c r="A782" s="327"/>
      <c r="B782" s="331"/>
      <c r="C782" s="331"/>
      <c r="D782" s="331"/>
      <c r="E782" s="384"/>
      <c r="F782" s="284"/>
      <c r="G782" s="1068"/>
      <c r="H782" s="12"/>
    </row>
    <row r="783" spans="1:8">
      <c r="A783" s="327"/>
      <c r="B783" s="331"/>
      <c r="C783" s="331"/>
      <c r="D783" s="331"/>
      <c r="E783" s="384"/>
      <c r="F783" s="284"/>
      <c r="G783" s="1068"/>
      <c r="H783" s="12"/>
    </row>
    <row r="784" spans="1:8">
      <c r="A784" s="327"/>
      <c r="B784" s="331"/>
      <c r="C784" s="331"/>
      <c r="D784" s="331"/>
      <c r="E784" s="384"/>
      <c r="F784" s="284"/>
      <c r="G784" s="1068"/>
      <c r="H784" s="12"/>
    </row>
    <row r="785" spans="1:8">
      <c r="A785" s="327"/>
      <c r="B785" s="331"/>
      <c r="C785" s="331"/>
      <c r="D785" s="331"/>
      <c r="E785" s="384"/>
      <c r="F785" s="284"/>
      <c r="G785" s="1068"/>
      <c r="H785" s="12"/>
    </row>
    <row r="786" spans="1:8">
      <c r="A786" s="327"/>
      <c r="B786" s="331"/>
      <c r="C786" s="331"/>
      <c r="D786" s="331"/>
      <c r="E786" s="384"/>
      <c r="F786" s="284"/>
      <c r="G786" s="1068"/>
      <c r="H786" s="12"/>
    </row>
    <row r="787" spans="1:8">
      <c r="A787" s="327"/>
      <c r="B787" s="331"/>
      <c r="C787" s="331"/>
      <c r="D787" s="331"/>
      <c r="E787" s="384"/>
      <c r="F787" s="284"/>
      <c r="G787" s="1068"/>
      <c r="H787" s="12"/>
    </row>
    <row r="788" spans="1:8">
      <c r="A788" s="327"/>
      <c r="B788" s="331"/>
      <c r="C788" s="331"/>
      <c r="D788" s="331"/>
      <c r="E788" s="384"/>
      <c r="F788" s="284"/>
      <c r="G788" s="1068"/>
      <c r="H788" s="12"/>
    </row>
    <row r="789" spans="1:8">
      <c r="A789" s="327"/>
      <c r="B789" s="331"/>
      <c r="C789" s="331"/>
      <c r="D789" s="331"/>
      <c r="E789" s="384"/>
      <c r="F789" s="284"/>
      <c r="G789" s="1068"/>
      <c r="H789" s="12"/>
    </row>
    <row r="790" spans="1:8">
      <c r="A790" s="327"/>
      <c r="B790" s="331"/>
      <c r="C790" s="331"/>
      <c r="D790" s="331"/>
      <c r="E790" s="384"/>
      <c r="F790" s="284"/>
      <c r="G790" s="1068"/>
      <c r="H790" s="12"/>
    </row>
    <row r="791" spans="1:8">
      <c r="A791" s="327"/>
      <c r="B791" s="331"/>
      <c r="C791" s="331"/>
      <c r="D791" s="331"/>
      <c r="E791" s="384"/>
      <c r="F791" s="284"/>
      <c r="G791" s="1068"/>
      <c r="H791" s="12"/>
    </row>
    <row r="792" spans="1:8">
      <c r="A792" s="327"/>
      <c r="B792" s="331"/>
      <c r="C792" s="331"/>
      <c r="D792" s="331"/>
      <c r="E792" s="384"/>
      <c r="F792" s="284"/>
      <c r="G792" s="1068"/>
      <c r="H792" s="12"/>
    </row>
    <row r="793" spans="1:8">
      <c r="A793" s="327"/>
      <c r="B793" s="331"/>
      <c r="C793" s="331"/>
      <c r="D793" s="331"/>
      <c r="E793" s="384"/>
      <c r="F793" s="284"/>
      <c r="G793" s="1068"/>
      <c r="H793" s="12"/>
    </row>
    <row r="794" spans="1:8">
      <c r="A794" s="327"/>
      <c r="B794" s="331"/>
      <c r="C794" s="331"/>
      <c r="D794" s="331"/>
      <c r="E794" s="384"/>
      <c r="F794" s="284"/>
      <c r="G794" s="1068"/>
      <c r="H794" s="12"/>
    </row>
    <row r="795" spans="1:8">
      <c r="A795" s="327"/>
      <c r="B795" s="331"/>
      <c r="C795" s="331"/>
      <c r="D795" s="331"/>
      <c r="E795" s="384"/>
      <c r="F795" s="284"/>
      <c r="G795" s="1068"/>
      <c r="H795" s="12"/>
    </row>
    <row r="796" spans="1:8">
      <c r="A796" s="327"/>
      <c r="B796" s="331"/>
      <c r="C796" s="331"/>
      <c r="D796" s="331"/>
      <c r="E796" s="384"/>
      <c r="F796" s="284"/>
      <c r="G796" s="1068"/>
      <c r="H796" s="12"/>
    </row>
    <row r="797" spans="1:8">
      <c r="A797" s="327"/>
      <c r="B797" s="331"/>
      <c r="C797" s="331"/>
      <c r="D797" s="331"/>
      <c r="E797" s="384"/>
      <c r="F797" s="284"/>
      <c r="G797" s="1068"/>
      <c r="H797" s="12"/>
    </row>
    <row r="798" spans="1:8">
      <c r="A798" s="327"/>
      <c r="B798" s="331"/>
      <c r="C798" s="331"/>
      <c r="D798" s="331"/>
      <c r="E798" s="384"/>
      <c r="F798" s="284"/>
      <c r="G798" s="1068"/>
      <c r="H798" s="12"/>
    </row>
    <row r="799" spans="1:8">
      <c r="A799" s="327"/>
      <c r="B799" s="331"/>
      <c r="C799" s="331"/>
      <c r="D799" s="331"/>
      <c r="E799" s="384"/>
      <c r="F799" s="284"/>
      <c r="G799" s="1068"/>
      <c r="H799" s="12"/>
    </row>
    <row r="800" spans="1:8">
      <c r="A800" s="327"/>
      <c r="B800" s="331"/>
      <c r="C800" s="331"/>
      <c r="D800" s="331"/>
      <c r="E800" s="384"/>
      <c r="F800" s="284"/>
      <c r="G800" s="1068"/>
      <c r="H800" s="12"/>
    </row>
    <row r="801" spans="1:8">
      <c r="A801" s="327"/>
      <c r="B801" s="331"/>
      <c r="C801" s="331"/>
      <c r="D801" s="331"/>
      <c r="E801" s="384"/>
      <c r="F801" s="284"/>
      <c r="G801" s="1068"/>
      <c r="H801" s="12"/>
    </row>
    <row r="802" spans="1:8">
      <c r="A802" s="327"/>
      <c r="B802" s="331"/>
      <c r="C802" s="331"/>
      <c r="D802" s="331"/>
      <c r="E802" s="384"/>
      <c r="F802" s="284"/>
      <c r="G802" s="1068"/>
      <c r="H802" s="12"/>
    </row>
    <row r="803" spans="1:8">
      <c r="A803" s="327"/>
      <c r="B803" s="331"/>
      <c r="C803" s="331"/>
      <c r="D803" s="331"/>
      <c r="E803" s="384"/>
      <c r="F803" s="284"/>
      <c r="G803" s="1068"/>
      <c r="H803" s="12"/>
    </row>
    <row r="804" spans="1:8">
      <c r="A804" s="327"/>
      <c r="B804" s="331"/>
      <c r="C804" s="331"/>
      <c r="D804" s="331"/>
      <c r="E804" s="384"/>
      <c r="F804" s="284"/>
      <c r="G804" s="1068"/>
      <c r="H804" s="12"/>
    </row>
    <row r="805" spans="1:8">
      <c r="A805" s="327"/>
      <c r="B805" s="331"/>
      <c r="C805" s="331"/>
      <c r="D805" s="331"/>
      <c r="E805" s="384"/>
      <c r="F805" s="284"/>
      <c r="G805" s="1068"/>
      <c r="H805" s="12"/>
    </row>
    <row r="806" spans="1:8">
      <c r="A806" s="327"/>
      <c r="B806" s="331"/>
      <c r="C806" s="331"/>
      <c r="D806" s="331"/>
      <c r="E806" s="384"/>
      <c r="F806" s="284"/>
      <c r="G806" s="1068"/>
      <c r="H806" s="12"/>
    </row>
    <row r="807" spans="1:8">
      <c r="A807" s="327"/>
      <c r="B807" s="331"/>
      <c r="C807" s="331"/>
      <c r="D807" s="331"/>
      <c r="E807" s="384"/>
      <c r="F807" s="284"/>
      <c r="G807" s="1068"/>
      <c r="H807" s="12"/>
    </row>
    <row r="808" spans="1:8">
      <c r="A808" s="327"/>
      <c r="B808" s="331"/>
      <c r="C808" s="331"/>
      <c r="D808" s="331"/>
      <c r="E808" s="384"/>
      <c r="F808" s="284"/>
      <c r="G808" s="1068"/>
      <c r="H808" s="12"/>
    </row>
    <row r="809" spans="1:8">
      <c r="A809" s="327"/>
      <c r="B809" s="331"/>
      <c r="C809" s="331"/>
      <c r="D809" s="331"/>
      <c r="E809" s="384"/>
      <c r="F809" s="284"/>
      <c r="G809" s="1068"/>
      <c r="H809" s="12"/>
    </row>
    <row r="810" spans="1:8">
      <c r="A810" s="327"/>
      <c r="B810" s="331"/>
      <c r="C810" s="331"/>
      <c r="D810" s="331"/>
      <c r="E810" s="384"/>
      <c r="F810" s="284"/>
      <c r="G810" s="1068"/>
      <c r="H810" s="12"/>
    </row>
    <row r="811" spans="1:8">
      <c r="A811" s="327"/>
      <c r="B811" s="331"/>
      <c r="C811" s="331"/>
      <c r="D811" s="331"/>
      <c r="E811" s="384"/>
      <c r="F811" s="284"/>
      <c r="G811" s="1068"/>
      <c r="H811" s="12"/>
    </row>
    <row r="812" spans="1:8">
      <c r="A812" s="327"/>
      <c r="B812" s="331"/>
      <c r="C812" s="331"/>
      <c r="D812" s="331"/>
      <c r="E812" s="384"/>
      <c r="F812" s="284"/>
      <c r="G812" s="1068"/>
      <c r="H812" s="12"/>
    </row>
    <row r="813" spans="1:8">
      <c r="A813" s="327"/>
      <c r="B813" s="331"/>
      <c r="C813" s="331"/>
      <c r="D813" s="331"/>
      <c r="E813" s="384"/>
      <c r="F813" s="284"/>
      <c r="G813" s="1068"/>
      <c r="H813" s="12"/>
    </row>
    <row r="814" spans="1:8">
      <c r="A814" s="327"/>
      <c r="B814" s="331"/>
      <c r="C814" s="331"/>
      <c r="D814" s="331"/>
      <c r="E814" s="384"/>
      <c r="F814" s="284"/>
      <c r="G814" s="1068"/>
      <c r="H814" s="12"/>
    </row>
    <row r="815" spans="1:8">
      <c r="A815" s="327"/>
      <c r="B815" s="331"/>
      <c r="C815" s="331"/>
      <c r="D815" s="331"/>
      <c r="E815" s="384"/>
      <c r="F815" s="284"/>
      <c r="G815" s="1068"/>
      <c r="H815" s="12"/>
    </row>
    <row r="816" spans="1:8">
      <c r="A816" s="327"/>
      <c r="B816" s="331"/>
      <c r="C816" s="331"/>
      <c r="D816" s="331"/>
      <c r="E816" s="384"/>
      <c r="F816" s="284"/>
      <c r="G816" s="1068"/>
      <c r="H816" s="12"/>
    </row>
    <row r="817" spans="1:8">
      <c r="A817" s="327"/>
      <c r="B817" s="331"/>
      <c r="C817" s="331"/>
      <c r="D817" s="331"/>
      <c r="E817" s="384"/>
      <c r="F817" s="284"/>
      <c r="G817" s="1068"/>
      <c r="H817" s="12"/>
    </row>
    <row r="818" spans="1:8">
      <c r="A818" s="327"/>
      <c r="B818" s="331"/>
      <c r="C818" s="331"/>
      <c r="D818" s="331"/>
      <c r="E818" s="384"/>
      <c r="F818" s="284"/>
      <c r="G818" s="1068"/>
      <c r="H818" s="12"/>
    </row>
    <row r="819" spans="1:8">
      <c r="A819" s="327"/>
      <c r="B819" s="331"/>
      <c r="C819" s="331"/>
      <c r="D819" s="331"/>
      <c r="E819" s="384"/>
      <c r="F819" s="284"/>
      <c r="G819" s="1068"/>
      <c r="H819" s="12"/>
    </row>
    <row r="820" spans="1:8">
      <c r="A820" s="327"/>
      <c r="B820" s="331"/>
      <c r="C820" s="331"/>
      <c r="D820" s="331"/>
      <c r="E820" s="384"/>
      <c r="F820" s="284"/>
      <c r="G820" s="1068"/>
      <c r="H820" s="12"/>
    </row>
    <row r="821" spans="1:8">
      <c r="A821" s="327"/>
      <c r="B821" s="331"/>
      <c r="C821" s="331"/>
      <c r="D821" s="331"/>
      <c r="E821" s="384"/>
      <c r="F821" s="284"/>
      <c r="G821" s="1068"/>
      <c r="H821" s="12"/>
    </row>
    <row r="822" spans="1:8">
      <c r="A822" s="327"/>
      <c r="B822" s="331"/>
      <c r="C822" s="331"/>
      <c r="D822" s="331"/>
      <c r="E822" s="384"/>
      <c r="F822" s="284"/>
      <c r="G822" s="1068"/>
      <c r="H822" s="12"/>
    </row>
    <row r="823" spans="1:8">
      <c r="A823" s="327"/>
      <c r="B823" s="331"/>
      <c r="C823" s="331"/>
      <c r="D823" s="331"/>
      <c r="E823" s="384"/>
      <c r="F823" s="284"/>
      <c r="G823" s="1068"/>
      <c r="H823" s="12"/>
    </row>
    <row r="824" spans="1:8">
      <c r="A824" s="327"/>
      <c r="B824" s="331"/>
      <c r="C824" s="331"/>
      <c r="D824" s="331"/>
      <c r="E824" s="384"/>
      <c r="F824" s="284"/>
      <c r="G824" s="1068"/>
      <c r="H824" s="12"/>
    </row>
    <row r="825" spans="1:8">
      <c r="A825" s="327"/>
      <c r="B825" s="331"/>
      <c r="C825" s="331"/>
      <c r="D825" s="331"/>
      <c r="E825" s="384"/>
      <c r="F825" s="284"/>
      <c r="G825" s="1068"/>
      <c r="H825" s="12"/>
    </row>
    <row r="826" spans="1:8">
      <c r="A826" s="327"/>
      <c r="B826" s="331"/>
      <c r="C826" s="331"/>
      <c r="D826" s="331"/>
      <c r="E826" s="384"/>
      <c r="F826" s="284"/>
      <c r="G826" s="1068"/>
      <c r="H826" s="12"/>
    </row>
    <row r="827" spans="1:8">
      <c r="A827" s="327"/>
      <c r="B827" s="331"/>
      <c r="C827" s="331"/>
      <c r="D827" s="331"/>
      <c r="E827" s="384"/>
      <c r="F827" s="284"/>
      <c r="G827" s="1068"/>
      <c r="H827" s="12"/>
    </row>
    <row r="828" spans="1:8">
      <c r="A828" s="327"/>
      <c r="B828" s="331"/>
      <c r="C828" s="331"/>
      <c r="D828" s="331"/>
      <c r="E828" s="384"/>
      <c r="F828" s="284"/>
      <c r="G828" s="1068"/>
      <c r="H828" s="12"/>
    </row>
    <row r="829" spans="1:8">
      <c r="A829" s="327"/>
      <c r="B829" s="331"/>
      <c r="C829" s="331"/>
      <c r="D829" s="331"/>
      <c r="E829" s="384"/>
      <c r="F829" s="284"/>
      <c r="G829" s="1068"/>
      <c r="H829" s="12"/>
    </row>
    <row r="830" spans="1:8">
      <c r="A830" s="327"/>
      <c r="B830" s="331"/>
      <c r="C830" s="331"/>
      <c r="D830" s="331"/>
      <c r="E830" s="384"/>
      <c r="F830" s="284"/>
      <c r="G830" s="1068"/>
      <c r="H830" s="12"/>
    </row>
    <row r="831" spans="1:8">
      <c r="A831" s="327"/>
      <c r="B831" s="331"/>
      <c r="C831" s="331"/>
      <c r="D831" s="331"/>
      <c r="E831" s="384"/>
      <c r="F831" s="284"/>
      <c r="G831" s="1068"/>
      <c r="H831" s="12"/>
    </row>
    <row r="832" spans="1:8">
      <c r="A832" s="327"/>
      <c r="B832" s="331"/>
      <c r="C832" s="331"/>
      <c r="D832" s="331"/>
      <c r="E832" s="384"/>
      <c r="F832" s="284"/>
      <c r="G832" s="1068"/>
      <c r="H832" s="12"/>
    </row>
    <row r="833" spans="1:8">
      <c r="A833" s="327"/>
      <c r="B833" s="331"/>
      <c r="C833" s="331"/>
      <c r="D833" s="331"/>
      <c r="E833" s="384"/>
      <c r="F833" s="284"/>
      <c r="G833" s="1068"/>
      <c r="H833" s="12"/>
    </row>
    <row r="834" spans="1:8">
      <c r="A834" s="327"/>
      <c r="B834" s="331"/>
      <c r="C834" s="331"/>
      <c r="D834" s="331"/>
      <c r="E834" s="384"/>
      <c r="F834" s="284"/>
      <c r="G834" s="1068"/>
      <c r="H834" s="12"/>
    </row>
    <row r="835" spans="1:8">
      <c r="A835" s="327"/>
      <c r="B835" s="331"/>
      <c r="C835" s="331"/>
      <c r="D835" s="331"/>
      <c r="E835" s="384"/>
      <c r="F835" s="284"/>
      <c r="G835" s="1068"/>
      <c r="H835" s="12"/>
    </row>
    <row r="836" spans="1:8">
      <c r="A836" s="327"/>
      <c r="B836" s="331"/>
      <c r="C836" s="331"/>
      <c r="D836" s="331"/>
      <c r="E836" s="384"/>
      <c r="F836" s="284"/>
      <c r="G836" s="1068"/>
      <c r="H836" s="12"/>
    </row>
    <row r="837" spans="1:8">
      <c r="A837" s="327"/>
      <c r="B837" s="331"/>
      <c r="C837" s="331"/>
      <c r="D837" s="331"/>
      <c r="E837" s="384"/>
      <c r="F837" s="284"/>
      <c r="G837" s="1068"/>
      <c r="H837" s="12"/>
    </row>
    <row r="838" spans="1:8">
      <c r="A838" s="327"/>
      <c r="B838" s="331"/>
      <c r="C838" s="331"/>
      <c r="D838" s="331"/>
      <c r="E838" s="384"/>
      <c r="F838" s="284"/>
      <c r="G838" s="1068"/>
      <c r="H838" s="12"/>
    </row>
    <row r="839" spans="1:8">
      <c r="A839" s="327"/>
      <c r="B839" s="331"/>
      <c r="C839" s="331"/>
      <c r="D839" s="331"/>
      <c r="E839" s="384"/>
      <c r="F839" s="284"/>
      <c r="G839" s="1068"/>
      <c r="H839" s="12"/>
    </row>
    <row r="840" spans="1:8">
      <c r="A840" s="327"/>
      <c r="B840" s="331"/>
      <c r="C840" s="331"/>
      <c r="D840" s="331"/>
      <c r="E840" s="384"/>
      <c r="F840" s="284"/>
      <c r="G840" s="1068"/>
      <c r="H840" s="12"/>
    </row>
    <row r="841" spans="1:8">
      <c r="A841" s="327"/>
      <c r="B841" s="331"/>
      <c r="C841" s="331"/>
      <c r="D841" s="331"/>
      <c r="E841" s="384"/>
      <c r="F841" s="284"/>
      <c r="G841" s="1068"/>
      <c r="H841" s="12"/>
    </row>
    <row r="842" spans="1:8">
      <c r="A842" s="327"/>
      <c r="B842" s="331"/>
      <c r="C842" s="331"/>
      <c r="D842" s="331"/>
      <c r="E842" s="384"/>
      <c r="F842" s="284"/>
      <c r="G842" s="1068"/>
      <c r="H842" s="12"/>
    </row>
    <row r="843" spans="1:8">
      <c r="A843" s="327"/>
      <c r="B843" s="331"/>
      <c r="C843" s="331"/>
      <c r="D843" s="331"/>
      <c r="E843" s="384"/>
      <c r="F843" s="284"/>
      <c r="G843" s="1068"/>
      <c r="H843" s="12"/>
    </row>
    <row r="844" spans="1:8">
      <c r="A844" s="327"/>
      <c r="B844" s="331"/>
      <c r="C844" s="331"/>
      <c r="D844" s="331"/>
      <c r="E844" s="384"/>
      <c r="F844" s="284"/>
      <c r="G844" s="1068"/>
      <c r="H844" s="12"/>
    </row>
    <row r="845" spans="1:8">
      <c r="A845" s="327"/>
      <c r="B845" s="331"/>
      <c r="C845" s="331"/>
      <c r="D845" s="331"/>
      <c r="E845" s="384"/>
      <c r="F845" s="284"/>
      <c r="G845" s="1068"/>
      <c r="H845" s="12"/>
    </row>
    <row r="846" spans="1:8">
      <c r="A846" s="327"/>
      <c r="B846" s="331"/>
      <c r="C846" s="331"/>
      <c r="D846" s="331"/>
      <c r="E846" s="384"/>
      <c r="F846" s="284"/>
      <c r="G846" s="1068"/>
      <c r="H846" s="12"/>
    </row>
    <row r="847" spans="1:8">
      <c r="A847" s="327"/>
      <c r="B847" s="331"/>
      <c r="C847" s="331"/>
      <c r="D847" s="331"/>
      <c r="E847" s="384"/>
      <c r="F847" s="284"/>
      <c r="G847" s="1068"/>
      <c r="H847" s="12"/>
    </row>
    <row r="848" spans="1:8">
      <c r="A848" s="327"/>
      <c r="B848" s="331"/>
      <c r="C848" s="331"/>
      <c r="D848" s="331"/>
      <c r="E848" s="384"/>
      <c r="F848" s="284"/>
      <c r="G848" s="1068"/>
      <c r="H848" s="12"/>
    </row>
    <row r="849" spans="1:8">
      <c r="A849" s="327"/>
      <c r="B849" s="331"/>
      <c r="C849" s="331"/>
      <c r="D849" s="331"/>
      <c r="E849" s="384"/>
      <c r="F849" s="284"/>
      <c r="G849" s="1068"/>
      <c r="H849" s="12"/>
    </row>
    <row r="850" spans="1:8">
      <c r="A850" s="327"/>
      <c r="B850" s="331"/>
      <c r="C850" s="331"/>
      <c r="D850" s="331"/>
      <c r="E850" s="384"/>
      <c r="F850" s="284"/>
      <c r="G850" s="1068"/>
      <c r="H850" s="12"/>
    </row>
    <row r="851" spans="1:8">
      <c r="A851" s="327"/>
      <c r="B851" s="331"/>
      <c r="C851" s="331"/>
      <c r="D851" s="331"/>
      <c r="E851" s="384"/>
      <c r="F851" s="284"/>
      <c r="G851" s="1068"/>
      <c r="H851" s="12"/>
    </row>
    <row r="852" spans="1:8">
      <c r="A852" s="327"/>
      <c r="B852" s="331"/>
      <c r="C852" s="331"/>
      <c r="D852" s="331"/>
      <c r="E852" s="384"/>
      <c r="F852" s="284"/>
      <c r="G852" s="1068"/>
      <c r="H852" s="12"/>
    </row>
    <row r="853" spans="1:8">
      <c r="A853" s="327"/>
      <c r="B853" s="331"/>
      <c r="C853" s="331"/>
      <c r="D853" s="331"/>
      <c r="E853" s="384"/>
      <c r="F853" s="284"/>
      <c r="G853" s="1068"/>
      <c r="H853" s="12"/>
    </row>
    <row r="854" spans="1:8">
      <c r="A854" s="327"/>
      <c r="B854" s="331"/>
      <c r="C854" s="331"/>
      <c r="D854" s="331"/>
      <c r="E854" s="384"/>
      <c r="F854" s="284"/>
      <c r="G854" s="1068"/>
      <c r="H854" s="12"/>
    </row>
    <row r="855" spans="1:8">
      <c r="A855" s="327"/>
      <c r="B855" s="331"/>
      <c r="C855" s="331"/>
      <c r="D855" s="331"/>
      <c r="E855" s="384"/>
      <c r="F855" s="284"/>
      <c r="G855" s="1068"/>
      <c r="H855" s="12"/>
    </row>
    <row r="856" spans="1:8">
      <c r="A856" s="327"/>
      <c r="B856" s="331"/>
      <c r="C856" s="331"/>
      <c r="D856" s="331"/>
      <c r="E856" s="384"/>
      <c r="F856" s="284"/>
      <c r="G856" s="1068"/>
      <c r="H856" s="12"/>
    </row>
    <row r="857" spans="1:8">
      <c r="A857" s="327"/>
      <c r="B857" s="331"/>
      <c r="C857" s="331"/>
      <c r="D857" s="331"/>
      <c r="E857" s="384"/>
      <c r="F857" s="284"/>
      <c r="G857" s="1068"/>
      <c r="H857" s="12"/>
    </row>
    <row r="858" spans="1:8">
      <c r="A858" s="327"/>
      <c r="B858" s="331"/>
      <c r="C858" s="331"/>
      <c r="D858" s="331"/>
      <c r="E858" s="384"/>
      <c r="F858" s="284"/>
      <c r="G858" s="1068"/>
      <c r="H858" s="12"/>
    </row>
    <row r="859" spans="1:8">
      <c r="A859" s="327"/>
      <c r="B859" s="331"/>
      <c r="C859" s="331"/>
      <c r="D859" s="331"/>
      <c r="E859" s="384"/>
      <c r="F859" s="284"/>
      <c r="G859" s="1068"/>
      <c r="H859" s="12"/>
    </row>
    <row r="860" spans="1:8">
      <c r="A860" s="327"/>
      <c r="B860" s="331"/>
      <c r="C860" s="331"/>
      <c r="D860" s="331"/>
      <c r="E860" s="384"/>
      <c r="F860" s="284"/>
      <c r="G860" s="1068"/>
      <c r="H860" s="12"/>
    </row>
    <row r="861" spans="1:8">
      <c r="A861" s="327"/>
      <c r="B861" s="331"/>
      <c r="C861" s="331"/>
      <c r="D861" s="331"/>
      <c r="E861" s="384"/>
      <c r="F861" s="284"/>
      <c r="G861" s="1068"/>
      <c r="H861" s="12"/>
    </row>
    <row r="862" spans="1:8">
      <c r="A862" s="327"/>
      <c r="B862" s="331"/>
      <c r="C862" s="331"/>
      <c r="D862" s="331"/>
      <c r="E862" s="384"/>
      <c r="F862" s="284"/>
      <c r="G862" s="1068"/>
      <c r="H862" s="12"/>
    </row>
    <row r="863" spans="1:8">
      <c r="A863" s="327"/>
      <c r="B863" s="331"/>
      <c r="C863" s="331"/>
      <c r="D863" s="331"/>
      <c r="E863" s="384"/>
      <c r="F863" s="284"/>
      <c r="G863" s="1068"/>
      <c r="H863" s="12"/>
    </row>
    <row r="864" spans="1:8">
      <c r="A864" s="327"/>
      <c r="B864" s="331"/>
      <c r="C864" s="331"/>
      <c r="D864" s="331"/>
      <c r="E864" s="384"/>
      <c r="F864" s="284"/>
      <c r="G864" s="1068"/>
      <c r="H864" s="12"/>
    </row>
    <row r="865" spans="1:8">
      <c r="A865" s="327"/>
      <c r="B865" s="331"/>
      <c r="C865" s="331"/>
      <c r="D865" s="331"/>
      <c r="E865" s="384"/>
      <c r="F865" s="284"/>
      <c r="G865" s="1068"/>
      <c r="H865" s="12"/>
    </row>
    <row r="866" spans="1:8">
      <c r="A866" s="327"/>
      <c r="B866" s="331"/>
      <c r="C866" s="331"/>
      <c r="D866" s="331"/>
      <c r="E866" s="384"/>
      <c r="F866" s="284"/>
      <c r="G866" s="1068"/>
      <c r="H866" s="12"/>
    </row>
    <row r="867" spans="1:8">
      <c r="A867" s="327"/>
      <c r="B867" s="331"/>
      <c r="C867" s="331"/>
      <c r="D867" s="331"/>
      <c r="E867" s="384"/>
      <c r="F867" s="284"/>
      <c r="G867" s="1068"/>
      <c r="H867" s="12"/>
    </row>
    <row r="868" spans="1:8">
      <c r="A868" s="327"/>
      <c r="B868" s="331"/>
      <c r="C868" s="331"/>
      <c r="D868" s="331"/>
      <c r="E868" s="384"/>
      <c r="F868" s="284"/>
      <c r="G868" s="1068"/>
      <c r="H868" s="12"/>
    </row>
    <row r="869" spans="1:8">
      <c r="A869" s="327"/>
      <c r="B869" s="331"/>
      <c r="C869" s="331"/>
      <c r="D869" s="331"/>
      <c r="E869" s="384"/>
      <c r="F869" s="284"/>
      <c r="G869" s="1068"/>
      <c r="H869" s="12"/>
    </row>
    <row r="870" spans="1:8">
      <c r="A870" s="327"/>
      <c r="B870" s="331"/>
      <c r="C870" s="331"/>
      <c r="D870" s="331"/>
      <c r="E870" s="384"/>
      <c r="F870" s="284"/>
      <c r="G870" s="1068"/>
      <c r="H870" s="12"/>
    </row>
    <row r="871" spans="1:8">
      <c r="A871" s="327"/>
      <c r="B871" s="331"/>
      <c r="C871" s="331"/>
      <c r="D871" s="331"/>
      <c r="E871" s="384"/>
      <c r="F871" s="284"/>
      <c r="G871" s="1068"/>
      <c r="H871" s="12"/>
    </row>
    <row r="872" spans="1:8">
      <c r="A872" s="327"/>
      <c r="B872" s="331"/>
      <c r="C872" s="331"/>
      <c r="D872" s="331"/>
      <c r="E872" s="384"/>
      <c r="F872" s="284"/>
      <c r="G872" s="1068"/>
      <c r="H872" s="12"/>
    </row>
    <row r="873" spans="1:8">
      <c r="A873" s="327"/>
      <c r="B873" s="331"/>
      <c r="C873" s="331"/>
      <c r="D873" s="331"/>
      <c r="E873" s="384"/>
      <c r="F873" s="284"/>
      <c r="G873" s="1068"/>
      <c r="H873" s="12"/>
    </row>
    <row r="874" spans="1:8">
      <c r="A874" s="327"/>
      <c r="B874" s="331"/>
      <c r="C874" s="331"/>
      <c r="D874" s="331"/>
      <c r="E874" s="384"/>
      <c r="F874" s="284"/>
      <c r="G874" s="1068"/>
      <c r="H874" s="12"/>
    </row>
    <row r="875" spans="1:8">
      <c r="A875" s="327"/>
      <c r="B875" s="331"/>
      <c r="C875" s="331"/>
      <c r="D875" s="331"/>
      <c r="E875" s="384"/>
      <c r="F875" s="284"/>
      <c r="G875" s="1068"/>
      <c r="H875" s="12"/>
    </row>
    <row r="876" spans="1:8">
      <c r="A876" s="327"/>
      <c r="B876" s="331"/>
      <c r="C876" s="331"/>
      <c r="D876" s="331"/>
      <c r="E876" s="384"/>
      <c r="F876" s="284"/>
      <c r="G876" s="1068"/>
      <c r="H876" s="12"/>
    </row>
    <row r="877" spans="1:8">
      <c r="A877" s="327"/>
      <c r="B877" s="331"/>
      <c r="C877" s="331"/>
      <c r="D877" s="331"/>
      <c r="E877" s="384"/>
      <c r="F877" s="284"/>
      <c r="G877" s="1068"/>
      <c r="H877" s="12"/>
    </row>
    <row r="878" spans="1:8">
      <c r="A878" s="327"/>
      <c r="B878" s="331"/>
      <c r="C878" s="331"/>
      <c r="D878" s="331"/>
      <c r="E878" s="384"/>
      <c r="F878" s="284"/>
      <c r="G878" s="1068"/>
      <c r="H878" s="12"/>
    </row>
    <row r="879" spans="1:8">
      <c r="A879" s="327"/>
      <c r="B879" s="331"/>
      <c r="C879" s="331"/>
      <c r="D879" s="331"/>
      <c r="E879" s="384"/>
      <c r="F879" s="284"/>
      <c r="G879" s="1068"/>
      <c r="H879" s="12"/>
    </row>
    <row r="880" spans="1:8">
      <c r="A880" s="327"/>
      <c r="B880" s="331"/>
      <c r="C880" s="331"/>
      <c r="D880" s="331"/>
      <c r="E880" s="384"/>
      <c r="F880" s="284"/>
      <c r="G880" s="1068"/>
      <c r="H880" s="12"/>
    </row>
    <row r="881" spans="1:8">
      <c r="A881" s="327"/>
      <c r="B881" s="331"/>
      <c r="C881" s="331"/>
      <c r="D881" s="331"/>
      <c r="E881" s="384"/>
      <c r="F881" s="284"/>
      <c r="G881" s="1068"/>
      <c r="H881" s="12"/>
    </row>
    <row r="882" spans="1:8">
      <c r="A882" s="327"/>
      <c r="B882" s="331"/>
      <c r="C882" s="331"/>
      <c r="D882" s="331"/>
      <c r="E882" s="384"/>
      <c r="F882" s="284"/>
      <c r="G882" s="1068"/>
      <c r="H882" s="12"/>
    </row>
    <row r="883" spans="1:8">
      <c r="A883" s="327"/>
      <c r="B883" s="331"/>
      <c r="C883" s="331"/>
      <c r="D883" s="331"/>
      <c r="E883" s="384"/>
      <c r="F883" s="284"/>
      <c r="G883" s="1068"/>
      <c r="H883" s="12"/>
    </row>
    <row r="884" spans="1:8">
      <c r="A884" s="327"/>
      <c r="B884" s="331"/>
      <c r="C884" s="331"/>
      <c r="D884" s="331"/>
      <c r="E884" s="384"/>
      <c r="F884" s="284"/>
      <c r="G884" s="1068"/>
      <c r="H884" s="12"/>
    </row>
    <row r="885" spans="1:8">
      <c r="A885" s="327"/>
      <c r="B885" s="331"/>
      <c r="C885" s="331"/>
      <c r="D885" s="331"/>
      <c r="E885" s="384"/>
      <c r="F885" s="284"/>
      <c r="G885" s="1068"/>
      <c r="H885" s="12"/>
    </row>
    <row r="886" spans="1:8">
      <c r="A886" s="327"/>
      <c r="B886" s="331"/>
      <c r="C886" s="331"/>
      <c r="D886" s="331"/>
      <c r="E886" s="384"/>
      <c r="F886" s="284"/>
      <c r="G886" s="1068"/>
      <c r="H886" s="12"/>
    </row>
    <row r="887" spans="1:8">
      <c r="A887" s="327"/>
      <c r="B887" s="331"/>
      <c r="C887" s="331"/>
      <c r="D887" s="331"/>
      <c r="E887" s="384"/>
      <c r="F887" s="284"/>
      <c r="G887" s="1068"/>
      <c r="H887" s="12"/>
    </row>
    <row r="888" spans="1:8">
      <c r="A888" s="327"/>
      <c r="B888" s="331"/>
      <c r="C888" s="331"/>
      <c r="D888" s="331"/>
      <c r="E888" s="384"/>
      <c r="F888" s="284"/>
      <c r="G888" s="1068"/>
      <c r="H888" s="12"/>
    </row>
    <row r="889" spans="1:8">
      <c r="A889" s="327"/>
      <c r="B889" s="331"/>
      <c r="C889" s="331"/>
      <c r="D889" s="331"/>
      <c r="E889" s="384"/>
      <c r="F889" s="284"/>
      <c r="G889" s="1068"/>
      <c r="H889" s="12"/>
    </row>
    <row r="890" spans="1:8">
      <c r="A890" s="327"/>
      <c r="B890" s="331"/>
      <c r="C890" s="331"/>
      <c r="D890" s="331"/>
      <c r="E890" s="384"/>
      <c r="F890" s="284"/>
      <c r="G890" s="1068"/>
      <c r="H890" s="12"/>
    </row>
    <row r="891" spans="1:8">
      <c r="A891" s="327"/>
      <c r="B891" s="331"/>
      <c r="C891" s="331"/>
      <c r="D891" s="331"/>
      <c r="E891" s="384"/>
      <c r="F891" s="284"/>
      <c r="G891" s="1068"/>
      <c r="H891" s="12"/>
    </row>
    <row r="892" spans="1:8">
      <c r="A892" s="327"/>
      <c r="B892" s="331"/>
      <c r="C892" s="331"/>
      <c r="D892" s="331"/>
      <c r="E892" s="384"/>
      <c r="F892" s="284"/>
      <c r="G892" s="1068"/>
      <c r="H892" s="12"/>
    </row>
    <row r="893" spans="1:8">
      <c r="A893" s="327"/>
      <c r="B893" s="331"/>
      <c r="C893" s="331"/>
      <c r="D893" s="331"/>
      <c r="E893" s="384"/>
      <c r="F893" s="284"/>
      <c r="G893" s="1068"/>
      <c r="H893" s="12"/>
    </row>
    <row r="894" spans="1:8">
      <c r="A894" s="327"/>
      <c r="B894" s="331"/>
      <c r="C894" s="331"/>
      <c r="D894" s="331"/>
      <c r="E894" s="384"/>
      <c r="F894" s="284"/>
      <c r="G894" s="1068"/>
      <c r="H894" s="12"/>
    </row>
    <row r="895" spans="1:8">
      <c r="A895" s="327"/>
      <c r="B895" s="331"/>
      <c r="C895" s="331"/>
      <c r="D895" s="331"/>
      <c r="E895" s="384"/>
      <c r="F895" s="284"/>
      <c r="G895" s="1068"/>
      <c r="H895" s="12"/>
    </row>
    <row r="896" spans="1:8">
      <c r="A896" s="327"/>
      <c r="B896" s="331"/>
      <c r="C896" s="331"/>
      <c r="D896" s="331"/>
      <c r="E896" s="384"/>
      <c r="F896" s="284"/>
      <c r="G896" s="1068"/>
      <c r="H896" s="12"/>
    </row>
    <row r="897" spans="1:8">
      <c r="A897" s="327"/>
      <c r="B897" s="331"/>
      <c r="C897" s="331"/>
      <c r="D897" s="331"/>
      <c r="E897" s="384"/>
      <c r="F897" s="284"/>
      <c r="G897" s="1068"/>
      <c r="H897" s="12"/>
    </row>
    <row r="898" spans="1:8">
      <c r="A898" s="327"/>
      <c r="B898" s="331"/>
      <c r="C898" s="331"/>
      <c r="D898" s="331"/>
      <c r="E898" s="384"/>
      <c r="F898" s="284"/>
      <c r="G898" s="1068"/>
      <c r="H898" s="12"/>
    </row>
    <row r="899" spans="1:8">
      <c r="A899" s="327"/>
      <c r="B899" s="331"/>
      <c r="C899" s="331"/>
      <c r="D899" s="331"/>
      <c r="E899" s="384"/>
      <c r="F899" s="284"/>
      <c r="G899" s="1068"/>
      <c r="H899" s="12"/>
    </row>
    <row r="900" spans="1:8">
      <c r="A900" s="327"/>
      <c r="B900" s="331"/>
      <c r="C900" s="331"/>
      <c r="D900" s="331"/>
      <c r="E900" s="384"/>
      <c r="F900" s="284"/>
      <c r="G900" s="1068"/>
      <c r="H900" s="12"/>
    </row>
    <row r="901" spans="1:8">
      <c r="A901" s="327"/>
      <c r="B901" s="331"/>
      <c r="C901" s="331"/>
      <c r="D901" s="331"/>
      <c r="E901" s="384"/>
      <c r="F901" s="284"/>
      <c r="G901" s="1068"/>
      <c r="H901" s="12"/>
    </row>
    <row r="902" spans="1:8">
      <c r="A902" s="327"/>
      <c r="B902" s="331"/>
      <c r="C902" s="331"/>
      <c r="D902" s="331"/>
      <c r="E902" s="384"/>
      <c r="F902" s="284"/>
      <c r="G902" s="1068"/>
      <c r="H902" s="12"/>
    </row>
    <row r="903" spans="1:8">
      <c r="A903" s="327"/>
      <c r="B903" s="331"/>
      <c r="C903" s="331"/>
      <c r="D903" s="331"/>
      <c r="E903" s="384"/>
      <c r="F903" s="284"/>
      <c r="G903" s="1068"/>
      <c r="H903" s="12"/>
    </row>
    <row r="904" spans="1:8">
      <c r="A904" s="327"/>
      <c r="B904" s="331"/>
      <c r="C904" s="331"/>
      <c r="D904" s="331"/>
      <c r="E904" s="384"/>
      <c r="F904" s="284"/>
      <c r="G904" s="1068"/>
      <c r="H904" s="12"/>
    </row>
    <row r="905" spans="1:8">
      <c r="A905" s="327"/>
      <c r="B905" s="331"/>
      <c r="C905" s="331"/>
      <c r="D905" s="331"/>
      <c r="E905" s="384"/>
      <c r="F905" s="284"/>
      <c r="G905" s="1068"/>
      <c r="H905" s="12"/>
    </row>
    <row r="906" spans="1:8">
      <c r="A906" s="327"/>
      <c r="B906" s="331"/>
      <c r="C906" s="331"/>
      <c r="D906" s="331"/>
      <c r="E906" s="384"/>
      <c r="F906" s="284"/>
      <c r="G906" s="1068"/>
      <c r="H906" s="12"/>
    </row>
    <row r="907" spans="1:8">
      <c r="A907" s="327"/>
      <c r="B907" s="331"/>
      <c r="C907" s="331"/>
      <c r="D907" s="331"/>
      <c r="E907" s="384"/>
      <c r="F907" s="284"/>
      <c r="G907" s="1068"/>
      <c r="H907" s="12"/>
    </row>
    <row r="908" spans="1:8">
      <c r="A908" s="327"/>
      <c r="B908" s="331"/>
      <c r="C908" s="331"/>
      <c r="D908" s="331"/>
      <c r="E908" s="384"/>
      <c r="F908" s="284"/>
      <c r="G908" s="1068"/>
      <c r="H908" s="12"/>
    </row>
    <row r="909" spans="1:8">
      <c r="A909" s="327"/>
      <c r="B909" s="331"/>
      <c r="C909" s="331"/>
      <c r="D909" s="331"/>
      <c r="E909" s="384"/>
      <c r="F909" s="284"/>
      <c r="G909" s="1068"/>
      <c r="H909" s="12"/>
    </row>
    <row r="910" spans="1:8">
      <c r="A910" s="327"/>
      <c r="B910" s="331"/>
      <c r="C910" s="331"/>
      <c r="D910" s="331"/>
      <c r="E910" s="384"/>
      <c r="F910" s="284"/>
      <c r="G910" s="1068"/>
      <c r="H910" s="12"/>
    </row>
    <row r="911" spans="1:8">
      <c r="A911" s="327"/>
      <c r="B911" s="331"/>
      <c r="C911" s="331"/>
      <c r="D911" s="331"/>
      <c r="E911" s="384"/>
      <c r="F911" s="284"/>
      <c r="G911" s="1068"/>
      <c r="H911" s="12"/>
    </row>
    <row r="912" spans="1:8">
      <c r="A912" s="327"/>
      <c r="B912" s="331"/>
      <c r="C912" s="331"/>
      <c r="D912" s="331"/>
      <c r="E912" s="384"/>
      <c r="F912" s="284"/>
      <c r="G912" s="1068"/>
      <c r="H912" s="12"/>
    </row>
    <row r="913" spans="1:8">
      <c r="A913" s="327"/>
      <c r="B913" s="331"/>
      <c r="C913" s="331"/>
      <c r="D913" s="331"/>
      <c r="E913" s="384"/>
      <c r="F913" s="284"/>
      <c r="G913" s="1068"/>
      <c r="H913" s="12"/>
    </row>
    <row r="914" spans="1:8">
      <c r="A914" s="327"/>
      <c r="B914" s="331"/>
      <c r="C914" s="331"/>
      <c r="D914" s="331"/>
      <c r="E914" s="384"/>
      <c r="F914" s="284"/>
      <c r="G914" s="1068"/>
      <c r="H914" s="12"/>
    </row>
    <row r="915" spans="1:8">
      <c r="A915" s="327"/>
      <c r="B915" s="331"/>
      <c r="C915" s="331"/>
      <c r="D915" s="331"/>
      <c r="E915" s="384"/>
      <c r="F915" s="284"/>
      <c r="G915" s="1068"/>
      <c r="H915" s="12"/>
    </row>
    <row r="916" spans="1:8">
      <c r="A916" s="327"/>
      <c r="B916" s="331"/>
      <c r="C916" s="331"/>
      <c r="D916" s="331"/>
      <c r="E916" s="384"/>
      <c r="F916" s="284"/>
      <c r="G916" s="1068"/>
      <c r="H916" s="12"/>
    </row>
    <row r="917" spans="1:8">
      <c r="A917" s="327"/>
      <c r="B917" s="331"/>
      <c r="C917" s="331"/>
      <c r="D917" s="331"/>
      <c r="E917" s="384"/>
      <c r="F917" s="284"/>
      <c r="G917" s="1068"/>
      <c r="H917" s="12"/>
    </row>
    <row r="918" spans="1:8">
      <c r="A918" s="327"/>
      <c r="B918" s="331"/>
      <c r="C918" s="331"/>
      <c r="D918" s="331"/>
      <c r="E918" s="384"/>
      <c r="F918" s="284"/>
      <c r="G918" s="1068"/>
      <c r="H918" s="12"/>
    </row>
    <row r="919" spans="1:8">
      <c r="A919" s="327"/>
      <c r="B919" s="331"/>
      <c r="C919" s="331"/>
      <c r="D919" s="331"/>
      <c r="E919" s="384"/>
      <c r="F919" s="284"/>
      <c r="G919" s="1068"/>
      <c r="H919" s="12"/>
    </row>
    <row r="920" spans="1:8">
      <c r="A920" s="327"/>
      <c r="B920" s="331"/>
      <c r="C920" s="331"/>
      <c r="D920" s="331"/>
      <c r="E920" s="384"/>
      <c r="F920" s="284"/>
      <c r="G920" s="1068"/>
      <c r="H920" s="12"/>
    </row>
    <row r="921" spans="1:8">
      <c r="A921" s="327"/>
      <c r="B921" s="331"/>
      <c r="C921" s="331"/>
      <c r="D921" s="331"/>
      <c r="E921" s="384"/>
      <c r="F921" s="284"/>
      <c r="G921" s="1068"/>
      <c r="H921" s="12"/>
    </row>
    <row r="922" spans="1:8">
      <c r="A922" s="327"/>
      <c r="B922" s="331"/>
      <c r="C922" s="331"/>
      <c r="D922" s="331"/>
      <c r="E922" s="384"/>
      <c r="F922" s="284"/>
      <c r="G922" s="1068"/>
      <c r="H922" s="12"/>
    </row>
    <row r="923" spans="1:8">
      <c r="A923" s="327"/>
      <c r="B923" s="331"/>
      <c r="C923" s="331"/>
      <c r="D923" s="331"/>
      <c r="E923" s="384"/>
      <c r="F923" s="284"/>
      <c r="G923" s="1068"/>
      <c r="H923" s="12"/>
    </row>
    <row r="924" spans="1:8">
      <c r="A924" s="327"/>
      <c r="B924" s="331"/>
      <c r="C924" s="331"/>
      <c r="D924" s="331"/>
      <c r="E924" s="384"/>
      <c r="F924" s="284"/>
      <c r="G924" s="1068"/>
      <c r="H924" s="12"/>
    </row>
    <row r="925" spans="1:8">
      <c r="A925" s="327"/>
      <c r="B925" s="331"/>
      <c r="C925" s="331"/>
      <c r="D925" s="331"/>
      <c r="E925" s="384"/>
      <c r="F925" s="284"/>
      <c r="G925" s="1068"/>
      <c r="H925" s="12"/>
    </row>
    <row r="926" spans="1:8">
      <c r="A926" s="327"/>
      <c r="B926" s="331"/>
      <c r="C926" s="331"/>
      <c r="D926" s="331"/>
      <c r="E926" s="384"/>
      <c r="F926" s="284"/>
      <c r="G926" s="1068"/>
      <c r="H926" s="12"/>
    </row>
    <row r="927" spans="1:8">
      <c r="A927" s="327"/>
      <c r="B927" s="331"/>
      <c r="C927" s="331"/>
      <c r="D927" s="331"/>
      <c r="E927" s="384"/>
      <c r="F927" s="284"/>
      <c r="G927" s="1068"/>
      <c r="H927" s="12"/>
    </row>
    <row r="928" spans="1:8">
      <c r="A928" s="327"/>
      <c r="B928" s="331"/>
      <c r="C928" s="331"/>
      <c r="D928" s="331"/>
      <c r="E928" s="384"/>
      <c r="F928" s="284"/>
      <c r="G928" s="1068"/>
      <c r="H928" s="12"/>
    </row>
    <row r="929" spans="1:8">
      <c r="A929" s="327"/>
      <c r="B929" s="331"/>
      <c r="C929" s="331"/>
      <c r="D929" s="331"/>
      <c r="E929" s="384"/>
      <c r="F929" s="284"/>
      <c r="G929" s="1068"/>
      <c r="H929" s="12"/>
    </row>
    <row r="930" spans="1:8">
      <c r="A930" s="327"/>
      <c r="B930" s="331"/>
      <c r="C930" s="331"/>
      <c r="D930" s="331"/>
      <c r="E930" s="384"/>
      <c r="F930" s="284"/>
      <c r="G930" s="1068"/>
      <c r="H930" s="12"/>
    </row>
    <row r="931" spans="1:8">
      <c r="A931" s="327"/>
      <c r="B931" s="331"/>
      <c r="C931" s="331"/>
      <c r="D931" s="331"/>
      <c r="E931" s="384"/>
      <c r="F931" s="284"/>
      <c r="G931" s="1068"/>
      <c r="H931" s="12"/>
    </row>
    <row r="932" spans="1:8">
      <c r="A932" s="327"/>
      <c r="B932" s="331"/>
      <c r="C932" s="331"/>
      <c r="D932" s="331"/>
      <c r="E932" s="384"/>
      <c r="F932" s="284"/>
      <c r="G932" s="1068"/>
      <c r="H932" s="12"/>
    </row>
    <row r="933" spans="1:8">
      <c r="A933" s="327"/>
      <c r="B933" s="331"/>
      <c r="C933" s="331"/>
      <c r="D933" s="331"/>
      <c r="E933" s="384"/>
      <c r="F933" s="284"/>
      <c r="G933" s="1068"/>
      <c r="H933" s="12"/>
    </row>
    <row r="934" spans="1:8">
      <c r="A934" s="327"/>
      <c r="B934" s="331"/>
      <c r="C934" s="331"/>
      <c r="D934" s="331"/>
      <c r="E934" s="384"/>
      <c r="F934" s="284"/>
      <c r="G934" s="1068"/>
      <c r="H934" s="12"/>
    </row>
    <row r="935" spans="1:8">
      <c r="A935" s="327"/>
      <c r="B935" s="331"/>
      <c r="C935" s="331"/>
      <c r="D935" s="331"/>
      <c r="E935" s="384"/>
      <c r="F935" s="284"/>
      <c r="G935" s="1068"/>
      <c r="H935" s="12"/>
    </row>
    <row r="936" spans="1:8">
      <c r="A936" s="327"/>
      <c r="B936" s="331"/>
      <c r="C936" s="331"/>
      <c r="D936" s="331"/>
      <c r="E936" s="384"/>
      <c r="F936" s="284"/>
      <c r="G936" s="1068"/>
      <c r="H936" s="12"/>
    </row>
    <row r="937" spans="1:8">
      <c r="A937" s="327"/>
      <c r="B937" s="331"/>
      <c r="C937" s="331"/>
      <c r="D937" s="331"/>
      <c r="E937" s="384"/>
      <c r="F937" s="284"/>
      <c r="G937" s="1068"/>
      <c r="H937" s="12"/>
    </row>
    <row r="938" spans="1:8">
      <c r="A938" s="327"/>
      <c r="B938" s="331"/>
      <c r="C938" s="331"/>
      <c r="D938" s="331"/>
      <c r="E938" s="384"/>
      <c r="F938" s="284"/>
      <c r="G938" s="1068"/>
      <c r="H938" s="12"/>
    </row>
    <row r="939" spans="1:8">
      <c r="A939" s="327"/>
      <c r="B939" s="331"/>
      <c r="C939" s="331"/>
      <c r="D939" s="331"/>
      <c r="E939" s="384"/>
      <c r="F939" s="284"/>
      <c r="G939" s="1068"/>
      <c r="H939" s="12"/>
    </row>
    <row r="940" spans="1:8">
      <c r="A940" s="327"/>
      <c r="B940" s="331"/>
      <c r="C940" s="331"/>
      <c r="D940" s="331"/>
      <c r="E940" s="384"/>
      <c r="F940" s="284"/>
      <c r="G940" s="1068"/>
      <c r="H940" s="12"/>
    </row>
    <row r="941" spans="1:8">
      <c r="A941" s="327"/>
      <c r="B941" s="331"/>
      <c r="C941" s="331"/>
      <c r="D941" s="331"/>
      <c r="E941" s="384"/>
      <c r="F941" s="284"/>
      <c r="G941" s="1068"/>
      <c r="H941" s="12"/>
    </row>
    <row r="942" spans="1:8">
      <c r="A942" s="327"/>
      <c r="B942" s="331"/>
      <c r="C942" s="331"/>
      <c r="D942" s="331"/>
      <c r="E942" s="384"/>
      <c r="F942" s="284"/>
      <c r="G942" s="1068"/>
      <c r="H942" s="12"/>
    </row>
    <row r="943" spans="1:8">
      <c r="A943" s="327"/>
      <c r="B943" s="331"/>
      <c r="C943" s="331"/>
      <c r="D943" s="331"/>
      <c r="E943" s="384"/>
      <c r="F943" s="284"/>
      <c r="G943" s="1068"/>
      <c r="H943" s="12"/>
    </row>
    <row r="944" spans="1:8">
      <c r="A944" s="327"/>
      <c r="B944" s="331"/>
      <c r="C944" s="331"/>
      <c r="D944" s="331"/>
      <c r="E944" s="384"/>
      <c r="F944" s="284"/>
      <c r="G944" s="1068"/>
      <c r="H944" s="12"/>
    </row>
    <row r="945" spans="1:8">
      <c r="A945" s="327"/>
      <c r="B945" s="331"/>
      <c r="C945" s="331"/>
      <c r="D945" s="331"/>
      <c r="E945" s="384"/>
      <c r="F945" s="284"/>
      <c r="G945" s="1068"/>
      <c r="H945" s="12"/>
    </row>
    <row r="946" spans="1:8">
      <c r="A946" s="327"/>
      <c r="B946" s="331"/>
      <c r="C946" s="331"/>
      <c r="D946" s="331"/>
      <c r="E946" s="384"/>
      <c r="F946" s="284"/>
      <c r="G946" s="1068"/>
      <c r="H946" s="12"/>
    </row>
    <row r="947" spans="1:8">
      <c r="A947" s="327"/>
      <c r="B947" s="331"/>
      <c r="C947" s="331"/>
      <c r="D947" s="331"/>
      <c r="E947" s="384"/>
      <c r="F947" s="284"/>
      <c r="G947" s="1068"/>
      <c r="H947" s="12"/>
    </row>
    <row r="948" spans="1:8">
      <c r="A948" s="327"/>
      <c r="B948" s="331"/>
      <c r="C948" s="331"/>
      <c r="D948" s="331"/>
      <c r="E948" s="384"/>
      <c r="F948" s="284"/>
      <c r="G948" s="1068"/>
      <c r="H948" s="12"/>
    </row>
    <row r="949" spans="1:8">
      <c r="A949" s="327"/>
      <c r="B949" s="331"/>
      <c r="C949" s="331"/>
      <c r="D949" s="331"/>
      <c r="E949" s="384"/>
      <c r="F949" s="284"/>
      <c r="G949" s="1068"/>
      <c r="H949" s="12"/>
    </row>
    <row r="950" spans="1:8">
      <c r="A950" s="327"/>
      <c r="B950" s="331"/>
      <c r="C950" s="331"/>
      <c r="D950" s="331"/>
      <c r="E950" s="384"/>
      <c r="F950" s="284"/>
      <c r="G950" s="1068"/>
      <c r="H950" s="12"/>
    </row>
    <row r="951" spans="1:8">
      <c r="A951" s="327"/>
      <c r="B951" s="331"/>
      <c r="C951" s="331"/>
      <c r="D951" s="331"/>
      <c r="E951" s="384"/>
      <c r="F951" s="284"/>
      <c r="G951" s="1068"/>
      <c r="H951" s="12"/>
    </row>
    <row r="952" spans="1:8">
      <c r="A952" s="327"/>
      <c r="B952" s="331"/>
      <c r="C952" s="331"/>
      <c r="D952" s="331"/>
      <c r="E952" s="384"/>
      <c r="F952" s="284"/>
      <c r="G952" s="1068"/>
      <c r="H952" s="12"/>
    </row>
    <row r="953" spans="1:8">
      <c r="A953" s="327"/>
      <c r="B953" s="331"/>
      <c r="C953" s="331"/>
      <c r="D953" s="331"/>
      <c r="E953" s="384"/>
      <c r="F953" s="284"/>
      <c r="G953" s="1068"/>
      <c r="H953" s="12"/>
    </row>
    <row r="954" spans="1:8">
      <c r="A954" s="327"/>
      <c r="B954" s="331"/>
      <c r="C954" s="331"/>
      <c r="D954" s="331"/>
      <c r="E954" s="384"/>
      <c r="F954" s="284"/>
      <c r="G954" s="1068"/>
      <c r="H954" s="12"/>
    </row>
    <row r="955" spans="1:8">
      <c r="A955" s="327"/>
      <c r="B955" s="331"/>
      <c r="C955" s="331"/>
      <c r="D955" s="331"/>
      <c r="E955" s="384"/>
      <c r="F955" s="284"/>
      <c r="G955" s="1068"/>
      <c r="H955" s="12"/>
    </row>
    <row r="956" spans="1:8">
      <c r="A956" s="327"/>
      <c r="B956" s="331"/>
      <c r="C956" s="331"/>
      <c r="D956" s="331"/>
      <c r="E956" s="384"/>
      <c r="F956" s="284"/>
      <c r="G956" s="1068"/>
      <c r="H956" s="12"/>
    </row>
    <row r="957" spans="1:8">
      <c r="A957" s="327"/>
      <c r="B957" s="331"/>
      <c r="C957" s="331"/>
      <c r="D957" s="331"/>
      <c r="E957" s="384"/>
      <c r="F957" s="284"/>
      <c r="G957" s="1068"/>
      <c r="H957" s="12"/>
    </row>
    <row r="958" spans="1:8">
      <c r="A958" s="327"/>
      <c r="B958" s="331"/>
      <c r="C958" s="331"/>
      <c r="D958" s="331"/>
      <c r="E958" s="384"/>
      <c r="F958" s="284"/>
      <c r="G958" s="1068"/>
      <c r="H958" s="12"/>
    </row>
    <row r="959" spans="1:8">
      <c r="A959" s="327"/>
      <c r="B959" s="331"/>
      <c r="C959" s="331"/>
      <c r="D959" s="331"/>
      <c r="E959" s="384"/>
      <c r="F959" s="284"/>
      <c r="G959" s="1068"/>
      <c r="H959" s="12"/>
    </row>
    <row r="960" spans="1:8">
      <c r="A960" s="327"/>
      <c r="B960" s="331"/>
      <c r="C960" s="331"/>
      <c r="D960" s="331"/>
      <c r="E960" s="384"/>
      <c r="F960" s="284"/>
      <c r="G960" s="1068"/>
      <c r="H960" s="12"/>
    </row>
    <row r="961" spans="1:8">
      <c r="A961" s="327"/>
      <c r="B961" s="331"/>
      <c r="C961" s="331"/>
      <c r="D961" s="331"/>
      <c r="E961" s="384"/>
      <c r="F961" s="284"/>
      <c r="G961" s="1068"/>
      <c r="H961" s="12"/>
    </row>
    <row r="962" spans="1:8">
      <c r="A962" s="327"/>
      <c r="B962" s="331"/>
      <c r="C962" s="331"/>
      <c r="D962" s="331"/>
      <c r="E962" s="384"/>
      <c r="F962" s="284"/>
      <c r="G962" s="1068"/>
      <c r="H962" s="12"/>
    </row>
    <row r="963" spans="1:8">
      <c r="A963" s="327"/>
      <c r="B963" s="331"/>
      <c r="C963" s="331"/>
      <c r="D963" s="331"/>
      <c r="E963" s="384"/>
      <c r="F963" s="284"/>
      <c r="G963" s="1068"/>
      <c r="H963" s="12"/>
    </row>
    <row r="964" spans="1:8">
      <c r="A964" s="327"/>
      <c r="B964" s="331"/>
      <c r="C964" s="331"/>
      <c r="D964" s="331"/>
      <c r="E964" s="384"/>
      <c r="F964" s="284"/>
      <c r="G964" s="1068"/>
      <c r="H964" s="12"/>
    </row>
    <row r="965" spans="1:8">
      <c r="A965" s="327"/>
      <c r="B965" s="331"/>
      <c r="C965" s="331"/>
      <c r="D965" s="331"/>
      <c r="E965" s="384"/>
      <c r="F965" s="284"/>
      <c r="G965" s="1068"/>
      <c r="H965" s="12"/>
    </row>
    <row r="966" spans="1:8">
      <c r="A966" s="327"/>
      <c r="B966" s="331"/>
      <c r="C966" s="331"/>
      <c r="D966" s="331"/>
      <c r="E966" s="384"/>
      <c r="F966" s="284"/>
      <c r="G966" s="1068"/>
      <c r="H966" s="12"/>
    </row>
    <row r="967" spans="1:8">
      <c r="A967" s="327"/>
      <c r="B967" s="331"/>
      <c r="C967" s="331"/>
      <c r="D967" s="331"/>
      <c r="E967" s="384"/>
      <c r="F967" s="284"/>
      <c r="G967" s="1068"/>
      <c r="H967" s="12"/>
    </row>
    <row r="968" spans="1:8">
      <c r="A968" s="327"/>
      <c r="B968" s="331"/>
      <c r="C968" s="331"/>
      <c r="D968" s="331"/>
      <c r="E968" s="384"/>
      <c r="F968" s="284"/>
      <c r="G968" s="1068"/>
      <c r="H968" s="12"/>
    </row>
    <row r="969" spans="1:8">
      <c r="A969" s="327"/>
      <c r="B969" s="331"/>
      <c r="C969" s="331"/>
      <c r="D969" s="331"/>
      <c r="E969" s="384"/>
      <c r="F969" s="284"/>
      <c r="G969" s="1068"/>
      <c r="H969" s="12"/>
    </row>
    <row r="970" spans="1:8">
      <c r="A970" s="327"/>
      <c r="B970" s="331"/>
      <c r="C970" s="331"/>
      <c r="D970" s="331"/>
      <c r="E970" s="384"/>
      <c r="F970" s="284"/>
      <c r="G970" s="1068"/>
      <c r="H970" s="12"/>
    </row>
    <row r="971" spans="1:8">
      <c r="A971" s="327"/>
      <c r="B971" s="331"/>
      <c r="C971" s="331"/>
      <c r="D971" s="331"/>
      <c r="E971" s="384"/>
      <c r="F971" s="284"/>
      <c r="G971" s="1068"/>
      <c r="H971" s="12"/>
    </row>
    <row r="972" spans="1:8">
      <c r="A972" s="327"/>
      <c r="B972" s="331"/>
      <c r="C972" s="331"/>
      <c r="D972" s="331"/>
      <c r="E972" s="384"/>
      <c r="F972" s="284"/>
      <c r="G972" s="1068"/>
      <c r="H972" s="12"/>
    </row>
    <row r="973" spans="1:8">
      <c r="A973" s="327"/>
      <c r="B973" s="331"/>
      <c r="C973" s="331"/>
      <c r="D973" s="331"/>
      <c r="E973" s="384"/>
      <c r="F973" s="284"/>
      <c r="G973" s="1068"/>
      <c r="H973" s="12"/>
    </row>
    <row r="974" spans="1:8">
      <c r="A974" s="327"/>
      <c r="B974" s="331"/>
      <c r="C974" s="331"/>
      <c r="D974" s="331"/>
      <c r="E974" s="384"/>
      <c r="F974" s="284"/>
      <c r="G974" s="1068"/>
      <c r="H974" s="12"/>
    </row>
    <row r="975" spans="1:8">
      <c r="A975" s="327"/>
      <c r="B975" s="331"/>
      <c r="C975" s="331"/>
      <c r="D975" s="331"/>
      <c r="E975" s="384"/>
      <c r="F975" s="284"/>
      <c r="G975" s="1068"/>
      <c r="H975" s="12"/>
    </row>
    <row r="976" spans="1:8">
      <c r="A976" s="327"/>
      <c r="B976" s="331"/>
      <c r="C976" s="331"/>
      <c r="D976" s="331"/>
      <c r="E976" s="384"/>
      <c r="F976" s="284"/>
      <c r="G976" s="1068"/>
      <c r="H976" s="12"/>
    </row>
    <row r="977" spans="1:8">
      <c r="A977" s="327"/>
      <c r="B977" s="331"/>
      <c r="C977" s="331"/>
      <c r="D977" s="331"/>
      <c r="E977" s="384"/>
      <c r="F977" s="284"/>
      <c r="G977" s="1068"/>
      <c r="H977" s="12"/>
    </row>
    <row r="978" spans="1:8">
      <c r="A978" s="327"/>
      <c r="B978" s="331"/>
      <c r="C978" s="331"/>
      <c r="D978" s="331"/>
      <c r="E978" s="384"/>
      <c r="F978" s="284"/>
      <c r="G978" s="1068"/>
      <c r="H978" s="12"/>
    </row>
    <row r="979" spans="1:8">
      <c r="A979" s="327"/>
      <c r="B979" s="331"/>
      <c r="C979" s="331"/>
      <c r="D979" s="331"/>
      <c r="E979" s="384"/>
      <c r="F979" s="284"/>
      <c r="G979" s="1068"/>
      <c r="H979" s="12"/>
    </row>
    <row r="980" spans="1:8">
      <c r="A980" s="327"/>
      <c r="B980" s="331"/>
      <c r="C980" s="331"/>
      <c r="D980" s="331"/>
      <c r="E980" s="384"/>
      <c r="F980" s="284"/>
      <c r="G980" s="1068"/>
      <c r="H980" s="12"/>
    </row>
    <row r="981" spans="1:8">
      <c r="A981" s="327"/>
      <c r="B981" s="331"/>
      <c r="C981" s="331"/>
      <c r="D981" s="331"/>
      <c r="E981" s="384"/>
      <c r="F981" s="284"/>
      <c r="G981" s="1068"/>
      <c r="H981" s="12"/>
    </row>
    <row r="982" spans="1:8">
      <c r="A982" s="327"/>
      <c r="B982" s="331"/>
      <c r="C982" s="331"/>
      <c r="D982" s="331"/>
      <c r="E982" s="384"/>
      <c r="F982" s="284"/>
      <c r="G982" s="1068"/>
      <c r="H982" s="12"/>
    </row>
    <row r="983" spans="1:8">
      <c r="A983" s="327"/>
      <c r="B983" s="331"/>
      <c r="C983" s="331"/>
      <c r="D983" s="331"/>
      <c r="E983" s="384"/>
      <c r="F983" s="284"/>
      <c r="G983" s="1068"/>
      <c r="H983" s="12"/>
    </row>
    <row r="984" spans="1:8">
      <c r="A984" s="327"/>
      <c r="B984" s="331"/>
      <c r="C984" s="331"/>
      <c r="D984" s="331"/>
      <c r="E984" s="384"/>
      <c r="F984" s="284"/>
      <c r="G984" s="1068"/>
      <c r="H984" s="12"/>
    </row>
    <row r="985" spans="1:8">
      <c r="A985" s="327"/>
      <c r="B985" s="331"/>
      <c r="C985" s="331"/>
      <c r="D985" s="331"/>
      <c r="E985" s="384"/>
      <c r="F985" s="284"/>
      <c r="G985" s="1068"/>
      <c r="H985" s="12"/>
    </row>
    <row r="986" spans="1:8">
      <c r="A986" s="327"/>
      <c r="B986" s="331"/>
      <c r="C986" s="331"/>
      <c r="D986" s="331"/>
      <c r="E986" s="384"/>
      <c r="F986" s="284"/>
      <c r="G986" s="1068"/>
      <c r="H986" s="12"/>
    </row>
    <row r="987" spans="1:8">
      <c r="A987" s="327"/>
      <c r="B987" s="331"/>
      <c r="C987" s="331"/>
      <c r="D987" s="331"/>
      <c r="E987" s="384"/>
      <c r="F987" s="284"/>
      <c r="G987" s="1068"/>
      <c r="H987" s="12"/>
    </row>
    <row r="988" spans="1:8">
      <c r="A988" s="327"/>
      <c r="B988" s="331"/>
      <c r="C988" s="331"/>
      <c r="D988" s="331"/>
      <c r="E988" s="384"/>
      <c r="F988" s="284"/>
      <c r="G988" s="1068"/>
      <c r="H988" s="12"/>
    </row>
    <row r="989" spans="1:8">
      <c r="A989" s="327"/>
      <c r="B989" s="331"/>
      <c r="C989" s="331"/>
      <c r="D989" s="331"/>
      <c r="E989" s="384"/>
      <c r="F989" s="284"/>
      <c r="G989" s="1068"/>
      <c r="H989" s="12"/>
    </row>
    <row r="990" spans="1:8">
      <c r="A990" s="327"/>
      <c r="B990" s="331"/>
      <c r="C990" s="331"/>
      <c r="D990" s="331"/>
      <c r="E990" s="384"/>
      <c r="F990" s="284"/>
      <c r="G990" s="1068"/>
      <c r="H990" s="12"/>
    </row>
    <row r="991" spans="1:8">
      <c r="A991" s="327"/>
      <c r="B991" s="331"/>
      <c r="C991" s="331"/>
      <c r="D991" s="331"/>
      <c r="E991" s="384"/>
      <c r="F991" s="284"/>
      <c r="G991" s="1068"/>
      <c r="H991" s="12"/>
    </row>
    <row r="992" spans="1:8">
      <c r="A992" s="327"/>
      <c r="B992" s="331"/>
      <c r="C992" s="331"/>
      <c r="D992" s="331"/>
      <c r="E992" s="384"/>
      <c r="F992" s="284"/>
      <c r="G992" s="1068"/>
      <c r="H992" s="12"/>
    </row>
    <row r="993" spans="1:8">
      <c r="A993" s="327"/>
      <c r="B993" s="331"/>
      <c r="C993" s="331"/>
      <c r="D993" s="331"/>
      <c r="E993" s="384"/>
      <c r="F993" s="284"/>
      <c r="G993" s="1068"/>
      <c r="H993" s="12"/>
    </row>
    <row r="994" spans="1:8">
      <c r="A994" s="327"/>
      <c r="B994" s="331"/>
      <c r="C994" s="331"/>
      <c r="D994" s="331"/>
      <c r="E994" s="384"/>
      <c r="F994" s="284"/>
      <c r="G994" s="1068"/>
      <c r="H994" s="12"/>
    </row>
    <row r="995" spans="1:8">
      <c r="A995" s="327"/>
      <c r="B995" s="331"/>
      <c r="C995" s="331"/>
      <c r="D995" s="331"/>
      <c r="E995" s="384"/>
      <c r="F995" s="284"/>
      <c r="G995" s="1068"/>
      <c r="H995" s="12"/>
    </row>
    <row r="996" spans="1:8">
      <c r="A996" s="327"/>
      <c r="B996" s="331"/>
      <c r="C996" s="331"/>
      <c r="D996" s="331"/>
      <c r="E996" s="384"/>
      <c r="F996" s="284"/>
      <c r="G996" s="1068"/>
      <c r="H996" s="12"/>
    </row>
    <row r="997" spans="1:8">
      <c r="A997" s="327"/>
      <c r="B997" s="331"/>
      <c r="C997" s="331"/>
      <c r="D997" s="331"/>
      <c r="E997" s="384"/>
      <c r="F997" s="284"/>
      <c r="G997" s="1068"/>
      <c r="H997" s="12"/>
    </row>
    <row r="998" spans="1:8">
      <c r="A998" s="327"/>
      <c r="B998" s="331"/>
      <c r="C998" s="331"/>
      <c r="D998" s="331"/>
      <c r="E998" s="384"/>
      <c r="F998" s="284"/>
      <c r="G998" s="1068"/>
      <c r="H998" s="12"/>
    </row>
    <row r="999" spans="1:8">
      <c r="A999" s="327"/>
      <c r="B999" s="331"/>
      <c r="C999" s="331"/>
      <c r="D999" s="331"/>
      <c r="E999" s="384"/>
      <c r="F999" s="284"/>
      <c r="G999" s="1068"/>
      <c r="H999" s="12"/>
    </row>
    <row r="1000" spans="1:8">
      <c r="A1000" s="327"/>
      <c r="B1000" s="331"/>
      <c r="C1000" s="331"/>
      <c r="D1000" s="331"/>
      <c r="E1000" s="384"/>
      <c r="F1000" s="284"/>
      <c r="G1000" s="1068"/>
      <c r="H1000" s="12"/>
    </row>
    <row r="1001" spans="1:8">
      <c r="A1001" s="327"/>
      <c r="B1001" s="331"/>
      <c r="C1001" s="331"/>
      <c r="D1001" s="331"/>
      <c r="E1001" s="384"/>
      <c r="F1001" s="284"/>
      <c r="G1001" s="1068"/>
      <c r="H1001" s="12"/>
    </row>
    <row r="1002" spans="1:8">
      <c r="A1002" s="327"/>
      <c r="B1002" s="331"/>
      <c r="C1002" s="331"/>
      <c r="D1002" s="331"/>
      <c r="E1002" s="384"/>
      <c r="F1002" s="284"/>
      <c r="G1002" s="1068"/>
      <c r="H1002" s="12"/>
    </row>
    <row r="1003" spans="1:8">
      <c r="A1003" s="327"/>
      <c r="B1003" s="331"/>
      <c r="C1003" s="331"/>
      <c r="D1003" s="331"/>
      <c r="E1003" s="384"/>
      <c r="F1003" s="284"/>
      <c r="G1003" s="1068"/>
      <c r="H1003" s="12"/>
    </row>
    <row r="1004" spans="1:8">
      <c r="A1004" s="327"/>
      <c r="B1004" s="331"/>
      <c r="C1004" s="331"/>
      <c r="D1004" s="331"/>
      <c r="E1004" s="384"/>
      <c r="F1004" s="284"/>
      <c r="G1004" s="1068"/>
      <c r="H1004" s="12"/>
    </row>
    <row r="1005" spans="1:8">
      <c r="A1005" s="327"/>
      <c r="B1005" s="331"/>
      <c r="C1005" s="331"/>
      <c r="D1005" s="331"/>
      <c r="E1005" s="384"/>
      <c r="F1005" s="284"/>
      <c r="G1005" s="1068"/>
      <c r="H1005" s="12"/>
    </row>
    <row r="1006" spans="1:8">
      <c r="A1006" s="327"/>
      <c r="B1006" s="331"/>
      <c r="C1006" s="331"/>
      <c r="D1006" s="331"/>
      <c r="E1006" s="384"/>
      <c r="F1006" s="284"/>
      <c r="G1006" s="1068"/>
      <c r="H1006" s="12"/>
    </row>
    <row r="1007" spans="1:8">
      <c r="A1007" s="327"/>
      <c r="B1007" s="331"/>
      <c r="C1007" s="331"/>
      <c r="D1007" s="331"/>
      <c r="E1007" s="384"/>
      <c r="F1007" s="284"/>
      <c r="G1007" s="1068"/>
      <c r="H1007" s="12"/>
    </row>
    <row r="1008" spans="1:8">
      <c r="A1008" s="327"/>
      <c r="B1008" s="331"/>
      <c r="C1008" s="331"/>
      <c r="D1008" s="331"/>
      <c r="E1008" s="384"/>
      <c r="F1008" s="284"/>
      <c r="G1008" s="1068"/>
      <c r="H1008" s="12"/>
    </row>
    <row r="1009" spans="1:8">
      <c r="A1009" s="327"/>
      <c r="B1009" s="331"/>
      <c r="C1009" s="331"/>
      <c r="D1009" s="331"/>
      <c r="E1009" s="384"/>
      <c r="F1009" s="284"/>
      <c r="G1009" s="1068"/>
      <c r="H1009" s="12"/>
    </row>
    <row r="1010" spans="1:8">
      <c r="A1010" s="327"/>
      <c r="B1010" s="331"/>
      <c r="C1010" s="331"/>
      <c r="D1010" s="331"/>
      <c r="E1010" s="384"/>
      <c r="F1010" s="284"/>
      <c r="G1010" s="1068"/>
      <c r="H1010" s="12"/>
    </row>
    <row r="1011" spans="1:8">
      <c r="A1011" s="327"/>
      <c r="B1011" s="331"/>
      <c r="C1011" s="331"/>
      <c r="D1011" s="331"/>
      <c r="E1011" s="384"/>
      <c r="F1011" s="284"/>
      <c r="G1011" s="1068"/>
      <c r="H1011" s="12"/>
    </row>
    <row r="1012" spans="1:8">
      <c r="A1012" s="327"/>
      <c r="B1012" s="331"/>
      <c r="C1012" s="331"/>
      <c r="D1012" s="331"/>
      <c r="E1012" s="384"/>
      <c r="F1012" s="284"/>
      <c r="G1012" s="1068"/>
      <c r="H1012" s="12"/>
    </row>
    <row r="1013" spans="1:8">
      <c r="A1013" s="327"/>
      <c r="B1013" s="331"/>
      <c r="C1013" s="331"/>
      <c r="D1013" s="331"/>
      <c r="E1013" s="384"/>
      <c r="F1013" s="284"/>
      <c r="G1013" s="1068"/>
      <c r="H1013" s="12"/>
    </row>
    <row r="1014" spans="1:8">
      <c r="A1014" s="327"/>
      <c r="B1014" s="331"/>
      <c r="C1014" s="331"/>
      <c r="D1014" s="331"/>
      <c r="E1014" s="384"/>
      <c r="F1014" s="284"/>
      <c r="G1014" s="1068"/>
      <c r="H1014" s="12"/>
    </row>
    <row r="1015" spans="1:8">
      <c r="A1015" s="327"/>
      <c r="B1015" s="331"/>
      <c r="C1015" s="331"/>
      <c r="D1015" s="331"/>
      <c r="E1015" s="384"/>
      <c r="F1015" s="284"/>
      <c r="G1015" s="1068"/>
      <c r="H1015" s="12"/>
    </row>
    <row r="1016" spans="1:8">
      <c r="A1016" s="327"/>
      <c r="B1016" s="331"/>
      <c r="C1016" s="331"/>
      <c r="D1016" s="331"/>
      <c r="E1016" s="384"/>
      <c r="F1016" s="284"/>
      <c r="G1016" s="1068"/>
      <c r="H1016" s="12"/>
    </row>
    <row r="1017" spans="1:8">
      <c r="A1017" s="327"/>
      <c r="B1017" s="331"/>
      <c r="C1017" s="331"/>
      <c r="D1017" s="331"/>
      <c r="E1017" s="384"/>
      <c r="F1017" s="284"/>
      <c r="G1017" s="1068"/>
      <c r="H1017" s="12"/>
    </row>
    <row r="1018" spans="1:8">
      <c r="A1018" s="327"/>
      <c r="B1018" s="331"/>
      <c r="C1018" s="331"/>
      <c r="D1018" s="331"/>
      <c r="E1018" s="384"/>
      <c r="F1018" s="284"/>
      <c r="G1018" s="1068"/>
      <c r="H1018" s="12"/>
    </row>
    <row r="1019" spans="1:8">
      <c r="A1019" s="327"/>
      <c r="B1019" s="331"/>
      <c r="C1019" s="331"/>
      <c r="D1019" s="331"/>
      <c r="E1019" s="384"/>
      <c r="F1019" s="284"/>
      <c r="G1019" s="1068"/>
      <c r="H1019" s="12"/>
    </row>
    <row r="1020" spans="1:8">
      <c r="A1020" s="327"/>
      <c r="B1020" s="331"/>
      <c r="C1020" s="331"/>
      <c r="D1020" s="331"/>
      <c r="E1020" s="384"/>
      <c r="F1020" s="284"/>
      <c r="G1020" s="1068"/>
      <c r="H1020" s="12"/>
    </row>
    <row r="1021" spans="1:8">
      <c r="A1021" s="327"/>
      <c r="B1021" s="331"/>
      <c r="C1021" s="331"/>
      <c r="D1021" s="331"/>
      <c r="E1021" s="384"/>
      <c r="F1021" s="284"/>
      <c r="G1021" s="1068"/>
      <c r="H1021" s="12"/>
    </row>
    <row r="1022" spans="1:8">
      <c r="A1022" s="327"/>
      <c r="B1022" s="331"/>
      <c r="C1022" s="331"/>
      <c r="D1022" s="331"/>
      <c r="E1022" s="384"/>
      <c r="F1022" s="284"/>
      <c r="G1022" s="1068"/>
      <c r="H1022" s="12"/>
    </row>
    <row r="1023" spans="1:8">
      <c r="A1023" s="327"/>
      <c r="B1023" s="331"/>
      <c r="C1023" s="331"/>
      <c r="D1023" s="331"/>
      <c r="E1023" s="384"/>
      <c r="F1023" s="284"/>
      <c r="G1023" s="1068"/>
      <c r="H1023" s="12"/>
    </row>
    <row r="1024" spans="1:8">
      <c r="A1024" s="327"/>
      <c r="B1024" s="331"/>
      <c r="C1024" s="331"/>
      <c r="D1024" s="331"/>
      <c r="E1024" s="384"/>
      <c r="F1024" s="284"/>
      <c r="G1024" s="1068"/>
      <c r="H1024" s="12"/>
    </row>
    <row r="1025" spans="1:8">
      <c r="A1025" s="327"/>
      <c r="B1025" s="331"/>
      <c r="C1025" s="331"/>
      <c r="D1025" s="331"/>
      <c r="E1025" s="384"/>
      <c r="F1025" s="284"/>
      <c r="G1025" s="1068"/>
      <c r="H1025" s="12"/>
    </row>
    <row r="1026" spans="1:8">
      <c r="A1026" s="327"/>
      <c r="B1026" s="331"/>
      <c r="C1026" s="331"/>
      <c r="D1026" s="331"/>
      <c r="E1026" s="384"/>
      <c r="F1026" s="284"/>
      <c r="G1026" s="1068"/>
      <c r="H1026" s="12"/>
    </row>
    <row r="1027" spans="1:8">
      <c r="A1027" s="327"/>
      <c r="B1027" s="331"/>
      <c r="C1027" s="331"/>
      <c r="D1027" s="331"/>
      <c r="E1027" s="384"/>
      <c r="F1027" s="284"/>
      <c r="G1027" s="1068"/>
      <c r="H1027" s="12"/>
    </row>
    <row r="1028" spans="1:8">
      <c r="A1028" s="327"/>
      <c r="B1028" s="331"/>
      <c r="C1028" s="331"/>
      <c r="D1028" s="331"/>
      <c r="E1028" s="384"/>
      <c r="F1028" s="284"/>
      <c r="G1028" s="1068"/>
      <c r="H1028" s="12"/>
    </row>
    <row r="1029" spans="1:8">
      <c r="A1029" s="327"/>
      <c r="B1029" s="331"/>
      <c r="C1029" s="331"/>
      <c r="D1029" s="331"/>
      <c r="E1029" s="384"/>
      <c r="F1029" s="284"/>
      <c r="G1029" s="1068"/>
      <c r="H1029" s="12"/>
    </row>
    <row r="1030" spans="1:8">
      <c r="A1030" s="327"/>
      <c r="B1030" s="331"/>
      <c r="C1030" s="331"/>
      <c r="D1030" s="331"/>
      <c r="E1030" s="384"/>
      <c r="F1030" s="284"/>
      <c r="G1030" s="1068"/>
      <c r="H1030" s="12"/>
    </row>
    <row r="1031" spans="1:8">
      <c r="A1031" s="327"/>
      <c r="B1031" s="331"/>
      <c r="C1031" s="331"/>
      <c r="D1031" s="331"/>
      <c r="E1031" s="384"/>
      <c r="F1031" s="284"/>
      <c r="G1031" s="1068"/>
      <c r="H1031" s="12"/>
    </row>
    <row r="1032" spans="1:8">
      <c r="A1032" s="327"/>
      <c r="B1032" s="331"/>
      <c r="C1032" s="331"/>
      <c r="D1032" s="331"/>
      <c r="E1032" s="384"/>
      <c r="F1032" s="284"/>
      <c r="G1032" s="1068"/>
      <c r="H1032" s="12"/>
    </row>
    <row r="1033" spans="1:8">
      <c r="A1033" s="327"/>
      <c r="B1033" s="331"/>
      <c r="C1033" s="331"/>
      <c r="D1033" s="331"/>
      <c r="E1033" s="384"/>
      <c r="F1033" s="284"/>
      <c r="G1033" s="1068"/>
      <c r="H1033" s="12"/>
    </row>
    <row r="1034" spans="1:8">
      <c r="A1034" s="327"/>
      <c r="B1034" s="331"/>
      <c r="C1034" s="331"/>
      <c r="D1034" s="331"/>
      <c r="E1034" s="384"/>
      <c r="F1034" s="284"/>
      <c r="G1034" s="1068"/>
      <c r="H1034" s="12"/>
    </row>
    <row r="1035" spans="1:8">
      <c r="A1035" s="327"/>
      <c r="B1035" s="331"/>
      <c r="C1035" s="331"/>
      <c r="D1035" s="331"/>
      <c r="E1035" s="384"/>
      <c r="F1035" s="284"/>
      <c r="G1035" s="1068"/>
      <c r="H1035" s="12"/>
    </row>
    <row r="1036" spans="1:8">
      <c r="A1036" s="327"/>
      <c r="B1036" s="331"/>
      <c r="C1036" s="331"/>
      <c r="D1036" s="331"/>
      <c r="E1036" s="384"/>
      <c r="F1036" s="284"/>
      <c r="G1036" s="1068"/>
      <c r="H1036" s="12"/>
    </row>
    <row r="1037" spans="1:8">
      <c r="A1037" s="327"/>
      <c r="B1037" s="331"/>
      <c r="C1037" s="331"/>
      <c r="D1037" s="331"/>
      <c r="E1037" s="384"/>
      <c r="F1037" s="284"/>
      <c r="G1037" s="1068"/>
      <c r="H1037" s="12"/>
    </row>
    <row r="1038" spans="1:8">
      <c r="A1038" s="327"/>
      <c r="B1038" s="331"/>
      <c r="C1038" s="331"/>
      <c r="D1038" s="331"/>
      <c r="E1038" s="384"/>
      <c r="F1038" s="284"/>
      <c r="G1038" s="1068"/>
      <c r="H1038" s="12"/>
    </row>
    <row r="1039" spans="1:8">
      <c r="A1039" s="327"/>
      <c r="B1039" s="331"/>
      <c r="C1039" s="331"/>
      <c r="D1039" s="331"/>
      <c r="E1039" s="384"/>
      <c r="F1039" s="284"/>
      <c r="G1039" s="1068"/>
      <c r="H1039" s="12"/>
    </row>
    <row r="1040" spans="1:8">
      <c r="A1040" s="327"/>
      <c r="B1040" s="331"/>
      <c r="C1040" s="331"/>
      <c r="D1040" s="331"/>
      <c r="E1040" s="384"/>
      <c r="F1040" s="284"/>
      <c r="G1040" s="1068"/>
      <c r="H1040" s="12"/>
    </row>
    <row r="1041" spans="1:8">
      <c r="A1041" s="327"/>
      <c r="B1041" s="331"/>
      <c r="C1041" s="331"/>
      <c r="D1041" s="331"/>
      <c r="E1041" s="384"/>
      <c r="F1041" s="284"/>
      <c r="G1041" s="1068"/>
      <c r="H1041" s="12"/>
    </row>
    <row r="1042" spans="1:8">
      <c r="A1042" s="327"/>
      <c r="B1042" s="331"/>
      <c r="C1042" s="331"/>
      <c r="D1042" s="331"/>
      <c r="E1042" s="384"/>
      <c r="F1042" s="284"/>
      <c r="G1042" s="1068"/>
      <c r="H1042" s="12"/>
    </row>
    <row r="1043" spans="1:8">
      <c r="A1043" s="327"/>
      <c r="B1043" s="331"/>
      <c r="C1043" s="331"/>
      <c r="D1043" s="331"/>
      <c r="E1043" s="384"/>
      <c r="F1043" s="284"/>
      <c r="G1043" s="1068"/>
      <c r="H1043" s="12"/>
    </row>
    <row r="1044" spans="1:8">
      <c r="A1044" s="327"/>
      <c r="B1044" s="331"/>
      <c r="C1044" s="331"/>
      <c r="D1044" s="331"/>
      <c r="E1044" s="384"/>
      <c r="F1044" s="284"/>
      <c r="G1044" s="1068"/>
      <c r="H1044" s="12"/>
    </row>
    <row r="1045" spans="1:8">
      <c r="A1045" s="327"/>
      <c r="B1045" s="331"/>
      <c r="C1045" s="331"/>
      <c r="D1045" s="331"/>
      <c r="E1045" s="384"/>
      <c r="F1045" s="284"/>
      <c r="G1045" s="1068"/>
      <c r="H1045" s="12"/>
    </row>
    <row r="1046" spans="1:8">
      <c r="A1046" s="327"/>
      <c r="B1046" s="331"/>
      <c r="C1046" s="331"/>
      <c r="D1046" s="331"/>
      <c r="E1046" s="384"/>
      <c r="F1046" s="284"/>
      <c r="G1046" s="1068"/>
      <c r="H1046" s="12"/>
    </row>
    <row r="1047" spans="1:8">
      <c r="A1047" s="327"/>
      <c r="B1047" s="331"/>
      <c r="C1047" s="331"/>
      <c r="D1047" s="331"/>
      <c r="E1047" s="384"/>
      <c r="F1047" s="284"/>
      <c r="G1047" s="1068"/>
      <c r="H1047" s="12"/>
    </row>
    <row r="1048" spans="1:8">
      <c r="A1048" s="327"/>
      <c r="B1048" s="331"/>
      <c r="C1048" s="331"/>
      <c r="D1048" s="331"/>
      <c r="E1048" s="384"/>
      <c r="F1048" s="284"/>
      <c r="G1048" s="1068"/>
      <c r="H1048" s="12"/>
    </row>
    <row r="1049" spans="1:8">
      <c r="A1049" s="327"/>
      <c r="B1049" s="331"/>
      <c r="C1049" s="331"/>
      <c r="D1049" s="331"/>
      <c r="E1049" s="384"/>
      <c r="F1049" s="284"/>
      <c r="G1049" s="1068"/>
      <c r="H1049" s="12"/>
    </row>
    <row r="1050" spans="1:8">
      <c r="A1050" s="327"/>
      <c r="B1050" s="331"/>
      <c r="C1050" s="331"/>
      <c r="D1050" s="331"/>
      <c r="E1050" s="384"/>
      <c r="F1050" s="284"/>
      <c r="G1050" s="1068"/>
      <c r="H1050" s="12"/>
    </row>
    <row r="1051" spans="1:8">
      <c r="A1051" s="327"/>
      <c r="B1051" s="331"/>
      <c r="C1051" s="331"/>
      <c r="D1051" s="331"/>
      <c r="E1051" s="384"/>
      <c r="F1051" s="284"/>
      <c r="G1051" s="1068"/>
      <c r="H1051" s="12"/>
    </row>
    <row r="1052" spans="1:8">
      <c r="A1052" s="327"/>
      <c r="B1052" s="331"/>
      <c r="C1052" s="331"/>
      <c r="D1052" s="331"/>
      <c r="E1052" s="384"/>
      <c r="F1052" s="284"/>
      <c r="G1052" s="1068"/>
      <c r="H1052" s="12"/>
    </row>
    <row r="1053" spans="1:8">
      <c r="A1053" s="327"/>
      <c r="B1053" s="331"/>
      <c r="C1053" s="331"/>
      <c r="D1053" s="331"/>
      <c r="E1053" s="384"/>
      <c r="F1053" s="284"/>
      <c r="G1053" s="1068"/>
      <c r="H1053" s="12"/>
    </row>
    <row r="1054" spans="1:8">
      <c r="A1054" s="327"/>
      <c r="B1054" s="331"/>
      <c r="C1054" s="331"/>
      <c r="D1054" s="331"/>
      <c r="E1054" s="384"/>
      <c r="F1054" s="284"/>
      <c r="G1054" s="1068"/>
      <c r="H1054" s="12"/>
    </row>
    <row r="1055" spans="1:8">
      <c r="A1055" s="327"/>
      <c r="B1055" s="331"/>
      <c r="C1055" s="331"/>
      <c r="D1055" s="331"/>
      <c r="E1055" s="384"/>
      <c r="F1055" s="284"/>
      <c r="G1055" s="1068"/>
      <c r="H1055" s="12"/>
    </row>
    <row r="1056" spans="1:8">
      <c r="A1056" s="327"/>
      <c r="B1056" s="331"/>
      <c r="C1056" s="331"/>
      <c r="D1056" s="331"/>
      <c r="E1056" s="384"/>
      <c r="F1056" s="284"/>
      <c r="G1056" s="1068"/>
      <c r="H1056" s="12"/>
    </row>
    <row r="1057" spans="1:8">
      <c r="A1057" s="327"/>
      <c r="B1057" s="331"/>
      <c r="C1057" s="331"/>
      <c r="D1057" s="331"/>
      <c r="E1057" s="384"/>
      <c r="F1057" s="284"/>
      <c r="G1057" s="1068"/>
      <c r="H1057" s="12"/>
    </row>
    <row r="1058" spans="1:8">
      <c r="A1058" s="327"/>
      <c r="B1058" s="331"/>
      <c r="C1058" s="331"/>
      <c r="D1058" s="331"/>
      <c r="E1058" s="384"/>
      <c r="F1058" s="284"/>
      <c r="G1058" s="1068"/>
      <c r="H1058" s="12"/>
    </row>
    <row r="1059" spans="1:8">
      <c r="A1059" s="327"/>
      <c r="B1059" s="331"/>
      <c r="C1059" s="331"/>
      <c r="D1059" s="331"/>
      <c r="E1059" s="384"/>
      <c r="F1059" s="284"/>
      <c r="G1059" s="1068"/>
      <c r="H1059" s="12"/>
    </row>
    <row r="1060" spans="1:8">
      <c r="A1060" s="327"/>
      <c r="B1060" s="331"/>
      <c r="C1060" s="331"/>
      <c r="D1060" s="331"/>
      <c r="E1060" s="384"/>
      <c r="F1060" s="284"/>
      <c r="G1060" s="1068"/>
      <c r="H1060" s="12"/>
    </row>
    <row r="1061" spans="1:8">
      <c r="A1061" s="327"/>
      <c r="B1061" s="331"/>
      <c r="C1061" s="331"/>
      <c r="D1061" s="331"/>
      <c r="E1061" s="384"/>
      <c r="F1061" s="284"/>
      <c r="G1061" s="1068"/>
      <c r="H1061" s="12"/>
    </row>
    <row r="1062" spans="1:8">
      <c r="A1062" s="327"/>
      <c r="B1062" s="331"/>
      <c r="C1062" s="331"/>
      <c r="D1062" s="331"/>
      <c r="E1062" s="384"/>
      <c r="F1062" s="284"/>
      <c r="G1062" s="1068"/>
      <c r="H1062" s="12"/>
    </row>
    <row r="1063" spans="1:8">
      <c r="A1063" s="327"/>
      <c r="B1063" s="331"/>
      <c r="C1063" s="331"/>
      <c r="D1063" s="331"/>
      <c r="E1063" s="384"/>
      <c r="F1063" s="284"/>
      <c r="G1063" s="1068"/>
      <c r="H1063" s="12"/>
    </row>
    <row r="1064" spans="1:8">
      <c r="A1064" s="327"/>
      <c r="B1064" s="331"/>
      <c r="C1064" s="331"/>
      <c r="D1064" s="331"/>
      <c r="E1064" s="384"/>
      <c r="F1064" s="284"/>
      <c r="G1064" s="1068"/>
      <c r="H1064" s="12"/>
    </row>
    <row r="1065" spans="1:8">
      <c r="A1065" s="327"/>
      <c r="B1065" s="331"/>
      <c r="C1065" s="331"/>
      <c r="D1065" s="331"/>
      <c r="E1065" s="384"/>
      <c r="F1065" s="284"/>
      <c r="G1065" s="1068"/>
      <c r="H1065" s="12"/>
    </row>
    <row r="1066" spans="1:8">
      <c r="A1066" s="327"/>
      <c r="B1066" s="331"/>
      <c r="C1066" s="331"/>
      <c r="D1066" s="331"/>
      <c r="E1066" s="384"/>
      <c r="F1066" s="284"/>
      <c r="G1066" s="1068"/>
      <c r="H1066" s="12"/>
    </row>
    <row r="1067" spans="1:8">
      <c r="A1067" s="327"/>
      <c r="B1067" s="331"/>
      <c r="C1067" s="331"/>
      <c r="D1067" s="331"/>
      <c r="E1067" s="384"/>
      <c r="F1067" s="284"/>
      <c r="G1067" s="1068"/>
      <c r="H1067" s="12"/>
    </row>
    <row r="1068" spans="1:8">
      <c r="A1068" s="327"/>
      <c r="B1068" s="331"/>
      <c r="C1068" s="331"/>
      <c r="D1068" s="331"/>
      <c r="E1068" s="384"/>
      <c r="F1068" s="284"/>
      <c r="G1068" s="1068"/>
      <c r="H1068" s="12"/>
    </row>
    <row r="1069" spans="1:8">
      <c r="A1069" s="327"/>
      <c r="B1069" s="331"/>
      <c r="C1069" s="331"/>
      <c r="D1069" s="331"/>
      <c r="E1069" s="384"/>
      <c r="F1069" s="284"/>
      <c r="G1069" s="1068"/>
      <c r="H1069" s="12"/>
    </row>
    <row r="1070" spans="1:8">
      <c r="A1070" s="327"/>
      <c r="B1070" s="331"/>
      <c r="C1070" s="331"/>
      <c r="D1070" s="331"/>
      <c r="E1070" s="384"/>
      <c r="F1070" s="284"/>
      <c r="G1070" s="1068"/>
      <c r="H1070" s="12"/>
    </row>
    <row r="1071" spans="1:8">
      <c r="A1071" s="327"/>
      <c r="B1071" s="331"/>
      <c r="C1071" s="331"/>
      <c r="D1071" s="331"/>
      <c r="E1071" s="384"/>
      <c r="F1071" s="284"/>
      <c r="G1071" s="1068"/>
      <c r="H1071" s="12"/>
    </row>
    <row r="1072" spans="1:8">
      <c r="A1072" s="327"/>
      <c r="B1072" s="331"/>
      <c r="C1072" s="331"/>
      <c r="D1072" s="331"/>
      <c r="E1072" s="384"/>
      <c r="F1072" s="284"/>
      <c r="G1072" s="1068"/>
      <c r="H1072" s="12"/>
    </row>
    <row r="1073" spans="1:8">
      <c r="A1073" s="327"/>
      <c r="B1073" s="331"/>
      <c r="C1073" s="331"/>
      <c r="D1073" s="331"/>
      <c r="E1073" s="384"/>
      <c r="F1073" s="284"/>
      <c r="G1073" s="1068"/>
      <c r="H1073" s="12"/>
    </row>
    <row r="1074" spans="1:8">
      <c r="A1074" s="327"/>
      <c r="B1074" s="331"/>
      <c r="C1074" s="331"/>
      <c r="D1074" s="331"/>
      <c r="E1074" s="384"/>
      <c r="F1074" s="284"/>
      <c r="G1074" s="1068"/>
      <c r="H1074" s="12"/>
    </row>
    <row r="1075" spans="1:8">
      <c r="A1075" s="327"/>
      <c r="B1075" s="331"/>
      <c r="C1075" s="331"/>
      <c r="D1075" s="331"/>
      <c r="E1075" s="384"/>
      <c r="F1075" s="284"/>
      <c r="G1075" s="1068"/>
      <c r="H1075" s="12"/>
    </row>
    <row r="1076" spans="1:8">
      <c r="A1076" s="327"/>
      <c r="B1076" s="331"/>
      <c r="C1076" s="331"/>
      <c r="D1076" s="331"/>
      <c r="E1076" s="384"/>
      <c r="F1076" s="284"/>
      <c r="G1076" s="1068"/>
      <c r="H1076" s="12"/>
    </row>
    <row r="1077" spans="1:8">
      <c r="A1077" s="327"/>
      <c r="B1077" s="331"/>
      <c r="C1077" s="331"/>
      <c r="D1077" s="331"/>
      <c r="E1077" s="384"/>
      <c r="F1077" s="284"/>
      <c r="G1077" s="1068"/>
      <c r="H1077" s="12"/>
    </row>
    <row r="1078" spans="1:8">
      <c r="A1078" s="327"/>
      <c r="B1078" s="331"/>
      <c r="C1078" s="331"/>
      <c r="D1078" s="331"/>
      <c r="E1078" s="384"/>
      <c r="F1078" s="284"/>
      <c r="G1078" s="1068"/>
      <c r="H1078" s="12"/>
    </row>
    <row r="1079" spans="1:8">
      <c r="A1079" s="327"/>
      <c r="B1079" s="331"/>
      <c r="C1079" s="331"/>
      <c r="D1079" s="331"/>
      <c r="E1079" s="384"/>
      <c r="F1079" s="284"/>
      <c r="G1079" s="1068"/>
      <c r="H1079" s="12"/>
    </row>
    <row r="1080" spans="1:8">
      <c r="A1080" s="327"/>
      <c r="B1080" s="331"/>
      <c r="C1080" s="331"/>
      <c r="D1080" s="331"/>
      <c r="E1080" s="384"/>
      <c r="F1080" s="284"/>
      <c r="G1080" s="1068"/>
      <c r="H1080" s="12"/>
    </row>
    <row r="1081" spans="1:8">
      <c r="A1081" s="327"/>
      <c r="B1081" s="331"/>
      <c r="C1081" s="331"/>
      <c r="D1081" s="331"/>
      <c r="E1081" s="384"/>
      <c r="F1081" s="284"/>
      <c r="G1081" s="1068"/>
      <c r="H1081" s="12"/>
    </row>
    <row r="1082" spans="1:8">
      <c r="A1082" s="327"/>
      <c r="B1082" s="331"/>
      <c r="C1082" s="331"/>
      <c r="D1082" s="331"/>
      <c r="E1082" s="384"/>
      <c r="F1082" s="284"/>
      <c r="G1082" s="1068"/>
      <c r="H1082" s="12"/>
    </row>
    <row r="1083" spans="1:8">
      <c r="A1083" s="327"/>
      <c r="B1083" s="331"/>
      <c r="C1083" s="331"/>
      <c r="D1083" s="331"/>
      <c r="E1083" s="384"/>
      <c r="F1083" s="284"/>
      <c r="G1083" s="1068"/>
      <c r="H1083" s="12"/>
    </row>
    <row r="1084" spans="1:8">
      <c r="A1084" s="327"/>
      <c r="B1084" s="331"/>
      <c r="C1084" s="331"/>
      <c r="D1084" s="331"/>
      <c r="E1084" s="384"/>
      <c r="F1084" s="284"/>
      <c r="G1084" s="1068"/>
      <c r="H1084" s="12"/>
    </row>
    <row r="1085" spans="1:8">
      <c r="A1085" s="327"/>
      <c r="B1085" s="331"/>
      <c r="C1085" s="331"/>
      <c r="D1085" s="331"/>
      <c r="E1085" s="384"/>
      <c r="F1085" s="284"/>
      <c r="G1085" s="1068"/>
      <c r="H1085" s="12"/>
    </row>
    <row r="1086" spans="1:8">
      <c r="A1086" s="327"/>
      <c r="B1086" s="331"/>
      <c r="C1086" s="331"/>
      <c r="D1086" s="331"/>
      <c r="E1086" s="384"/>
      <c r="F1086" s="284"/>
      <c r="G1086" s="1068"/>
      <c r="H1086" s="12"/>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70" zoomScaleNormal="70" workbookViewId="0">
      <selection activeCell="G45" sqref="G45"/>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A1" s="923"/>
      <c r="B1" s="923"/>
      <c r="C1" s="923"/>
      <c r="D1" s="923"/>
      <c r="E1" s="923"/>
      <c r="F1" s="650" t="str">
        <f>+'Appendix A'!A3</f>
        <v>Dayton Power and Light</v>
      </c>
      <c r="G1" s="923"/>
      <c r="H1" s="923"/>
      <c r="I1" s="923"/>
      <c r="J1" s="923"/>
      <c r="K1" s="923"/>
      <c r="L1" s="923"/>
      <c r="M1" s="923"/>
      <c r="N1" s="923"/>
      <c r="O1" s="923"/>
      <c r="P1" s="923"/>
      <c r="Q1" s="923"/>
      <c r="R1" s="923"/>
      <c r="S1" s="923"/>
    </row>
    <row r="2" spans="1:19" ht="20.25">
      <c r="A2" s="923"/>
      <c r="B2" s="923"/>
      <c r="C2" s="923"/>
      <c r="D2" s="923"/>
      <c r="E2" s="923"/>
      <c r="F2" s="650" t="str">
        <f>+'Appendix A'!A4</f>
        <v xml:space="preserve">ATTACHMENT H-15A </v>
      </c>
      <c r="G2" s="923"/>
      <c r="H2" s="923"/>
      <c r="I2" s="923"/>
      <c r="J2" s="923"/>
      <c r="K2" s="923"/>
      <c r="L2" s="923"/>
      <c r="M2" s="923"/>
      <c r="N2" s="923"/>
      <c r="O2" s="923"/>
      <c r="P2" s="923"/>
      <c r="Q2" s="923"/>
      <c r="R2" s="923"/>
      <c r="S2" s="878"/>
    </row>
    <row r="3" spans="1:19" ht="20.25">
      <c r="A3" s="923"/>
      <c r="B3" s="923"/>
      <c r="C3" s="923"/>
      <c r="D3" s="923"/>
      <c r="E3" s="923"/>
      <c r="F3" s="651"/>
      <c r="G3" s="923"/>
      <c r="H3" s="923"/>
      <c r="I3" s="923"/>
      <c r="J3" s="923"/>
      <c r="K3" s="923"/>
      <c r="L3" s="923"/>
      <c r="M3" s="923"/>
      <c r="N3" s="923"/>
      <c r="O3" s="923"/>
      <c r="P3" s="923"/>
      <c r="Q3" s="923"/>
      <c r="R3" s="923"/>
      <c r="S3" s="923"/>
    </row>
    <row r="4" spans="1:19" ht="20.25">
      <c r="A4" s="923"/>
      <c r="B4" s="923"/>
      <c r="C4" s="923"/>
      <c r="D4" s="923"/>
      <c r="E4" s="923"/>
      <c r="F4" s="650" t="s">
        <v>710</v>
      </c>
      <c r="G4" s="923"/>
      <c r="H4" s="923"/>
      <c r="I4" s="923"/>
      <c r="J4" s="923"/>
      <c r="K4" s="923"/>
      <c r="L4" s="923"/>
      <c r="M4" s="923"/>
      <c r="N4" s="923"/>
      <c r="O4" s="923"/>
      <c r="P4" s="923"/>
      <c r="Q4" s="923"/>
      <c r="R4" s="923"/>
      <c r="S4" s="923"/>
    </row>
    <row r="5" spans="1:19" ht="15">
      <c r="A5" s="214" t="s">
        <v>417</v>
      </c>
      <c r="B5" s="923"/>
      <c r="C5" s="923"/>
      <c r="D5" s="923"/>
      <c r="E5" s="923"/>
      <c r="F5" s="923"/>
      <c r="G5" s="923"/>
      <c r="H5" s="923"/>
      <c r="I5" s="923"/>
      <c r="J5" s="923"/>
      <c r="K5" s="923"/>
      <c r="L5" s="923"/>
      <c r="M5" s="923"/>
      <c r="N5" s="923"/>
      <c r="O5" s="923"/>
      <c r="P5" s="923"/>
      <c r="Q5" s="923"/>
      <c r="R5" s="923"/>
      <c r="S5" s="923"/>
    </row>
    <row r="6" spans="1:19" ht="13.5" thickBot="1">
      <c r="A6" s="923"/>
      <c r="B6" s="923"/>
      <c r="C6" s="923"/>
      <c r="D6" s="923"/>
      <c r="E6" s="923"/>
      <c r="F6" s="923"/>
      <c r="G6" s="923"/>
      <c r="H6" s="923"/>
      <c r="I6" s="923"/>
      <c r="J6" s="923"/>
      <c r="K6" s="923"/>
      <c r="L6" s="923"/>
      <c r="M6" s="923"/>
      <c r="N6" s="923"/>
      <c r="O6" s="923"/>
      <c r="P6" s="923"/>
      <c r="Q6" s="923"/>
      <c r="R6" s="923"/>
      <c r="S6" s="923"/>
    </row>
    <row r="7" spans="1:19" ht="16.5" thickBot="1">
      <c r="A7" s="98"/>
      <c r="B7" s="99"/>
      <c r="C7" s="529"/>
      <c r="D7" s="100"/>
      <c r="E7" s="101"/>
      <c r="F7" s="271" t="s">
        <v>502</v>
      </c>
      <c r="G7" s="1204" t="s">
        <v>711</v>
      </c>
      <c r="H7" s="1204"/>
      <c r="I7" s="1204"/>
      <c r="J7" s="1204"/>
      <c r="K7" s="1204"/>
      <c r="L7" s="1204"/>
      <c r="M7" s="1204"/>
      <c r="N7" s="1204"/>
      <c r="O7" s="1204"/>
      <c r="P7" s="1204"/>
      <c r="Q7" s="1204"/>
      <c r="R7" s="1205"/>
      <c r="S7" s="89"/>
    </row>
    <row r="8" spans="1:19" ht="16.5" thickBot="1">
      <c r="A8" s="164" t="s">
        <v>503</v>
      </c>
      <c r="B8" s="165" t="s">
        <v>504</v>
      </c>
      <c r="C8" s="165"/>
      <c r="D8" s="165"/>
      <c r="E8" s="1084" t="s">
        <v>4</v>
      </c>
      <c r="F8" s="737" t="s">
        <v>712</v>
      </c>
      <c r="G8" s="104" t="s">
        <v>508</v>
      </c>
      <c r="H8" s="104" t="s">
        <v>509</v>
      </c>
      <c r="I8" s="104" t="s">
        <v>510</v>
      </c>
      <c r="J8" s="104" t="s">
        <v>511</v>
      </c>
      <c r="K8" s="104" t="s">
        <v>379</v>
      </c>
      <c r="L8" s="104" t="s">
        <v>512</v>
      </c>
      <c r="M8" s="104" t="s">
        <v>513</v>
      </c>
      <c r="N8" s="104" t="s">
        <v>514</v>
      </c>
      <c r="O8" s="104" t="s">
        <v>515</v>
      </c>
      <c r="P8" s="104" t="s">
        <v>516</v>
      </c>
      <c r="Q8" s="104" t="s">
        <v>517</v>
      </c>
      <c r="R8" s="104" t="s">
        <v>713</v>
      </c>
      <c r="S8" s="919" t="s">
        <v>519</v>
      </c>
    </row>
    <row r="9" spans="1:19" ht="15.75">
      <c r="A9" s="106"/>
      <c r="B9" s="107" t="s">
        <v>714</v>
      </c>
      <c r="C9" s="108"/>
      <c r="D9" s="109"/>
      <c r="E9" s="110"/>
      <c r="F9" s="1135"/>
      <c r="G9" s="1136"/>
      <c r="H9" s="1136"/>
      <c r="I9" s="1136"/>
      <c r="J9" s="1136"/>
      <c r="K9" s="1136"/>
      <c r="L9" s="1136"/>
      <c r="M9" s="1136"/>
      <c r="N9" s="1136"/>
      <c r="O9" s="1136"/>
      <c r="P9" s="1136"/>
      <c r="Q9" s="1136"/>
      <c r="R9" s="1136"/>
      <c r="S9" s="266"/>
    </row>
    <row r="10" spans="1:19" ht="15.75">
      <c r="A10" s="112">
        <v>1</v>
      </c>
      <c r="B10" s="113"/>
      <c r="C10" s="1000" t="s">
        <v>715</v>
      </c>
      <c r="D10" s="529"/>
      <c r="E10" s="88" t="s">
        <v>716</v>
      </c>
      <c r="F10" s="1137">
        <v>0</v>
      </c>
      <c r="G10" s="1137">
        <v>0</v>
      </c>
      <c r="H10" s="1137">
        <v>0</v>
      </c>
      <c r="I10" s="1137">
        <v>0</v>
      </c>
      <c r="J10" s="1137">
        <v>0</v>
      </c>
      <c r="K10" s="1137">
        <v>0</v>
      </c>
      <c r="L10" s="1137">
        <v>0</v>
      </c>
      <c r="M10" s="1137">
        <v>0</v>
      </c>
      <c r="N10" s="1137">
        <v>0</v>
      </c>
      <c r="O10" s="1137">
        <v>0</v>
      </c>
      <c r="P10" s="1137">
        <v>0</v>
      </c>
      <c r="Q10" s="1137">
        <v>0</v>
      </c>
      <c r="R10" s="1137">
        <v>0</v>
      </c>
      <c r="S10" s="889">
        <f>AVERAGE(F10:R10)</f>
        <v>0</v>
      </c>
    </row>
    <row r="11" spans="1:19" ht="15.75">
      <c r="A11" s="112">
        <f>+A10+1</f>
        <v>2</v>
      </c>
      <c r="B11" s="113"/>
      <c r="C11" s="1000" t="s">
        <v>717</v>
      </c>
      <c r="D11" s="529"/>
      <c r="E11" s="88" t="s">
        <v>716</v>
      </c>
      <c r="F11" s="1137">
        <v>10301089.83</v>
      </c>
      <c r="G11" s="1137">
        <v>10509389.491540194</v>
      </c>
      <c r="H11" s="1137">
        <v>10731210.359180365</v>
      </c>
      <c r="I11" s="1137">
        <v>11025022.513352849</v>
      </c>
      <c r="J11" s="1137">
        <v>11301293.643395633</v>
      </c>
      <c r="K11" s="1137">
        <v>11585238.971495159</v>
      </c>
      <c r="L11" s="1137">
        <v>0</v>
      </c>
      <c r="M11" s="1137">
        <v>0</v>
      </c>
      <c r="N11" s="1137">
        <v>0</v>
      </c>
      <c r="O11" s="1137">
        <v>0</v>
      </c>
      <c r="P11" s="1137">
        <v>0</v>
      </c>
      <c r="Q11" s="1137">
        <v>0</v>
      </c>
      <c r="R11" s="1137">
        <v>0</v>
      </c>
      <c r="S11" s="889">
        <f t="shared" ref="S11:S17" si="0">AVERAGE(F11:R11)</f>
        <v>5034864.9853049386</v>
      </c>
    </row>
    <row r="12" spans="1:19" ht="15.75">
      <c r="A12" s="112">
        <f t="shared" ref="A12:A15" si="1">+A11+1</f>
        <v>3</v>
      </c>
      <c r="B12" s="113"/>
      <c r="C12" s="1000" t="s">
        <v>718</v>
      </c>
      <c r="D12" s="529"/>
      <c r="E12" s="88" t="s">
        <v>716</v>
      </c>
      <c r="F12" s="1137">
        <v>7759033.7400000002</v>
      </c>
      <c r="G12" s="1137">
        <v>8623540.8753749151</v>
      </c>
      <c r="H12" s="1137">
        <v>9544165.1405899562</v>
      </c>
      <c r="I12" s="1137">
        <v>10763575.205224048</v>
      </c>
      <c r="J12" s="1137">
        <v>11910184.668984463</v>
      </c>
      <c r="K12" s="1137">
        <v>13088644.395627111</v>
      </c>
      <c r="L12" s="1137">
        <v>0</v>
      </c>
      <c r="M12" s="1137">
        <v>0</v>
      </c>
      <c r="N12" s="1137">
        <v>0</v>
      </c>
      <c r="O12" s="1137">
        <v>0</v>
      </c>
      <c r="P12" s="1137">
        <v>0</v>
      </c>
      <c r="Q12" s="1137">
        <v>0</v>
      </c>
      <c r="R12" s="1137">
        <v>0</v>
      </c>
      <c r="S12" s="889">
        <f t="shared" si="0"/>
        <v>4745318.771215423</v>
      </c>
    </row>
    <row r="13" spans="1:19" ht="15">
      <c r="A13" s="112">
        <f t="shared" si="1"/>
        <v>4</v>
      </c>
      <c r="B13" s="89"/>
      <c r="C13" s="1001" t="s">
        <v>719</v>
      </c>
      <c r="D13" s="529"/>
      <c r="E13" s="88" t="s">
        <v>716</v>
      </c>
      <c r="F13" s="1137">
        <v>0</v>
      </c>
      <c r="G13" s="1137">
        <v>0</v>
      </c>
      <c r="H13" s="1137">
        <v>0</v>
      </c>
      <c r="I13" s="1137">
        <v>0</v>
      </c>
      <c r="J13" s="1137">
        <v>0</v>
      </c>
      <c r="K13" s="1137">
        <v>0</v>
      </c>
      <c r="L13" s="1137">
        <v>0</v>
      </c>
      <c r="M13" s="1137">
        <v>0</v>
      </c>
      <c r="N13" s="1137">
        <v>0</v>
      </c>
      <c r="O13" s="1137">
        <v>0</v>
      </c>
      <c r="P13" s="1137">
        <v>0</v>
      </c>
      <c r="Q13" s="1137">
        <v>0</v>
      </c>
      <c r="R13" s="1137">
        <v>0</v>
      </c>
      <c r="S13" s="889">
        <f t="shared" si="0"/>
        <v>0</v>
      </c>
    </row>
    <row r="14" spans="1:19" ht="15">
      <c r="A14" s="112">
        <f t="shared" si="1"/>
        <v>5</v>
      </c>
      <c r="B14" s="100"/>
      <c r="C14" s="1001" t="s">
        <v>720</v>
      </c>
      <c r="D14" s="529"/>
      <c r="E14" s="88" t="s">
        <v>716</v>
      </c>
      <c r="F14" s="1137">
        <v>0</v>
      </c>
      <c r="G14" s="1137">
        <v>0</v>
      </c>
      <c r="H14" s="1137">
        <v>0</v>
      </c>
      <c r="I14" s="1137">
        <v>0</v>
      </c>
      <c r="J14" s="1137">
        <v>0</v>
      </c>
      <c r="K14" s="1137">
        <v>0</v>
      </c>
      <c r="L14" s="1137">
        <v>0</v>
      </c>
      <c r="M14" s="1137">
        <v>0</v>
      </c>
      <c r="N14" s="1137">
        <v>0</v>
      </c>
      <c r="O14" s="1137">
        <v>0</v>
      </c>
      <c r="P14" s="1137">
        <v>0</v>
      </c>
      <c r="Q14" s="1137">
        <v>0</v>
      </c>
      <c r="R14" s="1137">
        <v>0</v>
      </c>
      <c r="S14" s="889">
        <f t="shared" si="0"/>
        <v>0</v>
      </c>
    </row>
    <row r="15" spans="1:19" ht="15">
      <c r="A15" s="112">
        <f t="shared" si="1"/>
        <v>6</v>
      </c>
      <c r="B15" s="91"/>
      <c r="C15" s="1001" t="s">
        <v>721</v>
      </c>
      <c r="D15" s="529"/>
      <c r="E15" s="88" t="s">
        <v>716</v>
      </c>
      <c r="F15" s="1137">
        <v>0</v>
      </c>
      <c r="G15" s="1137">
        <v>0</v>
      </c>
      <c r="H15" s="1137">
        <v>0</v>
      </c>
      <c r="I15" s="1137">
        <v>0</v>
      </c>
      <c r="J15" s="1137">
        <v>0</v>
      </c>
      <c r="K15" s="1137">
        <v>0</v>
      </c>
      <c r="L15" s="1137">
        <v>0</v>
      </c>
      <c r="M15" s="1137">
        <v>0</v>
      </c>
      <c r="N15" s="1137">
        <v>0</v>
      </c>
      <c r="O15" s="1137">
        <v>0</v>
      </c>
      <c r="P15" s="1137">
        <v>0</v>
      </c>
      <c r="Q15" s="1137">
        <v>0</v>
      </c>
      <c r="R15" s="1137">
        <v>0</v>
      </c>
      <c r="S15" s="889">
        <f t="shared" si="0"/>
        <v>0</v>
      </c>
    </row>
    <row r="16" spans="1:19" ht="15.75">
      <c r="A16" s="112">
        <f>+A15+1</f>
        <v>7</v>
      </c>
      <c r="B16" s="113"/>
      <c r="C16" s="1000" t="s">
        <v>722</v>
      </c>
      <c r="D16" s="529"/>
      <c r="E16" s="88" t="s">
        <v>716</v>
      </c>
      <c r="F16" s="1137">
        <v>0</v>
      </c>
      <c r="G16" s="1137">
        <v>0</v>
      </c>
      <c r="H16" s="1137">
        <v>0</v>
      </c>
      <c r="I16" s="1137">
        <v>0</v>
      </c>
      <c r="J16" s="1137">
        <v>0</v>
      </c>
      <c r="K16" s="1137">
        <v>0</v>
      </c>
      <c r="L16" s="1137">
        <v>0</v>
      </c>
      <c r="M16" s="1137">
        <v>0</v>
      </c>
      <c r="N16" s="1137">
        <v>0</v>
      </c>
      <c r="O16" s="1137">
        <v>0</v>
      </c>
      <c r="P16" s="1137">
        <v>0</v>
      </c>
      <c r="Q16" s="1137">
        <v>0</v>
      </c>
      <c r="R16" s="1137">
        <v>0</v>
      </c>
      <c r="S16" s="889">
        <f t="shared" si="0"/>
        <v>0</v>
      </c>
    </row>
    <row r="17" spans="1:19" ht="15.75">
      <c r="A17" s="112">
        <f>+A16+1</f>
        <v>8</v>
      </c>
      <c r="B17" s="113"/>
      <c r="C17" s="1000" t="s">
        <v>723</v>
      </c>
      <c r="D17" s="529"/>
      <c r="E17" s="88" t="s">
        <v>716</v>
      </c>
      <c r="F17" s="1137">
        <v>0</v>
      </c>
      <c r="G17" s="1137">
        <v>0</v>
      </c>
      <c r="H17" s="1137">
        <v>0</v>
      </c>
      <c r="I17" s="1137">
        <v>0</v>
      </c>
      <c r="J17" s="1137">
        <v>0</v>
      </c>
      <c r="K17" s="1137">
        <v>0</v>
      </c>
      <c r="L17" s="1137">
        <v>0</v>
      </c>
      <c r="M17" s="1137">
        <v>0</v>
      </c>
      <c r="N17" s="1137">
        <v>0</v>
      </c>
      <c r="O17" s="1137">
        <v>0</v>
      </c>
      <c r="P17" s="1137">
        <v>0</v>
      </c>
      <c r="Q17" s="1137">
        <v>0</v>
      </c>
      <c r="R17" s="1137">
        <v>0</v>
      </c>
      <c r="S17" s="889">
        <f t="shared" si="0"/>
        <v>0</v>
      </c>
    </row>
    <row r="18" spans="1:19" ht="15.75">
      <c r="A18" s="112">
        <f>+A17+1</f>
        <v>9</v>
      </c>
      <c r="B18" s="113"/>
      <c r="C18" s="1000" t="s">
        <v>724</v>
      </c>
      <c r="D18" s="529"/>
      <c r="E18" s="88" t="s">
        <v>716</v>
      </c>
      <c r="F18" s="1137">
        <v>0</v>
      </c>
      <c r="G18" s="1137">
        <v>0</v>
      </c>
      <c r="H18" s="1137">
        <v>0</v>
      </c>
      <c r="I18" s="1137">
        <v>0</v>
      </c>
      <c r="J18" s="1137">
        <v>0</v>
      </c>
      <c r="K18" s="1137">
        <v>0</v>
      </c>
      <c r="L18" s="1137">
        <v>0</v>
      </c>
      <c r="M18" s="1137">
        <v>0</v>
      </c>
      <c r="N18" s="1137">
        <v>0</v>
      </c>
      <c r="O18" s="1137">
        <v>0</v>
      </c>
      <c r="P18" s="1137">
        <v>0</v>
      </c>
      <c r="Q18" s="1137">
        <v>0</v>
      </c>
      <c r="R18" s="1137">
        <v>0</v>
      </c>
      <c r="S18" s="889">
        <f t="shared" ref="S18:S19" si="2">AVERAGE(F18:R18)</f>
        <v>0</v>
      </c>
    </row>
    <row r="19" spans="1:19" ht="15.75">
      <c r="A19" s="112">
        <f>+A18+1</f>
        <v>10</v>
      </c>
      <c r="B19" s="113"/>
      <c r="C19" s="1000" t="s">
        <v>725</v>
      </c>
      <c r="D19" s="529"/>
      <c r="E19" s="88" t="s">
        <v>716</v>
      </c>
      <c r="F19" s="1137">
        <v>0</v>
      </c>
      <c r="G19" s="1137">
        <v>0</v>
      </c>
      <c r="H19" s="1137">
        <v>0</v>
      </c>
      <c r="I19" s="1137">
        <v>0</v>
      </c>
      <c r="J19" s="1137">
        <v>0</v>
      </c>
      <c r="K19" s="1137">
        <v>0</v>
      </c>
      <c r="L19" s="1137">
        <v>0</v>
      </c>
      <c r="M19" s="1137">
        <v>0</v>
      </c>
      <c r="N19" s="1137">
        <v>0</v>
      </c>
      <c r="O19" s="1137">
        <v>0</v>
      </c>
      <c r="P19" s="1137">
        <v>0</v>
      </c>
      <c r="Q19" s="1137">
        <v>0</v>
      </c>
      <c r="R19" s="1137">
        <v>0</v>
      </c>
      <c r="S19" s="889">
        <f t="shared" si="2"/>
        <v>0</v>
      </c>
    </row>
    <row r="20" spans="1:19" s="888" customFormat="1" ht="15.75">
      <c r="A20" s="112">
        <f t="shared" ref="A20:A33" si="3">+A19+1</f>
        <v>11</v>
      </c>
      <c r="B20" s="113"/>
      <c r="C20" s="586" t="s">
        <v>726</v>
      </c>
      <c r="D20" s="100"/>
      <c r="E20" s="95"/>
      <c r="F20" s="953">
        <v>0</v>
      </c>
      <c r="G20" s="953">
        <v>0</v>
      </c>
      <c r="H20" s="953">
        <v>0</v>
      </c>
      <c r="I20" s="953">
        <v>0</v>
      </c>
      <c r="J20" s="953">
        <v>0</v>
      </c>
      <c r="K20" s="953">
        <v>0</v>
      </c>
      <c r="L20" s="953">
        <v>0</v>
      </c>
      <c r="M20" s="953">
        <v>0</v>
      </c>
      <c r="N20" s="953">
        <v>0</v>
      </c>
      <c r="O20" s="953">
        <v>0</v>
      </c>
      <c r="P20" s="953">
        <v>0</v>
      </c>
      <c r="Q20" s="953">
        <v>0</v>
      </c>
      <c r="R20" s="953">
        <v>0</v>
      </c>
      <c r="S20" s="889">
        <f t="shared" ref="S20:S33" si="4">AVERAGE(F20:R20)</f>
        <v>0</v>
      </c>
    </row>
    <row r="21" spans="1:19" s="888" customFormat="1" ht="15.75">
      <c r="A21" s="112">
        <f t="shared" si="3"/>
        <v>12</v>
      </c>
      <c r="B21" s="113"/>
      <c r="C21" s="586" t="s">
        <v>727</v>
      </c>
      <c r="D21" s="100"/>
      <c r="E21" s="95"/>
      <c r="F21" s="953">
        <v>0</v>
      </c>
      <c r="G21" s="953">
        <v>0</v>
      </c>
      <c r="H21" s="953">
        <v>0</v>
      </c>
      <c r="I21" s="953">
        <v>0</v>
      </c>
      <c r="J21" s="953">
        <v>0</v>
      </c>
      <c r="K21" s="953">
        <v>0</v>
      </c>
      <c r="L21" s="953">
        <v>0</v>
      </c>
      <c r="M21" s="953">
        <v>0</v>
      </c>
      <c r="N21" s="953">
        <v>0</v>
      </c>
      <c r="O21" s="953">
        <v>0</v>
      </c>
      <c r="P21" s="953">
        <v>0</v>
      </c>
      <c r="Q21" s="953">
        <v>0</v>
      </c>
      <c r="R21" s="953">
        <v>0</v>
      </c>
      <c r="S21" s="889">
        <f t="shared" si="4"/>
        <v>0</v>
      </c>
    </row>
    <row r="22" spans="1:19" s="888" customFormat="1" ht="15.75">
      <c r="A22" s="112">
        <f t="shared" si="3"/>
        <v>13</v>
      </c>
      <c r="B22" s="113"/>
      <c r="C22" s="586" t="s">
        <v>728</v>
      </c>
      <c r="D22" s="100"/>
      <c r="E22" s="95"/>
      <c r="F22" s="953">
        <v>0</v>
      </c>
      <c r="G22" s="953">
        <v>0</v>
      </c>
      <c r="H22" s="953">
        <v>0</v>
      </c>
      <c r="I22" s="953">
        <v>0</v>
      </c>
      <c r="J22" s="953">
        <v>0</v>
      </c>
      <c r="K22" s="953">
        <v>0</v>
      </c>
      <c r="L22" s="953">
        <v>0</v>
      </c>
      <c r="M22" s="953">
        <v>0</v>
      </c>
      <c r="N22" s="953">
        <v>0</v>
      </c>
      <c r="O22" s="953">
        <v>0</v>
      </c>
      <c r="P22" s="953">
        <v>0</v>
      </c>
      <c r="Q22" s="953">
        <v>0</v>
      </c>
      <c r="R22" s="953">
        <v>0</v>
      </c>
      <c r="S22" s="889">
        <f t="shared" si="4"/>
        <v>0</v>
      </c>
    </row>
    <row r="23" spans="1:19" s="888" customFormat="1" ht="15.75">
      <c r="A23" s="112">
        <f t="shared" si="3"/>
        <v>14</v>
      </c>
      <c r="B23" s="113"/>
      <c r="C23" s="586" t="s">
        <v>729</v>
      </c>
      <c r="D23" s="100"/>
      <c r="E23" s="95"/>
      <c r="F23" s="953">
        <v>0</v>
      </c>
      <c r="G23" s="953">
        <v>0</v>
      </c>
      <c r="H23" s="953">
        <v>0</v>
      </c>
      <c r="I23" s="953">
        <v>0</v>
      </c>
      <c r="J23" s="953">
        <v>0</v>
      </c>
      <c r="K23" s="953">
        <v>0</v>
      </c>
      <c r="L23" s="953">
        <v>0</v>
      </c>
      <c r="M23" s="953">
        <v>0</v>
      </c>
      <c r="N23" s="953">
        <v>0</v>
      </c>
      <c r="O23" s="953">
        <v>0</v>
      </c>
      <c r="P23" s="953">
        <v>0</v>
      </c>
      <c r="Q23" s="953">
        <v>0</v>
      </c>
      <c r="R23" s="953">
        <v>0</v>
      </c>
      <c r="S23" s="889">
        <f t="shared" si="4"/>
        <v>0</v>
      </c>
    </row>
    <row r="24" spans="1:19" s="888" customFormat="1" ht="15.75">
      <c r="A24" s="112">
        <f t="shared" si="3"/>
        <v>15</v>
      </c>
      <c r="B24" s="113"/>
      <c r="C24" s="586" t="s">
        <v>730</v>
      </c>
      <c r="D24" s="100"/>
      <c r="E24" s="95"/>
      <c r="F24" s="953">
        <v>0</v>
      </c>
      <c r="G24" s="953">
        <v>0</v>
      </c>
      <c r="H24" s="953">
        <v>0</v>
      </c>
      <c r="I24" s="953">
        <v>0</v>
      </c>
      <c r="J24" s="953">
        <v>0</v>
      </c>
      <c r="K24" s="953">
        <v>0</v>
      </c>
      <c r="L24" s="953">
        <v>0</v>
      </c>
      <c r="M24" s="953">
        <v>0</v>
      </c>
      <c r="N24" s="953">
        <v>0</v>
      </c>
      <c r="O24" s="953">
        <v>0</v>
      </c>
      <c r="P24" s="953">
        <v>0</v>
      </c>
      <c r="Q24" s="953">
        <v>0</v>
      </c>
      <c r="R24" s="953">
        <v>0</v>
      </c>
      <c r="S24" s="889">
        <f t="shared" si="4"/>
        <v>0</v>
      </c>
    </row>
    <row r="25" spans="1:19" s="888" customFormat="1" ht="15.75">
      <c r="A25" s="112">
        <f t="shared" si="3"/>
        <v>16</v>
      </c>
      <c r="B25" s="113"/>
      <c r="C25" s="586" t="s">
        <v>731</v>
      </c>
      <c r="D25" s="100"/>
      <c r="E25" s="95"/>
      <c r="F25" s="953">
        <v>0</v>
      </c>
      <c r="G25" s="953">
        <v>0</v>
      </c>
      <c r="H25" s="953">
        <v>0</v>
      </c>
      <c r="I25" s="953">
        <v>0</v>
      </c>
      <c r="J25" s="953">
        <v>0</v>
      </c>
      <c r="K25" s="953">
        <v>0</v>
      </c>
      <c r="L25" s="953">
        <v>0</v>
      </c>
      <c r="M25" s="953">
        <v>0</v>
      </c>
      <c r="N25" s="953">
        <v>0</v>
      </c>
      <c r="O25" s="953">
        <v>0</v>
      </c>
      <c r="P25" s="953">
        <v>0</v>
      </c>
      <c r="Q25" s="953">
        <v>0</v>
      </c>
      <c r="R25" s="953">
        <v>0</v>
      </c>
      <c r="S25" s="889">
        <f t="shared" si="4"/>
        <v>0</v>
      </c>
    </row>
    <row r="26" spans="1:19" s="888" customFormat="1" ht="15.75">
      <c r="A26" s="112">
        <f t="shared" si="3"/>
        <v>17</v>
      </c>
      <c r="B26" s="113"/>
      <c r="C26" s="586" t="s">
        <v>732</v>
      </c>
      <c r="D26" s="100"/>
      <c r="E26" s="95"/>
      <c r="F26" s="953">
        <v>0</v>
      </c>
      <c r="G26" s="953">
        <v>0</v>
      </c>
      <c r="H26" s="953">
        <v>0</v>
      </c>
      <c r="I26" s="953">
        <v>0</v>
      </c>
      <c r="J26" s="953">
        <v>0</v>
      </c>
      <c r="K26" s="953">
        <v>0</v>
      </c>
      <c r="L26" s="953">
        <v>0</v>
      </c>
      <c r="M26" s="953">
        <v>0</v>
      </c>
      <c r="N26" s="953">
        <v>0</v>
      </c>
      <c r="O26" s="953">
        <v>0</v>
      </c>
      <c r="P26" s="953">
        <v>0</v>
      </c>
      <c r="Q26" s="953">
        <v>0</v>
      </c>
      <c r="R26" s="953">
        <v>0</v>
      </c>
      <c r="S26" s="889">
        <f t="shared" si="4"/>
        <v>0</v>
      </c>
    </row>
    <row r="27" spans="1:19" s="888" customFormat="1" ht="15.75">
      <c r="A27" s="112">
        <f t="shared" si="3"/>
        <v>18</v>
      </c>
      <c r="B27" s="113"/>
      <c r="C27" s="586" t="s">
        <v>733</v>
      </c>
      <c r="D27" s="100"/>
      <c r="E27" s="95"/>
      <c r="F27" s="953">
        <v>0</v>
      </c>
      <c r="G27" s="953">
        <v>0</v>
      </c>
      <c r="H27" s="953">
        <v>0</v>
      </c>
      <c r="I27" s="953">
        <v>0</v>
      </c>
      <c r="J27" s="953">
        <v>0</v>
      </c>
      <c r="K27" s="953">
        <v>0</v>
      </c>
      <c r="L27" s="953">
        <v>0</v>
      </c>
      <c r="M27" s="953">
        <v>0</v>
      </c>
      <c r="N27" s="953">
        <v>0</v>
      </c>
      <c r="O27" s="953">
        <v>0</v>
      </c>
      <c r="P27" s="953">
        <v>0</v>
      </c>
      <c r="Q27" s="953">
        <v>0</v>
      </c>
      <c r="R27" s="953">
        <v>0</v>
      </c>
      <c r="S27" s="889">
        <f t="shared" si="4"/>
        <v>0</v>
      </c>
    </row>
    <row r="28" spans="1:19" s="888" customFormat="1" ht="15.75">
      <c r="A28" s="112">
        <f t="shared" si="3"/>
        <v>19</v>
      </c>
      <c r="B28" s="113"/>
      <c r="C28" s="586" t="s">
        <v>734</v>
      </c>
      <c r="D28" s="100"/>
      <c r="E28" s="95"/>
      <c r="F28" s="953">
        <v>0</v>
      </c>
      <c r="G28" s="953">
        <v>0</v>
      </c>
      <c r="H28" s="953">
        <v>0</v>
      </c>
      <c r="I28" s="953">
        <v>0</v>
      </c>
      <c r="J28" s="953">
        <v>0</v>
      </c>
      <c r="K28" s="953">
        <v>0</v>
      </c>
      <c r="L28" s="953">
        <v>0</v>
      </c>
      <c r="M28" s="953">
        <v>0</v>
      </c>
      <c r="N28" s="953">
        <v>0</v>
      </c>
      <c r="O28" s="953">
        <v>0</v>
      </c>
      <c r="P28" s="953">
        <v>0</v>
      </c>
      <c r="Q28" s="953">
        <v>0</v>
      </c>
      <c r="R28" s="953">
        <v>0</v>
      </c>
      <c r="S28" s="889">
        <f t="shared" si="4"/>
        <v>0</v>
      </c>
    </row>
    <row r="29" spans="1:19" s="888" customFormat="1" ht="15.75">
      <c r="A29" s="112">
        <f t="shared" si="3"/>
        <v>20</v>
      </c>
      <c r="B29" s="113"/>
      <c r="C29" s="586" t="s">
        <v>735</v>
      </c>
      <c r="D29" s="100"/>
      <c r="E29" s="95"/>
      <c r="F29" s="953">
        <v>0</v>
      </c>
      <c r="G29" s="953">
        <v>0</v>
      </c>
      <c r="H29" s="953">
        <v>0</v>
      </c>
      <c r="I29" s="953">
        <v>0</v>
      </c>
      <c r="J29" s="953">
        <v>0</v>
      </c>
      <c r="K29" s="953">
        <v>0</v>
      </c>
      <c r="L29" s="953">
        <v>0</v>
      </c>
      <c r="M29" s="953">
        <v>0</v>
      </c>
      <c r="N29" s="953">
        <v>0</v>
      </c>
      <c r="O29" s="953">
        <v>0</v>
      </c>
      <c r="P29" s="953">
        <v>0</v>
      </c>
      <c r="Q29" s="953">
        <v>0</v>
      </c>
      <c r="R29" s="953">
        <v>0</v>
      </c>
      <c r="S29" s="889">
        <f t="shared" si="4"/>
        <v>0</v>
      </c>
    </row>
    <row r="30" spans="1:19" s="888" customFormat="1" ht="15.75">
      <c r="A30" s="112">
        <f t="shared" si="3"/>
        <v>21</v>
      </c>
      <c r="B30" s="113"/>
      <c r="C30" s="586" t="s">
        <v>736</v>
      </c>
      <c r="D30" s="100"/>
      <c r="E30" s="95"/>
      <c r="F30" s="953">
        <v>0</v>
      </c>
      <c r="G30" s="953">
        <v>0</v>
      </c>
      <c r="H30" s="953">
        <v>0</v>
      </c>
      <c r="I30" s="953">
        <v>0</v>
      </c>
      <c r="J30" s="953">
        <v>0</v>
      </c>
      <c r="K30" s="953">
        <v>0</v>
      </c>
      <c r="L30" s="953">
        <v>0</v>
      </c>
      <c r="M30" s="953">
        <v>0</v>
      </c>
      <c r="N30" s="953">
        <v>0</v>
      </c>
      <c r="O30" s="953">
        <v>0</v>
      </c>
      <c r="P30" s="953">
        <v>0</v>
      </c>
      <c r="Q30" s="953">
        <v>0</v>
      </c>
      <c r="R30" s="953">
        <v>0</v>
      </c>
      <c r="S30" s="889">
        <f t="shared" si="4"/>
        <v>0</v>
      </c>
    </row>
    <row r="31" spans="1:19" s="888" customFormat="1" ht="15.75">
      <c r="A31" s="112">
        <f t="shared" si="3"/>
        <v>22</v>
      </c>
      <c r="B31" s="113"/>
      <c r="C31" s="586" t="s">
        <v>737</v>
      </c>
      <c r="D31" s="100"/>
      <c r="E31" s="95"/>
      <c r="F31" s="953">
        <v>0</v>
      </c>
      <c r="G31" s="953">
        <v>0</v>
      </c>
      <c r="H31" s="953">
        <v>0</v>
      </c>
      <c r="I31" s="953">
        <v>0</v>
      </c>
      <c r="J31" s="953">
        <v>0</v>
      </c>
      <c r="K31" s="953">
        <v>0</v>
      </c>
      <c r="L31" s="953">
        <v>0</v>
      </c>
      <c r="M31" s="953">
        <v>0</v>
      </c>
      <c r="N31" s="953">
        <v>0</v>
      </c>
      <c r="O31" s="953">
        <v>0</v>
      </c>
      <c r="P31" s="953">
        <v>0</v>
      </c>
      <c r="Q31" s="953">
        <v>0</v>
      </c>
      <c r="R31" s="953">
        <v>0</v>
      </c>
      <c r="S31" s="889">
        <f t="shared" si="4"/>
        <v>0</v>
      </c>
    </row>
    <row r="32" spans="1:19" s="888" customFormat="1" ht="15.75">
      <c r="A32" s="112">
        <f t="shared" si="3"/>
        <v>23</v>
      </c>
      <c r="B32" s="113"/>
      <c r="C32" s="586" t="s">
        <v>738</v>
      </c>
      <c r="D32" s="100"/>
      <c r="E32" s="95"/>
      <c r="F32" s="953">
        <v>0</v>
      </c>
      <c r="G32" s="953">
        <v>0</v>
      </c>
      <c r="H32" s="953">
        <v>0</v>
      </c>
      <c r="I32" s="953">
        <v>0</v>
      </c>
      <c r="J32" s="953">
        <v>0</v>
      </c>
      <c r="K32" s="953">
        <v>0</v>
      </c>
      <c r="L32" s="953">
        <v>0</v>
      </c>
      <c r="M32" s="953">
        <v>0</v>
      </c>
      <c r="N32" s="953">
        <v>0</v>
      </c>
      <c r="O32" s="953">
        <v>0</v>
      </c>
      <c r="P32" s="953">
        <v>0</v>
      </c>
      <c r="Q32" s="953">
        <v>0</v>
      </c>
      <c r="R32" s="953">
        <v>0</v>
      </c>
      <c r="S32" s="889">
        <f t="shared" si="4"/>
        <v>0</v>
      </c>
    </row>
    <row r="33" spans="1:19" s="888" customFormat="1" ht="15.75">
      <c r="A33" s="112">
        <f t="shared" si="3"/>
        <v>24</v>
      </c>
      <c r="B33" s="113"/>
      <c r="C33" s="586" t="s">
        <v>739</v>
      </c>
      <c r="D33" s="100"/>
      <c r="E33" s="95"/>
      <c r="F33" s="953">
        <v>0</v>
      </c>
      <c r="G33" s="953">
        <v>0</v>
      </c>
      <c r="H33" s="953">
        <v>0</v>
      </c>
      <c r="I33" s="953">
        <v>0</v>
      </c>
      <c r="J33" s="953">
        <v>0</v>
      </c>
      <c r="K33" s="953">
        <v>0</v>
      </c>
      <c r="L33" s="953">
        <v>0</v>
      </c>
      <c r="M33" s="953">
        <v>0</v>
      </c>
      <c r="N33" s="953">
        <v>0</v>
      </c>
      <c r="O33" s="953">
        <v>0</v>
      </c>
      <c r="P33" s="953">
        <v>0</v>
      </c>
      <c r="Q33" s="953">
        <v>0</v>
      </c>
      <c r="R33" s="953">
        <v>0</v>
      </c>
      <c r="S33" s="889">
        <f t="shared" si="4"/>
        <v>0</v>
      </c>
    </row>
    <row r="34" spans="1:19" ht="15.75">
      <c r="A34" s="112"/>
      <c r="B34" s="113"/>
      <c r="C34" s="100"/>
      <c r="D34" s="100"/>
      <c r="E34" s="95"/>
      <c r="F34" s="946"/>
      <c r="G34" s="946"/>
      <c r="H34" s="946"/>
      <c r="I34" s="946"/>
      <c r="J34" s="946"/>
      <c r="K34" s="946"/>
      <c r="L34" s="946"/>
      <c r="M34" s="946"/>
      <c r="N34" s="946"/>
      <c r="O34" s="946"/>
      <c r="P34" s="946"/>
      <c r="Q34" s="946"/>
      <c r="R34" s="946"/>
      <c r="S34" s="584"/>
    </row>
    <row r="35" spans="1:19" ht="15.75">
      <c r="A35" s="112">
        <f>+A33+1</f>
        <v>25</v>
      </c>
      <c r="B35" s="113"/>
      <c r="C35" s="100" t="s">
        <v>69</v>
      </c>
      <c r="D35" s="89"/>
      <c r="E35" s="95"/>
      <c r="F35" s="584">
        <f>+SUM(F10:F33)</f>
        <v>18060123.57</v>
      </c>
      <c r="G35" s="584">
        <f t="shared" ref="G35:R35" si="5">+SUM(G10:G33)</f>
        <v>19132930.366915107</v>
      </c>
      <c r="H35" s="584">
        <f t="shared" si="5"/>
        <v>20275375.499770321</v>
      </c>
      <c r="I35" s="584">
        <f t="shared" si="5"/>
        <v>21788597.718576897</v>
      </c>
      <c r="J35" s="584">
        <f t="shared" si="5"/>
        <v>23211478.312380098</v>
      </c>
      <c r="K35" s="584">
        <f t="shared" si="5"/>
        <v>24673883.36712227</v>
      </c>
      <c r="L35" s="584">
        <f>+SUM(L10:L33)</f>
        <v>0</v>
      </c>
      <c r="M35" s="584">
        <f t="shared" si="5"/>
        <v>0</v>
      </c>
      <c r="N35" s="584">
        <f t="shared" si="5"/>
        <v>0</v>
      </c>
      <c r="O35" s="584">
        <f t="shared" si="5"/>
        <v>0</v>
      </c>
      <c r="P35" s="584">
        <f t="shared" si="5"/>
        <v>0</v>
      </c>
      <c r="Q35" s="584">
        <f t="shared" si="5"/>
        <v>0</v>
      </c>
      <c r="R35" s="584">
        <f t="shared" si="5"/>
        <v>0</v>
      </c>
      <c r="S35" s="584">
        <f>+SUM(S10:S33)</f>
        <v>9780183.7565203607</v>
      </c>
    </row>
    <row r="36" spans="1:19" ht="16.5" thickBot="1">
      <c r="A36" s="141"/>
      <c r="B36" s="125"/>
      <c r="C36" s="129"/>
      <c r="D36" s="129"/>
      <c r="E36" s="128"/>
      <c r="F36" s="585"/>
      <c r="G36" s="585"/>
      <c r="H36" s="585"/>
      <c r="I36" s="585"/>
      <c r="J36" s="585"/>
      <c r="K36" s="585"/>
      <c r="L36" s="585"/>
      <c r="M36" s="585"/>
      <c r="N36" s="585"/>
      <c r="O36" s="585"/>
      <c r="P36" s="585"/>
      <c r="Q36" s="585"/>
      <c r="R36" s="585"/>
      <c r="S36" s="585"/>
    </row>
    <row r="39" spans="1:19" ht="15">
      <c r="A39" s="214" t="s">
        <v>740</v>
      </c>
      <c r="B39" s="923"/>
      <c r="C39" s="923"/>
      <c r="D39" s="923"/>
      <c r="E39" s="923"/>
      <c r="F39" s="923"/>
      <c r="G39" s="923"/>
      <c r="H39" s="923"/>
      <c r="I39" s="923"/>
      <c r="J39" s="923"/>
      <c r="K39" s="923"/>
      <c r="L39" s="923"/>
      <c r="M39" s="923"/>
      <c r="N39" s="923"/>
      <c r="O39" s="923"/>
      <c r="P39" s="923"/>
      <c r="Q39" s="923"/>
      <c r="R39" s="923"/>
      <c r="S39" s="923"/>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A31" zoomScale="75" zoomScaleNormal="75" workbookViewId="0">
      <selection activeCell="E68" sqref="E68"/>
    </sheetView>
  </sheetViews>
  <sheetFormatPr defaultColWidth="9.28515625" defaultRowHeight="12.75"/>
  <cols>
    <col min="1" max="1" width="5.7109375" style="274" customWidth="1"/>
    <col min="2" max="2" width="13.28515625" style="84" customWidth="1"/>
    <col min="3" max="3" width="39.2851562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64" t="str">
        <f>+'Appendix A'!A3</f>
        <v>Dayton Power and Light</v>
      </c>
      <c r="C2" s="1164"/>
      <c r="D2" s="1164"/>
      <c r="E2" s="1164"/>
      <c r="F2" s="1164"/>
      <c r="G2" s="1164"/>
      <c r="H2" s="1164"/>
      <c r="I2" s="1164"/>
      <c r="J2" s="1164"/>
      <c r="K2" s="1164"/>
      <c r="L2" s="1164"/>
    </row>
    <row r="3" spans="2:13" ht="18">
      <c r="B3" s="1164" t="str">
        <f>+'Appendix A'!A4</f>
        <v xml:space="preserve">ATTACHMENT H-15A </v>
      </c>
      <c r="C3" s="1164"/>
      <c r="D3" s="1164"/>
      <c r="E3" s="1164"/>
      <c r="F3" s="1164"/>
      <c r="G3" s="1164"/>
      <c r="H3" s="1164"/>
      <c r="I3" s="1164"/>
      <c r="J3" s="1164"/>
      <c r="K3" s="878"/>
      <c r="L3" s="1075"/>
    </row>
    <row r="4" spans="2:13" ht="18">
      <c r="B4" s="1164" t="s">
        <v>741</v>
      </c>
      <c r="C4" s="1164"/>
      <c r="D4" s="1164"/>
      <c r="E4" s="1164"/>
      <c r="F4" s="1164"/>
      <c r="G4" s="1164"/>
      <c r="H4" s="1164"/>
      <c r="I4" s="1164"/>
      <c r="J4" s="1164"/>
      <c r="K4" s="1164"/>
      <c r="L4" s="1164"/>
    </row>
    <row r="5" spans="2:13" ht="15.75">
      <c r="B5" s="278"/>
      <c r="C5" s="278"/>
      <c r="D5" s="278"/>
      <c r="E5" s="278"/>
      <c r="F5" s="278"/>
      <c r="G5" s="278"/>
      <c r="H5" s="278"/>
      <c r="I5" s="278"/>
      <c r="J5" s="278"/>
      <c r="K5" s="278"/>
      <c r="L5" s="278"/>
    </row>
    <row r="6" spans="2:13" ht="15">
      <c r="B6" s="214" t="s">
        <v>417</v>
      </c>
      <c r="C6" s="529"/>
      <c r="D6" s="529"/>
      <c r="E6" s="529"/>
      <c r="F6" s="529"/>
      <c r="G6" s="529"/>
      <c r="H6" s="87"/>
      <c r="I6" s="87"/>
      <c r="J6" s="507"/>
      <c r="K6" s="507"/>
      <c r="L6" s="507"/>
      <c r="M6" s="507"/>
    </row>
    <row r="7" spans="2:13" ht="15">
      <c r="B7" s="258" t="s">
        <v>742</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743</v>
      </c>
      <c r="E9" s="529"/>
      <c r="F9" s="529"/>
      <c r="G9" s="529"/>
      <c r="H9" s="529"/>
      <c r="I9" s="529"/>
      <c r="J9" s="529"/>
      <c r="K9" s="529"/>
      <c r="L9" s="529"/>
    </row>
    <row r="10" spans="2:13" ht="15">
      <c r="B10" s="88"/>
      <c r="C10" s="529" t="s">
        <v>744</v>
      </c>
      <c r="E10" s="529"/>
      <c r="F10" s="529"/>
      <c r="G10" s="529"/>
      <c r="H10" s="529"/>
      <c r="I10" s="529"/>
      <c r="J10" s="529"/>
      <c r="K10" s="529"/>
      <c r="L10" s="529"/>
    </row>
    <row r="11" spans="2:13" ht="15">
      <c r="B11" s="88"/>
      <c r="C11" s="529" t="s">
        <v>745</v>
      </c>
      <c r="E11" s="529"/>
      <c r="F11" s="529"/>
      <c r="G11" s="529"/>
      <c r="H11" s="508"/>
      <c r="J11" s="529"/>
      <c r="K11" s="529"/>
      <c r="L11" s="529"/>
    </row>
    <row r="12" spans="2:13" ht="15">
      <c r="B12" s="88"/>
      <c r="E12" s="529"/>
      <c r="F12" s="529"/>
      <c r="G12" s="529"/>
      <c r="H12" s="508"/>
      <c r="J12" s="529"/>
      <c r="K12" s="529"/>
      <c r="L12" s="529"/>
    </row>
    <row r="13" spans="2:13" ht="15">
      <c r="B13" s="88" t="s">
        <v>746</v>
      </c>
      <c r="C13" s="529" t="s">
        <v>747</v>
      </c>
      <c r="E13" s="529"/>
      <c r="F13" s="529"/>
      <c r="G13" s="529"/>
      <c r="H13" s="508"/>
      <c r="J13" s="529"/>
      <c r="K13" s="529"/>
      <c r="L13" s="529"/>
    </row>
    <row r="14" spans="2:13" ht="15">
      <c r="B14" s="88"/>
      <c r="C14" s="529" t="s">
        <v>748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749</v>
      </c>
      <c r="C16" s="529" t="s">
        <v>750</v>
      </c>
      <c r="E16" s="529"/>
      <c r="F16" s="529"/>
      <c r="G16" s="529"/>
      <c r="H16" s="529"/>
      <c r="I16" s="529"/>
      <c r="J16" s="529"/>
      <c r="K16" s="529"/>
      <c r="L16" s="529"/>
    </row>
    <row r="17" spans="2:13" ht="15">
      <c r="B17" s="88"/>
      <c r="C17" s="529" t="s">
        <v>751</v>
      </c>
      <c r="E17" s="529"/>
      <c r="F17" s="529"/>
      <c r="G17" s="529"/>
      <c r="H17" s="529"/>
      <c r="I17" s="529"/>
      <c r="J17" s="529"/>
      <c r="K17" s="529"/>
      <c r="L17" s="529"/>
    </row>
    <row r="18" spans="2:13" ht="15">
      <c r="G18" s="529"/>
      <c r="H18" s="529"/>
      <c r="I18" s="529"/>
      <c r="J18" s="529"/>
      <c r="K18" s="529"/>
      <c r="L18" s="529"/>
    </row>
    <row r="19" spans="2:13" ht="15">
      <c r="B19" s="88" t="s">
        <v>752</v>
      </c>
      <c r="C19" s="529" t="s">
        <v>753</v>
      </c>
      <c r="D19" s="529"/>
      <c r="F19" s="529"/>
      <c r="G19" s="529"/>
      <c r="H19" s="529"/>
      <c r="I19" s="529"/>
      <c r="J19" s="529"/>
      <c r="L19" s="529"/>
    </row>
    <row r="20" spans="2:13" ht="15">
      <c r="D20" s="529"/>
      <c r="F20" s="529"/>
      <c r="G20" s="529"/>
      <c r="H20" s="529"/>
      <c r="I20" s="529"/>
      <c r="J20" s="529"/>
      <c r="K20" s="509"/>
      <c r="L20" s="529"/>
    </row>
    <row r="21" spans="2:13" ht="15">
      <c r="C21" s="529" t="s">
        <v>754</v>
      </c>
      <c r="D21" s="88" t="s">
        <v>755</v>
      </c>
      <c r="E21" s="529" t="s">
        <v>756</v>
      </c>
      <c r="F21" s="529"/>
      <c r="G21" s="529"/>
      <c r="H21" s="529"/>
      <c r="I21" s="529"/>
      <c r="J21" s="529"/>
      <c r="K21" s="529"/>
      <c r="L21" s="529"/>
    </row>
    <row r="22" spans="2:13" ht="15">
      <c r="E22" s="529" t="s">
        <v>757</v>
      </c>
      <c r="F22" s="529"/>
      <c r="G22" s="529"/>
      <c r="H22" s="529"/>
      <c r="I22" s="529"/>
      <c r="J22" s="529"/>
      <c r="K22" s="529"/>
      <c r="L22" s="529"/>
    </row>
    <row r="23" spans="2:13" ht="15">
      <c r="E23" s="529" t="s">
        <v>758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759</v>
      </c>
      <c r="F26" s="529"/>
      <c r="G26" s="529"/>
      <c r="H26" s="529"/>
      <c r="I26" s="529"/>
    </row>
    <row r="27" spans="2:13" ht="16.5">
      <c r="B27" s="512"/>
      <c r="C27" s="529" t="s">
        <v>760</v>
      </c>
      <c r="F27" s="529"/>
      <c r="G27" s="529"/>
      <c r="I27" s="529"/>
    </row>
    <row r="28" spans="2:13" ht="15">
      <c r="B28" s="88"/>
      <c r="C28" s="529" t="s">
        <v>761</v>
      </c>
      <c r="F28" s="529"/>
      <c r="G28" s="529"/>
    </row>
    <row r="29" spans="2:13" ht="15">
      <c r="B29" s="88"/>
      <c r="C29" s="529" t="s">
        <v>762</v>
      </c>
      <c r="F29" s="529"/>
      <c r="G29" s="529"/>
      <c r="M29" s="85"/>
    </row>
    <row r="30" spans="2:13" ht="15">
      <c r="B30" s="88"/>
      <c r="C30" s="529" t="s">
        <v>763</v>
      </c>
    </row>
    <row r="31" spans="2:13" ht="15">
      <c r="B31" s="88"/>
      <c r="C31" s="529" t="s">
        <v>764</v>
      </c>
      <c r="H31" s="529"/>
    </row>
    <row r="32" spans="2:13" ht="15">
      <c r="B32" s="88"/>
    </row>
    <row r="33" spans="1:13" ht="15">
      <c r="H33" s="529"/>
      <c r="I33" s="529"/>
      <c r="J33" s="529"/>
      <c r="K33" s="529"/>
    </row>
    <row r="34" spans="1:13" ht="15">
      <c r="A34" s="784" t="s">
        <v>765</v>
      </c>
      <c r="C34" s="529"/>
      <c r="D34" s="88"/>
      <c r="E34" s="87"/>
      <c r="F34" s="529"/>
      <c r="G34" s="529"/>
      <c r="I34" s="201" t="s">
        <v>766</v>
      </c>
      <c r="J34" s="201" t="s">
        <v>767</v>
      </c>
      <c r="K34" s="281"/>
      <c r="L34" s="281"/>
      <c r="M34" s="281"/>
    </row>
    <row r="35" spans="1:13" ht="15">
      <c r="C35" s="529"/>
      <c r="D35" s="88"/>
      <c r="E35" s="529"/>
      <c r="F35" s="529"/>
      <c r="G35" s="529"/>
      <c r="I35" s="653" t="s">
        <v>768</v>
      </c>
      <c r="J35" s="653" t="s">
        <v>768</v>
      </c>
      <c r="K35" s="655" t="s">
        <v>769</v>
      </c>
      <c r="L35" s="281"/>
      <c r="M35" s="281"/>
    </row>
    <row r="36" spans="1:13" ht="15">
      <c r="A36" s="84">
        <v>1</v>
      </c>
      <c r="B36" s="84" t="s">
        <v>209</v>
      </c>
      <c r="C36" s="529" t="s">
        <v>770</v>
      </c>
      <c r="D36" s="88"/>
      <c r="E36" s="529"/>
      <c r="F36" s="529"/>
      <c r="G36" s="529"/>
      <c r="I36" s="812">
        <v>0</v>
      </c>
      <c r="J36" s="47"/>
      <c r="K36" s="87"/>
      <c r="L36" s="281"/>
      <c r="M36" s="280"/>
    </row>
    <row r="37" spans="1:13" ht="15">
      <c r="A37" s="84">
        <f>+A36+1</f>
        <v>2</v>
      </c>
      <c r="B37" s="84" t="s">
        <v>211</v>
      </c>
      <c r="C37" s="652" t="s">
        <v>771</v>
      </c>
      <c r="D37" s="88"/>
      <c r="E37" s="529"/>
      <c r="F37" s="529"/>
      <c r="G37" s="529"/>
      <c r="I37" s="862">
        <v>0</v>
      </c>
      <c r="J37" s="654"/>
      <c r="K37" s="87"/>
      <c r="L37" s="281"/>
      <c r="M37" s="85"/>
    </row>
    <row r="38" spans="1:13" ht="15">
      <c r="A38" s="84">
        <f t="shared" ref="A38:A40" si="0">+A37+1</f>
        <v>3</v>
      </c>
      <c r="B38" s="84" t="s">
        <v>213</v>
      </c>
      <c r="C38" s="529" t="s">
        <v>772</v>
      </c>
      <c r="D38" s="88"/>
      <c r="E38" s="529"/>
      <c r="F38" s="529"/>
      <c r="G38" s="529"/>
      <c r="I38" s="513">
        <v>-354120</v>
      </c>
      <c r="J38" s="513">
        <f>+I38</f>
        <v>-354120</v>
      </c>
      <c r="K38" s="529"/>
    </row>
    <row r="39" spans="1:13" ht="15">
      <c r="A39" s="84">
        <f t="shared" si="0"/>
        <v>4</v>
      </c>
      <c r="B39" s="84" t="s">
        <v>215</v>
      </c>
      <c r="C39" s="529" t="s">
        <v>773</v>
      </c>
      <c r="D39" s="88"/>
      <c r="E39" s="529"/>
      <c r="F39" s="529"/>
      <c r="G39" s="529"/>
      <c r="I39" s="863">
        <f>(1+E74)^24</f>
        <v>1.068236482490182</v>
      </c>
      <c r="J39" s="863">
        <f>(1+F74)^24</f>
        <v>1</v>
      </c>
      <c r="K39" s="529"/>
    </row>
    <row r="40" spans="1:13" ht="15">
      <c r="A40" s="84">
        <f t="shared" si="0"/>
        <v>5</v>
      </c>
      <c r="B40" s="84" t="s">
        <v>217</v>
      </c>
      <c r="C40" s="529" t="s">
        <v>774</v>
      </c>
      <c r="D40" s="88"/>
      <c r="E40" s="529"/>
      <c r="F40" s="529"/>
      <c r="G40" s="529"/>
      <c r="I40" s="513">
        <f>+I38*I39</f>
        <v>-378283.90317942324</v>
      </c>
      <c r="J40" s="513">
        <f>+J38*J39</f>
        <v>-354120</v>
      </c>
      <c r="K40" s="513">
        <f>+J40-I40</f>
        <v>24163.903179423243</v>
      </c>
    </row>
    <row r="41" spans="1:13" ht="15">
      <c r="A41" s="84">
        <f>+A40+1</f>
        <v>6</v>
      </c>
      <c r="B41" s="84" t="s">
        <v>219</v>
      </c>
      <c r="C41" s="529" t="s">
        <v>775</v>
      </c>
      <c r="D41" s="88"/>
      <c r="E41" s="529"/>
      <c r="F41" s="529"/>
      <c r="G41" s="529"/>
      <c r="H41" s="513"/>
      <c r="I41" s="513">
        <f>+I40+K40</f>
        <v>-354120</v>
      </c>
      <c r="J41" s="529"/>
      <c r="K41" s="529"/>
    </row>
    <row r="42" spans="1:13" ht="15">
      <c r="A42" s="84"/>
      <c r="C42" s="529"/>
      <c r="D42" s="88"/>
      <c r="E42" s="529"/>
      <c r="F42" s="529"/>
      <c r="G42" s="529"/>
      <c r="H42" s="529"/>
      <c r="I42" s="281"/>
      <c r="J42" s="529"/>
      <c r="K42" s="529"/>
    </row>
    <row r="43" spans="1:13" ht="15">
      <c r="A43" s="84"/>
      <c r="C43" s="529" t="s">
        <v>776</v>
      </c>
      <c r="D43" s="529"/>
      <c r="E43" s="529"/>
      <c r="F43" s="529"/>
      <c r="G43" s="529"/>
      <c r="H43" s="30"/>
    </row>
    <row r="44" spans="1:13" ht="15">
      <c r="A44" s="84"/>
      <c r="C44" s="529" t="s">
        <v>777</v>
      </c>
      <c r="D44" s="529"/>
      <c r="E44" s="529"/>
      <c r="F44" s="529"/>
      <c r="G44" s="529"/>
      <c r="H44" s="275"/>
      <c r="I44" s="212"/>
      <c r="J44" s="514"/>
      <c r="K44" s="281"/>
      <c r="L44" s="281"/>
      <c r="M44" s="281"/>
    </row>
    <row r="45" spans="1:13" ht="15">
      <c r="A45" s="84"/>
      <c r="C45" s="529"/>
      <c r="D45" s="529"/>
      <c r="E45" s="529"/>
      <c r="F45" s="529"/>
      <c r="G45" s="529"/>
      <c r="H45" s="205"/>
      <c r="I45" s="273"/>
      <c r="J45" s="273"/>
      <c r="K45" s="273"/>
      <c r="L45" s="281"/>
      <c r="M45" s="281"/>
    </row>
    <row r="46" spans="1:13" ht="15">
      <c r="A46" s="84"/>
      <c r="B46" s="515" t="s">
        <v>778</v>
      </c>
      <c r="C46" s="529"/>
      <c r="D46" s="529"/>
      <c r="E46" s="88" t="s">
        <v>766</v>
      </c>
      <c r="F46" s="88" t="s">
        <v>779</v>
      </c>
      <c r="G46" s="529"/>
      <c r="H46" s="205"/>
      <c r="I46" s="273"/>
      <c r="J46" s="273"/>
      <c r="K46" s="273"/>
      <c r="L46" s="281"/>
      <c r="M46" s="281"/>
    </row>
    <row r="47" spans="1:13" ht="20.25">
      <c r="A47" s="84"/>
      <c r="B47" s="274"/>
      <c r="C47" s="88"/>
      <c r="D47" s="529"/>
      <c r="E47" s="88" t="s">
        <v>780</v>
      </c>
      <c r="F47" s="88" t="s">
        <v>780</v>
      </c>
      <c r="H47" s="59"/>
      <c r="I47" s="205"/>
      <c r="J47" s="30"/>
      <c r="K47" s="516"/>
      <c r="L47" s="281"/>
      <c r="M47" s="281"/>
    </row>
    <row r="48" spans="1:13" ht="17.25">
      <c r="A48" s="84"/>
      <c r="B48" s="781" t="s">
        <v>422</v>
      </c>
      <c r="C48" s="589" t="s">
        <v>360</v>
      </c>
      <c r="D48" s="529"/>
      <c r="E48" s="589" t="s">
        <v>768</v>
      </c>
      <c r="F48" s="589" t="s">
        <v>768</v>
      </c>
      <c r="H48" s="219"/>
      <c r="I48" s="514"/>
      <c r="J48" s="518"/>
      <c r="K48" s="516"/>
      <c r="L48" s="281"/>
      <c r="M48" s="281"/>
    </row>
    <row r="49" spans="1:12" ht="15">
      <c r="A49" s="84">
        <f>+A41+1</f>
        <v>7</v>
      </c>
      <c r="B49" s="258" t="s">
        <v>381</v>
      </c>
      <c r="C49" s="88" t="s">
        <v>781</v>
      </c>
      <c r="D49" s="529"/>
      <c r="E49" s="519">
        <v>2.8999999999999998E-3</v>
      </c>
      <c r="F49" s="519">
        <v>0</v>
      </c>
      <c r="G49" s="515"/>
      <c r="H49" s="533"/>
      <c r="I49" s="539"/>
      <c r="J49" s="540"/>
      <c r="K49" s="516"/>
      <c r="L49" s="281"/>
    </row>
    <row r="50" spans="1:12" ht="15">
      <c r="A50" s="84">
        <f>+A49+1</f>
        <v>8</v>
      </c>
      <c r="B50" s="258" t="s">
        <v>382</v>
      </c>
      <c r="C50" s="88" t="s">
        <v>781</v>
      </c>
      <c r="D50" s="529"/>
      <c r="E50" s="519">
        <v>2.8999999999999998E-3</v>
      </c>
      <c r="F50" s="519">
        <v>0</v>
      </c>
      <c r="G50" s="517"/>
      <c r="H50" s="88"/>
      <c r="I50" s="529"/>
      <c r="J50" s="533"/>
      <c r="K50" s="520"/>
    </row>
    <row r="51" spans="1:12" ht="15">
      <c r="A51" s="84">
        <f t="shared" ref="A51:A72" si="1">+A50+1</f>
        <v>9</v>
      </c>
      <c r="B51" s="258" t="s">
        <v>383</v>
      </c>
      <c r="C51" s="88" t="s">
        <v>781</v>
      </c>
      <c r="D51" s="529"/>
      <c r="E51" s="519">
        <v>2.8E-3</v>
      </c>
      <c r="F51" s="519">
        <v>0</v>
      </c>
      <c r="G51" s="529"/>
      <c r="H51" s="88"/>
      <c r="I51" s="529"/>
      <c r="J51" s="88"/>
      <c r="K51" s="520"/>
    </row>
    <row r="52" spans="1:12" ht="15">
      <c r="A52" s="84">
        <f t="shared" si="1"/>
        <v>10</v>
      </c>
      <c r="B52" s="258" t="s">
        <v>384</v>
      </c>
      <c r="C52" s="88" t="s">
        <v>781</v>
      </c>
      <c r="D52" s="529"/>
      <c r="E52" s="519">
        <v>2.8E-3</v>
      </c>
      <c r="F52" s="519">
        <v>0</v>
      </c>
      <c r="G52" s="529"/>
      <c r="H52" s="88"/>
      <c r="I52" s="529"/>
      <c r="J52" s="88"/>
      <c r="K52" s="520"/>
    </row>
    <row r="53" spans="1:12" ht="15">
      <c r="A53" s="84">
        <f t="shared" si="1"/>
        <v>11</v>
      </c>
      <c r="B53" s="258" t="s">
        <v>385</v>
      </c>
      <c r="C53" s="88" t="s">
        <v>781</v>
      </c>
      <c r="D53" s="529"/>
      <c r="E53" s="519">
        <v>2.7000000000000001E-3</v>
      </c>
      <c r="F53" s="519">
        <v>0</v>
      </c>
      <c r="G53" s="529"/>
      <c r="H53" s="533"/>
      <c r="I53" s="529"/>
      <c r="J53" s="88"/>
      <c r="K53" s="520"/>
    </row>
    <row r="54" spans="1:12" ht="15">
      <c r="A54" s="84">
        <f t="shared" si="1"/>
        <v>12</v>
      </c>
      <c r="B54" s="258" t="s">
        <v>386</v>
      </c>
      <c r="C54" s="88" t="s">
        <v>781</v>
      </c>
      <c r="D54" s="529"/>
      <c r="E54" s="519">
        <v>2.8E-3</v>
      </c>
      <c r="F54" s="519">
        <v>0</v>
      </c>
      <c r="G54" s="529"/>
      <c r="H54" s="88"/>
      <c r="I54" s="529"/>
      <c r="J54" s="88"/>
      <c r="K54" s="520"/>
    </row>
    <row r="55" spans="1:12" ht="15">
      <c r="A55" s="84">
        <f t="shared" si="1"/>
        <v>13</v>
      </c>
      <c r="B55" s="258" t="s">
        <v>375</v>
      </c>
      <c r="C55" s="88" t="s">
        <v>782</v>
      </c>
      <c r="D55" s="529"/>
      <c r="E55" s="519">
        <v>2.8E-3</v>
      </c>
      <c r="F55" s="519">
        <v>0</v>
      </c>
      <c r="G55" s="529"/>
      <c r="H55" s="88"/>
      <c r="I55" s="529"/>
      <c r="J55" s="88"/>
      <c r="K55" s="520"/>
    </row>
    <row r="56" spans="1:12" ht="15">
      <c r="A56" s="84">
        <f t="shared" si="1"/>
        <v>14</v>
      </c>
      <c r="B56" s="258" t="s">
        <v>376</v>
      </c>
      <c r="C56" s="88" t="s">
        <v>782</v>
      </c>
      <c r="D56" s="529"/>
      <c r="E56" s="519">
        <v>2.5000000000000001E-3</v>
      </c>
      <c r="F56" s="519">
        <v>0</v>
      </c>
      <c r="G56" s="529"/>
      <c r="H56" s="88"/>
      <c r="I56" s="529"/>
      <c r="J56" s="88"/>
      <c r="K56" s="520"/>
    </row>
    <row r="57" spans="1:12" ht="15">
      <c r="A57" s="84">
        <f t="shared" si="1"/>
        <v>15</v>
      </c>
      <c r="B57" s="258" t="s">
        <v>377</v>
      </c>
      <c r="C57" s="88" t="s">
        <v>782</v>
      </c>
      <c r="D57" s="529"/>
      <c r="E57" s="519">
        <v>2.8E-3</v>
      </c>
      <c r="F57" s="519">
        <v>0</v>
      </c>
      <c r="G57" s="529"/>
      <c r="H57" s="88"/>
      <c r="I57" s="529"/>
      <c r="J57" s="88"/>
      <c r="K57" s="520"/>
    </row>
    <row r="58" spans="1:12" ht="15">
      <c r="A58" s="84">
        <f t="shared" si="1"/>
        <v>16</v>
      </c>
      <c r="B58" s="258" t="s">
        <v>378</v>
      </c>
      <c r="C58" s="88" t="s">
        <v>782</v>
      </c>
      <c r="D58" s="529"/>
      <c r="E58" s="519">
        <v>2.7000000000000001E-3</v>
      </c>
      <c r="F58" s="519">
        <v>0</v>
      </c>
      <c r="G58" s="529"/>
      <c r="H58" s="88"/>
      <c r="I58" s="529"/>
      <c r="J58" s="88"/>
      <c r="K58" s="520"/>
    </row>
    <row r="59" spans="1:12" ht="15">
      <c r="A59" s="84">
        <f t="shared" si="1"/>
        <v>17</v>
      </c>
      <c r="B59" s="258" t="s">
        <v>379</v>
      </c>
      <c r="C59" s="88" t="s">
        <v>782</v>
      </c>
      <c r="D59" s="529"/>
      <c r="E59" s="519">
        <v>2.8E-3</v>
      </c>
      <c r="F59" s="519">
        <v>0</v>
      </c>
      <c r="G59" s="529"/>
      <c r="H59" s="88"/>
      <c r="I59" s="529"/>
      <c r="J59" s="88"/>
      <c r="K59" s="520"/>
    </row>
    <row r="60" spans="1:12" ht="15">
      <c r="A60" s="84">
        <f t="shared" si="1"/>
        <v>18</v>
      </c>
      <c r="B60" s="258" t="s">
        <v>380</v>
      </c>
      <c r="C60" s="88" t="s">
        <v>782</v>
      </c>
      <c r="D60" s="529"/>
      <c r="E60" s="519">
        <v>2.7000000000000001E-3</v>
      </c>
      <c r="F60" s="519">
        <v>0</v>
      </c>
      <c r="G60" s="529"/>
      <c r="H60" s="88"/>
      <c r="I60" s="529"/>
      <c r="J60" s="88"/>
      <c r="K60" s="520"/>
    </row>
    <row r="61" spans="1:12" ht="15">
      <c r="A61" s="84">
        <f t="shared" si="1"/>
        <v>19</v>
      </c>
      <c r="B61" s="258" t="s">
        <v>381</v>
      </c>
      <c r="C61" s="88" t="s">
        <v>782</v>
      </c>
      <c r="D61" s="529"/>
      <c r="E61" s="519">
        <v>2.8E-3</v>
      </c>
      <c r="F61" s="519">
        <v>0</v>
      </c>
      <c r="G61" s="529"/>
      <c r="H61" s="88"/>
      <c r="I61" s="529"/>
      <c r="J61" s="88"/>
      <c r="K61" s="520"/>
    </row>
    <row r="62" spans="1:12" ht="15">
      <c r="A62" s="84">
        <f t="shared" si="1"/>
        <v>20</v>
      </c>
      <c r="B62" s="258" t="s">
        <v>382</v>
      </c>
      <c r="C62" s="88" t="s">
        <v>782</v>
      </c>
      <c r="D62" s="529"/>
      <c r="E62" s="519">
        <v>2.8E-3</v>
      </c>
      <c r="F62" s="519">
        <v>0</v>
      </c>
      <c r="G62" s="529"/>
      <c r="H62" s="88"/>
      <c r="I62" s="529"/>
      <c r="J62" s="88"/>
      <c r="K62" s="520"/>
    </row>
    <row r="63" spans="1:12" ht="15">
      <c r="A63" s="84">
        <f t="shared" si="1"/>
        <v>21</v>
      </c>
      <c r="B63" s="258" t="s">
        <v>383</v>
      </c>
      <c r="C63" s="88" t="s">
        <v>782</v>
      </c>
      <c r="D63" s="529"/>
      <c r="E63" s="519">
        <v>2.7000000000000001E-3</v>
      </c>
      <c r="F63" s="519">
        <v>0</v>
      </c>
      <c r="G63" s="529"/>
      <c r="H63" s="88"/>
      <c r="I63" s="529"/>
      <c r="J63" s="88"/>
      <c r="K63" s="520"/>
    </row>
    <row r="64" spans="1:12" ht="15">
      <c r="A64" s="84">
        <f t="shared" si="1"/>
        <v>22</v>
      </c>
      <c r="B64" s="782" t="s">
        <v>384</v>
      </c>
      <c r="C64" s="88" t="s">
        <v>782</v>
      </c>
      <c r="D64" s="87"/>
      <c r="E64" s="519">
        <v>2.8E-3</v>
      </c>
      <c r="F64" s="519">
        <v>0</v>
      </c>
      <c r="G64" s="529"/>
      <c r="H64" s="88"/>
      <c r="I64" s="529"/>
      <c r="J64" s="88"/>
      <c r="K64" s="520"/>
    </row>
    <row r="65" spans="1:11" ht="15">
      <c r="A65" s="84">
        <f t="shared" si="1"/>
        <v>23</v>
      </c>
      <c r="B65" s="258" t="s">
        <v>385</v>
      </c>
      <c r="C65" s="88" t="s">
        <v>782</v>
      </c>
      <c r="D65" s="529"/>
      <c r="E65" s="519">
        <v>2.7000000000000001E-3</v>
      </c>
      <c r="F65" s="519">
        <v>0</v>
      </c>
      <c r="G65" s="529"/>
      <c r="H65" s="88"/>
      <c r="I65" s="529"/>
      <c r="J65" s="88"/>
      <c r="K65" s="520"/>
    </row>
    <row r="66" spans="1:11" ht="15">
      <c r="A66" s="84">
        <f t="shared" si="1"/>
        <v>24</v>
      </c>
      <c r="B66" s="258" t="s">
        <v>386</v>
      </c>
      <c r="C66" s="88" t="s">
        <v>782</v>
      </c>
      <c r="D66" s="529"/>
      <c r="E66" s="519">
        <v>2.8E-3</v>
      </c>
      <c r="F66" s="519">
        <v>0</v>
      </c>
      <c r="G66" s="529"/>
      <c r="H66" s="88"/>
      <c r="I66" s="529"/>
      <c r="J66" s="88"/>
      <c r="K66" s="520"/>
    </row>
    <row r="67" spans="1:11" ht="15">
      <c r="A67" s="84">
        <f t="shared" si="1"/>
        <v>25</v>
      </c>
      <c r="B67" s="258" t="s">
        <v>375</v>
      </c>
      <c r="C67" s="88" t="s">
        <v>783</v>
      </c>
      <c r="D67" s="529"/>
      <c r="E67" s="519">
        <v>2.8E-3</v>
      </c>
      <c r="F67" s="519">
        <v>0</v>
      </c>
      <c r="G67" s="529"/>
      <c r="H67" s="88"/>
      <c r="I67" s="529"/>
      <c r="J67" s="88"/>
      <c r="K67" s="520"/>
    </row>
    <row r="68" spans="1:11" ht="15">
      <c r="A68" s="84">
        <f t="shared" si="1"/>
        <v>26</v>
      </c>
      <c r="B68" s="258" t="s">
        <v>376</v>
      </c>
      <c r="C68" s="88" t="s">
        <v>783</v>
      </c>
      <c r="D68" s="529"/>
      <c r="E68" s="519">
        <v>2.5000000000000001E-3</v>
      </c>
      <c r="F68" s="519">
        <v>0</v>
      </c>
      <c r="G68" s="529"/>
      <c r="H68" s="88"/>
      <c r="I68" s="529"/>
      <c r="J68" s="88"/>
    </row>
    <row r="69" spans="1:11" ht="15">
      <c r="A69" s="84">
        <f t="shared" si="1"/>
        <v>27</v>
      </c>
      <c r="B69" s="258" t="s">
        <v>377</v>
      </c>
      <c r="C69" s="88" t="s">
        <v>783</v>
      </c>
      <c r="D69" s="529"/>
      <c r="E69" s="519">
        <v>2.8E-3</v>
      </c>
      <c r="F69" s="519">
        <v>0</v>
      </c>
      <c r="G69" s="529"/>
      <c r="H69" s="88"/>
      <c r="I69" s="529"/>
      <c r="J69" s="88"/>
    </row>
    <row r="70" spans="1:11" ht="15">
      <c r="A70" s="84">
        <f t="shared" si="1"/>
        <v>28</v>
      </c>
      <c r="B70" s="258" t="s">
        <v>378</v>
      </c>
      <c r="C70" s="88" t="s">
        <v>783</v>
      </c>
      <c r="D70" s="529"/>
      <c r="E70" s="519">
        <v>2.7000000000000001E-3</v>
      </c>
      <c r="F70" s="519">
        <v>0</v>
      </c>
      <c r="G70" s="529"/>
      <c r="H70" s="88"/>
      <c r="I70" s="529"/>
      <c r="J70" s="88"/>
    </row>
    <row r="71" spans="1:11" ht="15">
      <c r="A71" s="84">
        <f t="shared" si="1"/>
        <v>29</v>
      </c>
      <c r="B71" s="258" t="s">
        <v>379</v>
      </c>
      <c r="C71" s="88" t="s">
        <v>783</v>
      </c>
      <c r="D71" s="529"/>
      <c r="E71" s="519">
        <v>2.8E-3</v>
      </c>
      <c r="F71" s="519">
        <v>0</v>
      </c>
      <c r="G71" s="529"/>
      <c r="H71" s="88"/>
      <c r="I71" s="529"/>
      <c r="J71" s="88"/>
    </row>
    <row r="72" spans="1:11" ht="15">
      <c r="A72" s="84">
        <f t="shared" si="1"/>
        <v>30</v>
      </c>
      <c r="B72" s="258" t="s">
        <v>380</v>
      </c>
      <c r="C72" s="88" t="s">
        <v>783</v>
      </c>
      <c r="D72" s="529"/>
      <c r="E72" s="519">
        <v>2.7000000000000001E-3</v>
      </c>
      <c r="F72" s="519">
        <v>0</v>
      </c>
      <c r="G72" s="87"/>
      <c r="H72" s="87"/>
      <c r="I72" s="87"/>
      <c r="J72" s="521"/>
    </row>
    <row r="73" spans="1:11">
      <c r="A73" s="84"/>
      <c r="B73" s="783"/>
    </row>
    <row r="74" spans="1:11" ht="15">
      <c r="A74" s="84">
        <f>+A72+1</f>
        <v>31</v>
      </c>
      <c r="B74" s="258" t="s">
        <v>519</v>
      </c>
      <c r="E74" s="588">
        <f>+SUM(E49:E72)/24</f>
        <v>2.7541666666666656E-3</v>
      </c>
      <c r="F74" s="588">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31" zoomScale="75" zoomScaleNormal="75" workbookViewId="0">
      <selection activeCell="P32" sqref="P32"/>
    </sheetView>
  </sheetViews>
  <sheetFormatPr defaultColWidth="9.28515625" defaultRowHeight="12.75"/>
  <cols>
    <col min="1" max="1" width="5.140625" style="274" customWidth="1"/>
    <col min="2" max="2" width="14.140625" style="84" customWidth="1"/>
    <col min="3" max="3" width="45.8554687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64" t="str">
        <f>+'Appendix A'!A3</f>
        <v>Dayton Power and Light</v>
      </c>
      <c r="C2" s="1164"/>
      <c r="D2" s="1164"/>
      <c r="E2" s="1164"/>
      <c r="F2" s="1164"/>
      <c r="G2" s="1164"/>
      <c r="H2" s="1164"/>
      <c r="I2" s="1164"/>
      <c r="J2" s="1164"/>
      <c r="K2" s="1164"/>
      <c r="L2" s="1164"/>
    </row>
    <row r="3" spans="2:13" ht="18">
      <c r="B3" s="1164" t="str">
        <f>+'Appendix A'!A4</f>
        <v xml:space="preserve">ATTACHMENT H-15A </v>
      </c>
      <c r="C3" s="1164"/>
      <c r="D3" s="1164"/>
      <c r="E3" s="1164"/>
      <c r="F3" s="1164"/>
      <c r="G3" s="1164"/>
      <c r="H3" s="1164"/>
      <c r="I3" s="1164"/>
      <c r="J3" s="1164"/>
      <c r="K3" s="878"/>
      <c r="L3" s="1075"/>
    </row>
    <row r="4" spans="2:13" ht="18">
      <c r="B4" s="1164" t="s">
        <v>784</v>
      </c>
      <c r="C4" s="1164"/>
      <c r="D4" s="1164"/>
      <c r="E4" s="1164"/>
      <c r="F4" s="1164"/>
      <c r="G4" s="1164"/>
      <c r="H4" s="1164"/>
      <c r="I4" s="1164"/>
      <c r="J4" s="1164"/>
      <c r="K4" s="1164"/>
      <c r="L4" s="1164"/>
    </row>
    <row r="5" spans="2:13" ht="15.75">
      <c r="B5" s="278"/>
      <c r="C5" s="278"/>
      <c r="D5" s="278"/>
      <c r="E5" s="278"/>
      <c r="F5" s="278"/>
      <c r="G5" s="278"/>
      <c r="H5" s="278"/>
      <c r="I5" s="278"/>
      <c r="J5" s="278"/>
      <c r="K5" s="278"/>
      <c r="L5" s="278"/>
    </row>
    <row r="6" spans="2:13" ht="15">
      <c r="B6" s="214" t="s">
        <v>417</v>
      </c>
      <c r="C6" s="529"/>
      <c r="D6" s="529"/>
      <c r="E6" s="529"/>
      <c r="F6" s="529"/>
      <c r="G6" s="529"/>
      <c r="H6" s="87"/>
      <c r="I6" s="87"/>
      <c r="J6" s="507"/>
      <c r="K6" s="507"/>
      <c r="L6" s="507"/>
      <c r="M6" s="507"/>
    </row>
    <row r="7" spans="2:13" ht="15">
      <c r="B7" s="258" t="s">
        <v>785</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743</v>
      </c>
      <c r="E9" s="529"/>
      <c r="F9" s="529"/>
      <c r="G9" s="529"/>
      <c r="H9" s="529"/>
      <c r="I9" s="529"/>
      <c r="J9" s="529"/>
      <c r="K9" s="529"/>
      <c r="L9" s="529"/>
    </row>
    <row r="10" spans="2:13" ht="15">
      <c r="B10" s="88"/>
      <c r="C10" s="529" t="s">
        <v>744</v>
      </c>
      <c r="E10" s="529"/>
      <c r="F10" s="529"/>
      <c r="G10" s="529"/>
      <c r="H10" s="529"/>
      <c r="I10" s="529"/>
      <c r="J10" s="529"/>
      <c r="K10" s="529"/>
      <c r="L10" s="529"/>
    </row>
    <row r="11" spans="2:13" ht="15">
      <c r="B11" s="88"/>
      <c r="C11" s="529" t="s">
        <v>745</v>
      </c>
      <c r="E11" s="529"/>
      <c r="F11" s="529"/>
      <c r="G11" s="529"/>
      <c r="H11" s="508"/>
      <c r="J11" s="529"/>
      <c r="K11" s="529"/>
      <c r="L11" s="529"/>
    </row>
    <row r="12" spans="2:13" ht="15">
      <c r="B12" s="88"/>
      <c r="E12" s="529"/>
      <c r="F12" s="529"/>
      <c r="G12" s="529"/>
      <c r="H12" s="508"/>
      <c r="J12" s="529"/>
      <c r="K12" s="529"/>
      <c r="L12" s="529"/>
    </row>
    <row r="13" spans="2:13" ht="15">
      <c r="B13" s="88" t="s">
        <v>746</v>
      </c>
      <c r="C13" s="529" t="s">
        <v>747</v>
      </c>
      <c r="E13" s="529"/>
      <c r="F13" s="529"/>
      <c r="G13" s="529"/>
      <c r="H13" s="508"/>
      <c r="J13" s="529"/>
      <c r="K13" s="529"/>
      <c r="L13" s="529"/>
    </row>
    <row r="14" spans="2:13" ht="15">
      <c r="B14" s="88"/>
      <c r="C14" s="529" t="s">
        <v>748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749</v>
      </c>
      <c r="C16" s="529" t="s">
        <v>750</v>
      </c>
      <c r="E16" s="529"/>
      <c r="F16" s="529"/>
      <c r="G16" s="529"/>
      <c r="H16" s="529"/>
      <c r="I16" s="529"/>
      <c r="J16" s="529"/>
      <c r="K16" s="529"/>
      <c r="L16" s="529"/>
    </row>
    <row r="17" spans="2:13" ht="15">
      <c r="B17" s="88"/>
      <c r="C17" s="529" t="s">
        <v>751</v>
      </c>
      <c r="E17" s="529"/>
      <c r="F17" s="529"/>
      <c r="G17" s="529"/>
      <c r="H17" s="529"/>
      <c r="I17" s="529"/>
      <c r="J17" s="529"/>
      <c r="K17" s="529"/>
      <c r="L17" s="529"/>
    </row>
    <row r="18" spans="2:13" ht="15">
      <c r="G18" s="529"/>
      <c r="H18" s="529"/>
      <c r="I18" s="529"/>
      <c r="J18" s="529"/>
      <c r="K18" s="529"/>
      <c r="L18" s="529"/>
    </row>
    <row r="19" spans="2:13" ht="15">
      <c r="B19" s="88" t="s">
        <v>752</v>
      </c>
      <c r="C19" s="529" t="s">
        <v>753</v>
      </c>
      <c r="D19" s="529"/>
      <c r="F19" s="529"/>
      <c r="G19" s="529"/>
      <c r="H19" s="529"/>
      <c r="I19" s="529"/>
      <c r="J19" s="529"/>
      <c r="L19" s="529"/>
    </row>
    <row r="20" spans="2:13" ht="15">
      <c r="D20" s="529"/>
      <c r="F20" s="529"/>
      <c r="G20" s="529"/>
      <c r="H20" s="529"/>
      <c r="I20" s="529"/>
      <c r="J20" s="529"/>
      <c r="K20" s="509"/>
      <c r="L20" s="529"/>
    </row>
    <row r="21" spans="2:13" ht="15">
      <c r="C21" s="529" t="s">
        <v>754</v>
      </c>
      <c r="D21" s="88" t="s">
        <v>755</v>
      </c>
      <c r="E21" s="529" t="s">
        <v>756</v>
      </c>
      <c r="F21" s="529"/>
      <c r="G21" s="529"/>
      <c r="H21" s="529"/>
      <c r="I21" s="529"/>
      <c r="J21" s="529"/>
      <c r="K21" s="529"/>
      <c r="L21" s="529"/>
    </row>
    <row r="22" spans="2:13" ht="15">
      <c r="E22" s="529" t="s">
        <v>757</v>
      </c>
      <c r="F22" s="529"/>
      <c r="G22" s="529"/>
      <c r="H22" s="529"/>
      <c r="I22" s="529"/>
      <c r="J22" s="529"/>
      <c r="K22" s="529"/>
      <c r="L22" s="529"/>
    </row>
    <row r="23" spans="2:13" ht="15">
      <c r="E23" s="529" t="s">
        <v>758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759</v>
      </c>
      <c r="F26" s="529"/>
      <c r="G26" s="529"/>
      <c r="H26" s="529"/>
      <c r="I26" s="529"/>
    </row>
    <row r="27" spans="2:13" ht="16.5">
      <c r="B27" s="512"/>
      <c r="C27" s="529" t="s">
        <v>760</v>
      </c>
      <c r="F27" s="529"/>
      <c r="G27" s="529"/>
      <c r="I27" s="529"/>
    </row>
    <row r="28" spans="2:13" ht="15">
      <c r="B28" s="88"/>
      <c r="C28" s="529" t="s">
        <v>761</v>
      </c>
      <c r="F28" s="529"/>
      <c r="G28" s="529"/>
    </row>
    <row r="29" spans="2:13" ht="15">
      <c r="B29" s="88"/>
      <c r="C29" s="529" t="s">
        <v>762</v>
      </c>
      <c r="F29" s="529"/>
      <c r="G29" s="529"/>
      <c r="M29" s="85"/>
    </row>
    <row r="30" spans="2:13" ht="15">
      <c r="B30" s="88"/>
      <c r="C30" s="529" t="s">
        <v>763</v>
      </c>
    </row>
    <row r="31" spans="2:13" ht="15">
      <c r="B31" s="88"/>
      <c r="C31" s="529" t="s">
        <v>764</v>
      </c>
      <c r="H31" s="529"/>
    </row>
    <row r="32" spans="2:13" ht="15">
      <c r="B32" s="88"/>
    </row>
    <row r="33" spans="1:13" ht="15">
      <c r="H33" s="529"/>
      <c r="I33" s="529"/>
      <c r="J33" s="529"/>
      <c r="K33" s="529"/>
    </row>
    <row r="34" spans="1:13" ht="15">
      <c r="C34" s="529"/>
      <c r="D34" s="88"/>
      <c r="E34" s="87"/>
      <c r="F34" s="529"/>
      <c r="G34" s="529"/>
      <c r="I34" s="201" t="s">
        <v>766</v>
      </c>
      <c r="J34" s="201" t="s">
        <v>767</v>
      </c>
      <c r="K34" s="281"/>
      <c r="L34" s="281"/>
      <c r="M34" s="281"/>
    </row>
    <row r="35" spans="1:13" ht="15">
      <c r="A35" s="784" t="s">
        <v>786</v>
      </c>
      <c r="C35" s="529"/>
      <c r="D35" s="88"/>
      <c r="E35" s="529"/>
      <c r="F35" s="529"/>
      <c r="G35" s="529"/>
      <c r="I35" s="653" t="s">
        <v>768</v>
      </c>
      <c r="J35" s="653" t="s">
        <v>768</v>
      </c>
      <c r="K35" s="655" t="s">
        <v>769</v>
      </c>
      <c r="L35" s="281"/>
      <c r="M35" s="281"/>
    </row>
    <row r="36" spans="1:13" ht="15">
      <c r="A36" s="274">
        <v>1</v>
      </c>
      <c r="B36" s="84" t="s">
        <v>209</v>
      </c>
      <c r="C36" s="529" t="s">
        <v>787</v>
      </c>
      <c r="D36" s="88"/>
      <c r="E36" s="529"/>
      <c r="F36" s="529"/>
      <c r="G36" s="529"/>
      <c r="I36" s="812">
        <v>0</v>
      </c>
      <c r="J36" s="47"/>
      <c r="K36" s="87"/>
      <c r="L36" s="281"/>
      <c r="M36" s="280"/>
    </row>
    <row r="37" spans="1:13" ht="15">
      <c r="A37" s="274">
        <f>+A36+1</f>
        <v>2</v>
      </c>
      <c r="B37" s="84" t="s">
        <v>211</v>
      </c>
      <c r="C37" s="652" t="s">
        <v>788</v>
      </c>
      <c r="D37" s="88"/>
      <c r="E37" s="529"/>
      <c r="F37" s="529"/>
      <c r="G37" s="529"/>
      <c r="I37" s="862">
        <v>0</v>
      </c>
      <c r="J37" s="654"/>
      <c r="K37" s="87"/>
      <c r="L37" s="281"/>
      <c r="M37" s="85"/>
    </row>
    <row r="38" spans="1:13" ht="15">
      <c r="A38" s="274">
        <f t="shared" ref="A38:A40" si="0">+A37+1</f>
        <v>3</v>
      </c>
      <c r="B38" s="84" t="s">
        <v>213</v>
      </c>
      <c r="C38" s="529" t="s">
        <v>772</v>
      </c>
      <c r="D38" s="88"/>
      <c r="E38" s="529"/>
      <c r="F38" s="529"/>
      <c r="G38" s="529"/>
      <c r="I38" s="513">
        <v>-18795</v>
      </c>
      <c r="J38" s="513">
        <f>+I38</f>
        <v>-18795</v>
      </c>
      <c r="K38" s="529"/>
    </row>
    <row r="39" spans="1:13" ht="15">
      <c r="A39" s="274">
        <f t="shared" si="0"/>
        <v>4</v>
      </c>
      <c r="B39" s="84" t="s">
        <v>215</v>
      </c>
      <c r="C39" s="529" t="s">
        <v>773</v>
      </c>
      <c r="D39" s="88"/>
      <c r="E39" s="529"/>
      <c r="F39" s="529"/>
      <c r="G39" s="529"/>
      <c r="I39" s="863">
        <f>(1+E74)^24</f>
        <v>1.068236482490182</v>
      </c>
      <c r="J39" s="863">
        <f>(1+F74)^24</f>
        <v>1</v>
      </c>
      <c r="K39" s="529"/>
    </row>
    <row r="40" spans="1:13" ht="15">
      <c r="A40" s="274">
        <f t="shared" si="0"/>
        <v>5</v>
      </c>
      <c r="B40" s="84" t="s">
        <v>217</v>
      </c>
      <c r="C40" s="529" t="s">
        <v>774</v>
      </c>
      <c r="D40" s="88"/>
      <c r="E40" s="529"/>
      <c r="F40" s="529"/>
      <c r="G40" s="529"/>
      <c r="I40" s="513">
        <f>+I38*I39</f>
        <v>-20077.504688402969</v>
      </c>
      <c r="J40" s="513">
        <f>+J38*J39</f>
        <v>-18795</v>
      </c>
      <c r="K40" s="513">
        <f>+J40-I40</f>
        <v>1282.5046884029689</v>
      </c>
    </row>
    <row r="41" spans="1:13" ht="15">
      <c r="A41" s="274">
        <f>+A40+1</f>
        <v>6</v>
      </c>
      <c r="B41" s="84" t="s">
        <v>219</v>
      </c>
      <c r="C41" s="529" t="s">
        <v>775</v>
      </c>
      <c r="D41" s="88"/>
      <c r="E41" s="529"/>
      <c r="F41" s="529"/>
      <c r="G41" s="529"/>
      <c r="H41" s="513"/>
      <c r="I41" s="513">
        <f>+I40+K40</f>
        <v>-18795</v>
      </c>
      <c r="J41" s="529"/>
      <c r="K41" s="529"/>
    </row>
    <row r="42" spans="1:13" ht="15">
      <c r="C42" s="529"/>
      <c r="D42" s="88"/>
      <c r="E42" s="529"/>
      <c r="F42" s="529"/>
      <c r="G42" s="529"/>
      <c r="H42" s="529"/>
      <c r="I42" s="281"/>
      <c r="J42" s="529"/>
      <c r="K42" s="529"/>
    </row>
    <row r="43" spans="1:13" ht="15">
      <c r="C43" s="529" t="s">
        <v>776</v>
      </c>
      <c r="D43" s="529"/>
      <c r="E43" s="529"/>
      <c r="F43" s="529"/>
      <c r="G43" s="529"/>
      <c r="H43" s="30"/>
    </row>
    <row r="44" spans="1:13" ht="15">
      <c r="C44" s="529" t="s">
        <v>777</v>
      </c>
      <c r="D44" s="529"/>
      <c r="E44" s="529"/>
      <c r="F44" s="529"/>
      <c r="G44" s="529"/>
      <c r="H44" s="275"/>
      <c r="I44" s="212"/>
      <c r="J44" s="514"/>
      <c r="K44" s="281"/>
      <c r="L44" s="281"/>
      <c r="M44" s="281"/>
    </row>
    <row r="45" spans="1:13" ht="15">
      <c r="C45" s="529"/>
      <c r="D45" s="529"/>
      <c r="E45" s="529"/>
      <c r="F45" s="529"/>
      <c r="G45" s="529"/>
      <c r="H45" s="205"/>
      <c r="I45" s="273"/>
      <c r="J45" s="273"/>
      <c r="K45" s="273"/>
      <c r="L45" s="281"/>
      <c r="M45" s="281"/>
    </row>
    <row r="46" spans="1:13" ht="15">
      <c r="B46" s="515" t="s">
        <v>778</v>
      </c>
      <c r="C46" s="529"/>
      <c r="D46" s="529"/>
      <c r="E46" s="88" t="s">
        <v>766</v>
      </c>
      <c r="F46" s="88" t="s">
        <v>779</v>
      </c>
      <c r="G46" s="529"/>
      <c r="H46" s="205"/>
      <c r="I46" s="273"/>
      <c r="J46" s="273"/>
      <c r="K46" s="273"/>
      <c r="L46" s="281"/>
      <c r="M46" s="281"/>
    </row>
    <row r="47" spans="1:13" ht="20.25">
      <c r="B47" s="274"/>
      <c r="C47" s="88"/>
      <c r="D47" s="529"/>
      <c r="E47" s="88" t="s">
        <v>780</v>
      </c>
      <c r="F47" s="88" t="s">
        <v>780</v>
      </c>
      <c r="H47" s="59"/>
      <c r="I47" s="205"/>
      <c r="J47" s="30"/>
      <c r="K47" s="516"/>
      <c r="L47" s="281"/>
      <c r="M47" s="281"/>
    </row>
    <row r="48" spans="1:13" ht="17.25">
      <c r="B48" s="781" t="s">
        <v>422</v>
      </c>
      <c r="C48" s="589" t="s">
        <v>360</v>
      </c>
      <c r="D48" s="529"/>
      <c r="E48" s="589" t="s">
        <v>768</v>
      </c>
      <c r="F48" s="589" t="s">
        <v>768</v>
      </c>
      <c r="H48" s="219"/>
      <c r="I48" s="514"/>
      <c r="J48" s="518"/>
      <c r="K48" s="516"/>
      <c r="L48" s="281"/>
      <c r="M48" s="281"/>
    </row>
    <row r="49" spans="1:12" ht="15">
      <c r="A49" s="274">
        <f>+A41+1</f>
        <v>7</v>
      </c>
      <c r="B49" s="258" t="s">
        <v>381</v>
      </c>
      <c r="C49" s="88" t="s">
        <v>781</v>
      </c>
      <c r="D49" s="529"/>
      <c r="E49" s="519">
        <v>2.8999999999999998E-3</v>
      </c>
      <c r="F49" s="519">
        <v>0</v>
      </c>
      <c r="G49" s="515"/>
      <c r="H49" s="533"/>
      <c r="I49" s="539"/>
      <c r="J49" s="540"/>
      <c r="K49" s="516"/>
      <c r="L49" s="281"/>
    </row>
    <row r="50" spans="1:12" ht="15">
      <c r="A50" s="274">
        <f>+A49+1</f>
        <v>8</v>
      </c>
      <c r="B50" s="258" t="s">
        <v>382</v>
      </c>
      <c r="C50" s="88" t="s">
        <v>781</v>
      </c>
      <c r="D50" s="529"/>
      <c r="E50" s="519">
        <v>2.8999999999999998E-3</v>
      </c>
      <c r="F50" s="519">
        <v>0</v>
      </c>
      <c r="G50" s="517"/>
      <c r="H50" s="88"/>
      <c r="I50" s="529"/>
      <c r="J50" s="533"/>
      <c r="K50" s="520"/>
    </row>
    <row r="51" spans="1:12" ht="15">
      <c r="A51" s="274">
        <f t="shared" ref="A51:A72" si="1">+A50+1</f>
        <v>9</v>
      </c>
      <c r="B51" s="258" t="s">
        <v>383</v>
      </c>
      <c r="C51" s="88" t="s">
        <v>781</v>
      </c>
      <c r="D51" s="529"/>
      <c r="E51" s="519">
        <v>2.8E-3</v>
      </c>
      <c r="F51" s="519">
        <v>0</v>
      </c>
      <c r="G51" s="529"/>
      <c r="H51" s="88"/>
      <c r="I51" s="529"/>
      <c r="J51" s="88"/>
      <c r="K51" s="520"/>
    </row>
    <row r="52" spans="1:12" ht="15">
      <c r="A52" s="274">
        <f t="shared" si="1"/>
        <v>10</v>
      </c>
      <c r="B52" s="258" t="s">
        <v>384</v>
      </c>
      <c r="C52" s="88" t="s">
        <v>781</v>
      </c>
      <c r="D52" s="529"/>
      <c r="E52" s="519">
        <v>2.8E-3</v>
      </c>
      <c r="F52" s="519">
        <v>0</v>
      </c>
      <c r="G52" s="529"/>
      <c r="H52" s="88"/>
      <c r="I52" s="529"/>
      <c r="J52" s="88"/>
      <c r="K52" s="520"/>
    </row>
    <row r="53" spans="1:12" ht="15">
      <c r="A53" s="274">
        <f t="shared" si="1"/>
        <v>11</v>
      </c>
      <c r="B53" s="258" t="s">
        <v>385</v>
      </c>
      <c r="C53" s="88" t="s">
        <v>781</v>
      </c>
      <c r="D53" s="529"/>
      <c r="E53" s="519">
        <v>2.7000000000000001E-3</v>
      </c>
      <c r="F53" s="519">
        <v>0</v>
      </c>
      <c r="G53" s="529"/>
      <c r="H53" s="533"/>
      <c r="I53" s="529"/>
      <c r="J53" s="88"/>
      <c r="K53" s="520"/>
    </row>
    <row r="54" spans="1:12" ht="15">
      <c r="A54" s="274">
        <f t="shared" si="1"/>
        <v>12</v>
      </c>
      <c r="B54" s="258" t="s">
        <v>386</v>
      </c>
      <c r="C54" s="88" t="s">
        <v>781</v>
      </c>
      <c r="D54" s="529"/>
      <c r="E54" s="519">
        <v>2.8E-3</v>
      </c>
      <c r="F54" s="519">
        <v>0</v>
      </c>
      <c r="G54" s="529"/>
      <c r="H54" s="88"/>
      <c r="I54" s="529"/>
      <c r="J54" s="88"/>
      <c r="K54" s="520"/>
    </row>
    <row r="55" spans="1:12" ht="15">
      <c r="A55" s="274">
        <f t="shared" si="1"/>
        <v>13</v>
      </c>
      <c r="B55" s="258" t="s">
        <v>375</v>
      </c>
      <c r="C55" s="88" t="s">
        <v>782</v>
      </c>
      <c r="D55" s="529"/>
      <c r="E55" s="519">
        <v>2.8E-3</v>
      </c>
      <c r="F55" s="519">
        <v>0</v>
      </c>
      <c r="G55" s="529"/>
      <c r="H55" s="88"/>
      <c r="I55" s="529"/>
      <c r="J55" s="88"/>
      <c r="K55" s="520"/>
    </row>
    <row r="56" spans="1:12" ht="15">
      <c r="A56" s="274">
        <f t="shared" si="1"/>
        <v>14</v>
      </c>
      <c r="B56" s="258" t="s">
        <v>376</v>
      </c>
      <c r="C56" s="88" t="s">
        <v>782</v>
      </c>
      <c r="D56" s="529"/>
      <c r="E56" s="519">
        <v>2.5000000000000001E-3</v>
      </c>
      <c r="F56" s="519">
        <v>0</v>
      </c>
      <c r="G56" s="529"/>
      <c r="H56" s="88"/>
      <c r="I56" s="529"/>
      <c r="J56" s="88"/>
      <c r="K56" s="520"/>
    </row>
    <row r="57" spans="1:12" ht="15">
      <c r="A57" s="274">
        <f t="shared" si="1"/>
        <v>15</v>
      </c>
      <c r="B57" s="258" t="s">
        <v>377</v>
      </c>
      <c r="C57" s="88" t="s">
        <v>782</v>
      </c>
      <c r="D57" s="529"/>
      <c r="E57" s="519">
        <v>2.8E-3</v>
      </c>
      <c r="F57" s="519">
        <v>0</v>
      </c>
      <c r="G57" s="529"/>
      <c r="H57" s="88"/>
      <c r="I57" s="529"/>
      <c r="J57" s="88"/>
      <c r="K57" s="520"/>
    </row>
    <row r="58" spans="1:12" ht="15">
      <c r="A58" s="274">
        <f t="shared" si="1"/>
        <v>16</v>
      </c>
      <c r="B58" s="258" t="s">
        <v>378</v>
      </c>
      <c r="C58" s="88" t="s">
        <v>782</v>
      </c>
      <c r="D58" s="529"/>
      <c r="E58" s="519">
        <v>2.7000000000000001E-3</v>
      </c>
      <c r="F58" s="519">
        <v>0</v>
      </c>
      <c r="G58" s="529"/>
      <c r="H58" s="88"/>
      <c r="I58" s="529"/>
      <c r="J58" s="88"/>
      <c r="K58" s="520"/>
    </row>
    <row r="59" spans="1:12" ht="15">
      <c r="A59" s="274">
        <f t="shared" si="1"/>
        <v>17</v>
      </c>
      <c r="B59" s="258" t="s">
        <v>379</v>
      </c>
      <c r="C59" s="88" t="s">
        <v>782</v>
      </c>
      <c r="D59" s="529"/>
      <c r="E59" s="519">
        <v>2.8E-3</v>
      </c>
      <c r="F59" s="519">
        <v>0</v>
      </c>
      <c r="G59" s="529"/>
      <c r="H59" s="88"/>
      <c r="I59" s="529"/>
      <c r="J59" s="88"/>
      <c r="K59" s="520"/>
    </row>
    <row r="60" spans="1:12" ht="15">
      <c r="A60" s="274">
        <f t="shared" si="1"/>
        <v>18</v>
      </c>
      <c r="B60" s="258" t="s">
        <v>380</v>
      </c>
      <c r="C60" s="88" t="s">
        <v>782</v>
      </c>
      <c r="D60" s="529"/>
      <c r="E60" s="519">
        <v>2.7000000000000001E-3</v>
      </c>
      <c r="F60" s="519">
        <v>0</v>
      </c>
      <c r="G60" s="529"/>
      <c r="H60" s="88"/>
      <c r="I60" s="529"/>
      <c r="J60" s="88"/>
      <c r="K60" s="520"/>
    </row>
    <row r="61" spans="1:12" ht="15">
      <c r="A61" s="274">
        <f t="shared" si="1"/>
        <v>19</v>
      </c>
      <c r="B61" s="258" t="s">
        <v>381</v>
      </c>
      <c r="C61" s="88" t="s">
        <v>782</v>
      </c>
      <c r="D61" s="529"/>
      <c r="E61" s="519">
        <v>2.8E-3</v>
      </c>
      <c r="F61" s="519">
        <v>0</v>
      </c>
      <c r="G61" s="529"/>
      <c r="H61" s="88"/>
      <c r="I61" s="529"/>
      <c r="J61" s="88"/>
      <c r="K61" s="520"/>
    </row>
    <row r="62" spans="1:12" ht="15">
      <c r="A62" s="274">
        <f t="shared" si="1"/>
        <v>20</v>
      </c>
      <c r="B62" s="258" t="s">
        <v>382</v>
      </c>
      <c r="C62" s="88" t="s">
        <v>782</v>
      </c>
      <c r="D62" s="529"/>
      <c r="E62" s="519">
        <v>2.8E-3</v>
      </c>
      <c r="F62" s="519">
        <v>0</v>
      </c>
      <c r="G62" s="529"/>
      <c r="H62" s="88"/>
      <c r="I62" s="529"/>
      <c r="J62" s="88"/>
      <c r="K62" s="520"/>
    </row>
    <row r="63" spans="1:12" ht="15">
      <c r="A63" s="274">
        <f t="shared" si="1"/>
        <v>21</v>
      </c>
      <c r="B63" s="258" t="s">
        <v>383</v>
      </c>
      <c r="C63" s="88" t="s">
        <v>782</v>
      </c>
      <c r="D63" s="529"/>
      <c r="E63" s="519">
        <v>2.7000000000000001E-3</v>
      </c>
      <c r="F63" s="519">
        <v>0</v>
      </c>
      <c r="G63" s="529"/>
      <c r="H63" s="88"/>
      <c r="I63" s="529"/>
      <c r="J63" s="88"/>
      <c r="K63" s="520"/>
    </row>
    <row r="64" spans="1:12" ht="15">
      <c r="A64" s="274">
        <f t="shared" si="1"/>
        <v>22</v>
      </c>
      <c r="B64" s="782" t="s">
        <v>384</v>
      </c>
      <c r="C64" s="88" t="s">
        <v>782</v>
      </c>
      <c r="D64" s="87"/>
      <c r="E64" s="519">
        <v>2.8E-3</v>
      </c>
      <c r="F64" s="519">
        <v>0</v>
      </c>
      <c r="G64" s="529"/>
      <c r="H64" s="88"/>
      <c r="I64" s="529"/>
      <c r="J64" s="88"/>
      <c r="K64" s="520"/>
    </row>
    <row r="65" spans="1:11" ht="15">
      <c r="A65" s="274">
        <f t="shared" si="1"/>
        <v>23</v>
      </c>
      <c r="B65" s="258" t="s">
        <v>385</v>
      </c>
      <c r="C65" s="88" t="s">
        <v>782</v>
      </c>
      <c r="D65" s="529"/>
      <c r="E65" s="519">
        <v>2.7000000000000001E-3</v>
      </c>
      <c r="F65" s="519">
        <v>0</v>
      </c>
      <c r="G65" s="529"/>
      <c r="H65" s="88"/>
      <c r="I65" s="529"/>
      <c r="J65" s="88"/>
      <c r="K65" s="520"/>
    </row>
    <row r="66" spans="1:11" ht="15">
      <c r="A66" s="274">
        <f t="shared" si="1"/>
        <v>24</v>
      </c>
      <c r="B66" s="258" t="s">
        <v>386</v>
      </c>
      <c r="C66" s="88" t="s">
        <v>782</v>
      </c>
      <c r="D66" s="529"/>
      <c r="E66" s="519">
        <v>2.8E-3</v>
      </c>
      <c r="F66" s="519">
        <v>0</v>
      </c>
      <c r="G66" s="529"/>
      <c r="H66" s="88"/>
      <c r="I66" s="529"/>
      <c r="J66" s="88"/>
      <c r="K66" s="520"/>
    </row>
    <row r="67" spans="1:11" ht="15">
      <c r="A67" s="274">
        <f t="shared" si="1"/>
        <v>25</v>
      </c>
      <c r="B67" s="258" t="s">
        <v>375</v>
      </c>
      <c r="C67" s="88" t="s">
        <v>783</v>
      </c>
      <c r="D67" s="529"/>
      <c r="E67" s="519">
        <v>2.8E-3</v>
      </c>
      <c r="F67" s="519">
        <v>0</v>
      </c>
      <c r="G67" s="529"/>
      <c r="H67" s="88"/>
      <c r="I67" s="529"/>
      <c r="J67" s="88"/>
      <c r="K67" s="520"/>
    </row>
    <row r="68" spans="1:11" ht="15">
      <c r="A68" s="274">
        <f t="shared" si="1"/>
        <v>26</v>
      </c>
      <c r="B68" s="258" t="s">
        <v>376</v>
      </c>
      <c r="C68" s="88" t="s">
        <v>783</v>
      </c>
      <c r="D68" s="529"/>
      <c r="E68" s="519">
        <v>2.5000000000000001E-3</v>
      </c>
      <c r="F68" s="519">
        <v>0</v>
      </c>
      <c r="G68" s="529"/>
      <c r="H68" s="88"/>
      <c r="I68" s="529"/>
      <c r="J68" s="88"/>
    </row>
    <row r="69" spans="1:11" ht="15">
      <c r="A69" s="274">
        <f t="shared" si="1"/>
        <v>27</v>
      </c>
      <c r="B69" s="258" t="s">
        <v>377</v>
      </c>
      <c r="C69" s="88" t="s">
        <v>783</v>
      </c>
      <c r="D69" s="529"/>
      <c r="E69" s="519">
        <v>2.8E-3</v>
      </c>
      <c r="F69" s="519">
        <v>0</v>
      </c>
      <c r="G69" s="529"/>
      <c r="H69" s="88"/>
      <c r="I69" s="529"/>
      <c r="J69" s="88"/>
    </row>
    <row r="70" spans="1:11" ht="15">
      <c r="A70" s="274">
        <f t="shared" si="1"/>
        <v>28</v>
      </c>
      <c r="B70" s="258" t="s">
        <v>378</v>
      </c>
      <c r="C70" s="88" t="s">
        <v>783</v>
      </c>
      <c r="D70" s="529"/>
      <c r="E70" s="519">
        <v>2.7000000000000001E-3</v>
      </c>
      <c r="F70" s="519">
        <v>0</v>
      </c>
      <c r="G70" s="529"/>
      <c r="H70" s="88"/>
      <c r="I70" s="529"/>
      <c r="J70" s="88"/>
    </row>
    <row r="71" spans="1:11" ht="15">
      <c r="A71" s="274">
        <f t="shared" si="1"/>
        <v>29</v>
      </c>
      <c r="B71" s="258" t="s">
        <v>379</v>
      </c>
      <c r="C71" s="88" t="s">
        <v>783</v>
      </c>
      <c r="D71" s="529"/>
      <c r="E71" s="519">
        <v>2.8E-3</v>
      </c>
      <c r="F71" s="519">
        <v>0</v>
      </c>
      <c r="G71" s="529"/>
      <c r="H71" s="88"/>
      <c r="I71" s="529"/>
      <c r="J71" s="88"/>
    </row>
    <row r="72" spans="1:11" ht="15">
      <c r="A72" s="274">
        <f t="shared" si="1"/>
        <v>30</v>
      </c>
      <c r="B72" s="258" t="s">
        <v>380</v>
      </c>
      <c r="C72" s="88" t="s">
        <v>783</v>
      </c>
      <c r="D72" s="529"/>
      <c r="E72" s="519">
        <v>2.7000000000000001E-3</v>
      </c>
      <c r="F72" s="519">
        <v>0</v>
      </c>
      <c r="G72" s="87"/>
      <c r="H72" s="87"/>
      <c r="I72" s="87"/>
      <c r="J72" s="521"/>
    </row>
    <row r="73" spans="1:11">
      <c r="B73" s="783"/>
    </row>
    <row r="74" spans="1:11" ht="15">
      <c r="A74" s="274">
        <f>+A72+1</f>
        <v>31</v>
      </c>
      <c r="B74" s="258" t="s">
        <v>519</v>
      </c>
      <c r="E74" s="588">
        <f>+SUM(E49:E72)/24</f>
        <v>2.7541666666666656E-3</v>
      </c>
      <c r="F74" s="588">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A21" sqref="A21"/>
    </sheetView>
  </sheetViews>
  <sheetFormatPr defaultRowHeight="12.75"/>
  <cols>
    <col min="1" max="1" width="5.28515625" customWidth="1"/>
    <col min="2" max="2" width="31.140625" customWidth="1"/>
    <col min="3" max="3" width="24.7109375" style="731" customWidth="1"/>
    <col min="4" max="4" width="5.5703125" customWidth="1"/>
    <col min="5" max="5" width="13.28515625" style="731" customWidth="1"/>
    <col min="6" max="6" width="6" style="731"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075"/>
      <c r="B1" s="260"/>
      <c r="C1" s="260"/>
      <c r="D1" s="260"/>
      <c r="E1" s="1075"/>
      <c r="F1" s="1075"/>
      <c r="G1" s="1075"/>
      <c r="H1" s="274"/>
      <c r="I1" s="274"/>
      <c r="J1" s="1075" t="str">
        <f>+'Appendix A'!A3</f>
        <v>Dayton Power and Light</v>
      </c>
      <c r="K1" s="1075"/>
      <c r="L1" s="1075"/>
      <c r="M1" s="1075"/>
      <c r="N1" s="1075"/>
      <c r="O1" s="262"/>
      <c r="P1" s="262"/>
      <c r="Q1" s="923"/>
      <c r="R1" s="923"/>
      <c r="S1" s="923"/>
      <c r="T1" s="923"/>
      <c r="U1" s="923"/>
      <c r="V1" s="923"/>
      <c r="W1" s="923"/>
      <c r="X1" s="923"/>
      <c r="Y1" s="923"/>
      <c r="Z1" s="923"/>
      <c r="AA1" s="923"/>
      <c r="AB1" s="923"/>
    </row>
    <row r="2" spans="1:28" ht="18">
      <c r="A2" s="84"/>
      <c r="B2" s="260"/>
      <c r="C2" s="260"/>
      <c r="D2" s="260"/>
      <c r="E2" s="1075"/>
      <c r="F2" s="1075"/>
      <c r="G2" s="1075"/>
      <c r="H2" s="274"/>
      <c r="I2" s="274"/>
      <c r="J2" s="1075" t="str">
        <f>+'Appendix A'!A4</f>
        <v xml:space="preserve">ATTACHMENT H-15A </v>
      </c>
      <c r="K2" s="1075"/>
      <c r="L2" s="1075"/>
      <c r="M2" s="1075"/>
      <c r="N2" s="1075"/>
      <c r="O2" s="262"/>
      <c r="P2" s="262"/>
      <c r="Q2" s="923"/>
      <c r="R2" s="923"/>
      <c r="S2" s="923"/>
      <c r="T2" s="923"/>
      <c r="U2" s="923"/>
      <c r="V2" s="923"/>
      <c r="W2" s="923"/>
      <c r="X2" s="923"/>
      <c r="Y2" s="923"/>
      <c r="Z2" s="923"/>
      <c r="AA2" s="923"/>
      <c r="AB2" s="923"/>
    </row>
    <row r="3" spans="1:28" ht="18">
      <c r="A3" s="84"/>
      <c r="B3" s="260"/>
      <c r="C3" s="260"/>
      <c r="D3" s="260"/>
      <c r="E3" s="1075"/>
      <c r="F3" s="1075"/>
      <c r="G3" s="1075"/>
      <c r="H3" s="274"/>
      <c r="I3" s="274"/>
      <c r="J3" s="1075" t="s">
        <v>789</v>
      </c>
      <c r="K3" s="1075"/>
      <c r="L3" s="1075"/>
      <c r="M3" s="1075"/>
      <c r="N3" s="1075"/>
      <c r="O3" s="262"/>
      <c r="P3" s="262"/>
      <c r="Q3" s="923"/>
      <c r="R3" s="923"/>
      <c r="S3" s="923"/>
      <c r="T3" s="923"/>
      <c r="U3" s="923"/>
      <c r="V3" s="923"/>
      <c r="W3" s="923"/>
      <c r="X3" s="923"/>
      <c r="Y3" s="878"/>
      <c r="Z3" s="923"/>
      <c r="AA3" s="923"/>
      <c r="AB3" s="923"/>
    </row>
    <row r="4" spans="1:28" ht="18">
      <c r="A4" s="84"/>
      <c r="B4" s="214" t="s">
        <v>417</v>
      </c>
      <c r="C4" s="522"/>
      <c r="D4" s="260"/>
      <c r="E4" s="1075"/>
      <c r="F4" s="1075"/>
      <c r="G4" s="1075"/>
      <c r="H4" s="1075"/>
      <c r="I4" s="1075"/>
      <c r="J4" s="1075"/>
      <c r="K4" s="1075"/>
      <c r="L4" s="1075"/>
      <c r="M4" s="1075"/>
      <c r="N4" s="1075"/>
      <c r="O4" s="1075"/>
      <c r="P4" s="1075"/>
      <c r="Q4" s="923"/>
      <c r="R4" s="923"/>
      <c r="S4" s="923"/>
      <c r="T4" s="923"/>
      <c r="U4" s="923"/>
      <c r="V4" s="923"/>
      <c r="W4" s="923"/>
      <c r="X4" s="923"/>
      <c r="Y4" s="923"/>
      <c r="Z4" s="923"/>
      <c r="AA4" s="923"/>
      <c r="AB4" s="923"/>
    </row>
    <row r="5" spans="1:28" ht="18">
      <c r="A5" s="256"/>
      <c r="B5" s="523"/>
      <c r="C5" s="522"/>
      <c r="D5" s="524"/>
      <c r="E5" s="256"/>
      <c r="F5" s="92"/>
      <c r="G5" s="92"/>
      <c r="H5" s="92"/>
      <c r="I5" s="92"/>
      <c r="J5" s="262"/>
      <c r="K5" s="262"/>
      <c r="L5" s="262"/>
      <c r="M5" s="262"/>
      <c r="N5" s="262"/>
      <c r="O5" s="262"/>
      <c r="P5" s="262"/>
      <c r="Q5" s="923"/>
      <c r="R5" s="923"/>
      <c r="S5" s="923"/>
      <c r="T5" s="923"/>
      <c r="U5" s="923"/>
      <c r="V5" s="923"/>
      <c r="W5" s="923"/>
      <c r="X5" s="923"/>
      <c r="Y5" s="923"/>
      <c r="Z5" s="923"/>
      <c r="AA5" s="923"/>
      <c r="AB5" s="923"/>
    </row>
    <row r="6" spans="1:28" s="731" customFormat="1" ht="18">
      <c r="A6" s="84"/>
      <c r="B6" s="779" t="s">
        <v>790</v>
      </c>
      <c r="C6" s="274"/>
      <c r="D6" s="741"/>
      <c r="E6" s="282"/>
      <c r="F6" s="740"/>
      <c r="G6" s="282"/>
      <c r="H6" s="282"/>
      <c r="I6" s="282"/>
      <c r="J6" s="739"/>
      <c r="K6" s="742"/>
      <c r="L6" s="281"/>
      <c r="M6" s="274"/>
      <c r="N6" s="262"/>
      <c r="O6" s="262"/>
      <c r="P6" s="262"/>
      <c r="Q6" s="559"/>
      <c r="R6" s="559"/>
      <c r="S6" s="559"/>
      <c r="T6" s="559"/>
      <c r="U6" s="559"/>
      <c r="V6" s="559"/>
      <c r="W6" s="559"/>
      <c r="X6" s="559"/>
      <c r="Y6" s="559"/>
      <c r="Z6" s="559"/>
      <c r="AA6" s="559"/>
      <c r="AB6" s="559"/>
    </row>
    <row r="7" spans="1:28">
      <c r="A7" s="559"/>
      <c r="B7" s="559"/>
      <c r="C7" s="559"/>
      <c r="D7" s="559"/>
      <c r="E7" s="559"/>
      <c r="F7" s="559"/>
      <c r="G7" s="1087" t="s">
        <v>791</v>
      </c>
      <c r="H7" s="559"/>
      <c r="I7" s="1087" t="s">
        <v>792</v>
      </c>
      <c r="J7" s="559"/>
      <c r="K7" s="1087" t="s">
        <v>793</v>
      </c>
      <c r="L7" s="559"/>
      <c r="M7" s="1087" t="s">
        <v>794</v>
      </c>
      <c r="N7" s="559"/>
      <c r="O7" s="1087" t="s">
        <v>795</v>
      </c>
      <c r="P7" s="559"/>
      <c r="Q7" s="1087" t="s">
        <v>796</v>
      </c>
      <c r="R7" s="559"/>
      <c r="S7" s="1087" t="s">
        <v>797</v>
      </c>
      <c r="T7" s="559"/>
      <c r="U7" s="1087" t="s">
        <v>798</v>
      </c>
      <c r="V7" s="559"/>
      <c r="W7" s="1087" t="s">
        <v>799</v>
      </c>
      <c r="X7" s="559"/>
      <c r="Y7" s="1087" t="s">
        <v>800</v>
      </c>
      <c r="Z7" s="559"/>
      <c r="AA7" s="559"/>
      <c r="AB7" s="559"/>
    </row>
    <row r="8" spans="1:28">
      <c r="A8" s="683" t="s">
        <v>786</v>
      </c>
      <c r="B8" s="559"/>
      <c r="C8" s="559"/>
      <c r="D8" s="559"/>
      <c r="E8" s="732" t="s">
        <v>69</v>
      </c>
      <c r="F8" s="559"/>
      <c r="G8" s="733" t="s">
        <v>801</v>
      </c>
      <c r="H8" s="559"/>
      <c r="I8" s="733" t="s">
        <v>801</v>
      </c>
      <c r="J8" s="559"/>
      <c r="K8" s="733" t="s">
        <v>801</v>
      </c>
      <c r="L8" s="559"/>
      <c r="M8" s="733" t="s">
        <v>801</v>
      </c>
      <c r="N8" s="559"/>
      <c r="O8" s="733" t="s">
        <v>801</v>
      </c>
      <c r="P8" s="559"/>
      <c r="Q8" s="733" t="s">
        <v>801</v>
      </c>
      <c r="R8" s="559"/>
      <c r="S8" s="733" t="s">
        <v>801</v>
      </c>
      <c r="T8" s="559"/>
      <c r="U8" s="733" t="s">
        <v>801</v>
      </c>
      <c r="V8" s="559"/>
      <c r="W8" s="733" t="s">
        <v>801</v>
      </c>
      <c r="X8" s="559"/>
      <c r="Y8" s="733" t="s">
        <v>801</v>
      </c>
      <c r="Z8" s="559"/>
      <c r="AA8" s="559"/>
      <c r="AB8" s="559"/>
    </row>
    <row r="9" spans="1:28">
      <c r="A9" s="559"/>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row>
    <row r="10" spans="1:28">
      <c r="A10" s="559">
        <v>1</v>
      </c>
      <c r="B10" s="559" t="s">
        <v>24</v>
      </c>
      <c r="C10" s="769" t="str">
        <f>"(Attachment 4, Line "&amp;'4 - Cost Support'!A243&amp;" etc.)"</f>
        <v>(Attachment 4, Line 88 etc.)</v>
      </c>
      <c r="D10" s="559"/>
      <c r="E10" s="685"/>
      <c r="F10" s="685"/>
      <c r="G10" s="864">
        <f>+'4 - Cost Support'!T243</f>
        <v>0</v>
      </c>
      <c r="H10" s="864"/>
      <c r="I10" s="864">
        <f>+'4 - Cost Support'!T248</f>
        <v>0</v>
      </c>
      <c r="J10" s="864"/>
      <c r="K10" s="864">
        <f>+'4 - Cost Support'!T253</f>
        <v>0</v>
      </c>
      <c r="L10" s="864"/>
      <c r="M10" s="864">
        <f>+'4 - Cost Support'!T258</f>
        <v>0</v>
      </c>
      <c r="N10" s="864"/>
      <c r="O10" s="864">
        <f>+'4 - Cost Support'!T263</f>
        <v>0</v>
      </c>
      <c r="P10" s="864"/>
      <c r="Q10" s="864">
        <f>+'4 - Cost Support'!T268</f>
        <v>0</v>
      </c>
      <c r="R10" s="864"/>
      <c r="S10" s="864">
        <f>+'4 - Cost Support'!T273</f>
        <v>0</v>
      </c>
      <c r="T10" s="864"/>
      <c r="U10" s="864">
        <f>+'4 - Cost Support'!T278</f>
        <v>0</v>
      </c>
      <c r="V10" s="864"/>
      <c r="W10" s="864">
        <f>+'4 - Cost Support'!T283</f>
        <v>0</v>
      </c>
      <c r="X10" s="864"/>
      <c r="Y10" s="864">
        <f>+'4 - Cost Support'!T288</f>
        <v>0</v>
      </c>
      <c r="Z10" s="559"/>
      <c r="AA10" s="559"/>
      <c r="AB10" s="559"/>
    </row>
    <row r="11" spans="1:28">
      <c r="A11" s="559">
        <f>+A10+1</f>
        <v>2</v>
      </c>
      <c r="B11" s="559" t="s">
        <v>33</v>
      </c>
      <c r="C11" s="769" t="str">
        <f>"(Attachment 4, Line "&amp;'4 - Cost Support'!A244&amp;" etc.)"</f>
        <v>(Attachment 4, Line 89 etc.)</v>
      </c>
      <c r="D11" s="559"/>
      <c r="E11" s="685"/>
      <c r="F11" s="685"/>
      <c r="G11" s="865">
        <f>+'4 - Cost Support'!T244</f>
        <v>0</v>
      </c>
      <c r="H11" s="865"/>
      <c r="I11" s="865">
        <f>+'4 - Cost Support'!T249</f>
        <v>0</v>
      </c>
      <c r="J11" s="865"/>
      <c r="K11" s="865">
        <f>+'4 - Cost Support'!T254</f>
        <v>0</v>
      </c>
      <c r="L11" s="865"/>
      <c r="M11" s="865">
        <f>+'4 - Cost Support'!T259</f>
        <v>0</v>
      </c>
      <c r="N11" s="865"/>
      <c r="O11" s="865">
        <f>+'4 - Cost Support'!T264</f>
        <v>0</v>
      </c>
      <c r="P11" s="865"/>
      <c r="Q11" s="865">
        <f>+'4 - Cost Support'!T269</f>
        <v>0</v>
      </c>
      <c r="R11" s="865"/>
      <c r="S11" s="865">
        <f>+'4 - Cost Support'!T274</f>
        <v>0</v>
      </c>
      <c r="T11" s="865"/>
      <c r="U11" s="865">
        <f>+'4 - Cost Support'!T279</f>
        <v>0</v>
      </c>
      <c r="V11" s="865"/>
      <c r="W11" s="865">
        <f>+'4 - Cost Support'!T284</f>
        <v>0</v>
      </c>
      <c r="X11" s="865"/>
      <c r="Y11" s="865">
        <f>+'4 - Cost Support'!T289</f>
        <v>0</v>
      </c>
      <c r="Z11" s="559"/>
      <c r="AA11" s="559"/>
      <c r="AB11" s="559"/>
    </row>
    <row r="12" spans="1:28">
      <c r="A12" s="559">
        <f>+A11+1</f>
        <v>3</v>
      </c>
      <c r="B12" s="559" t="s">
        <v>18</v>
      </c>
      <c r="C12" s="559" t="str">
        <f>"(Line "&amp;A10&amp;" + Line "&amp;A11&amp;")"</f>
        <v>(Line 1 + Line 2)</v>
      </c>
      <c r="D12" s="559"/>
      <c r="E12" s="685"/>
      <c r="F12" s="685"/>
      <c r="G12" s="864">
        <f>+G10-G11</f>
        <v>0</v>
      </c>
      <c r="H12" s="864"/>
      <c r="I12" s="864">
        <f>+I10-I11</f>
        <v>0</v>
      </c>
      <c r="J12" s="864"/>
      <c r="K12" s="864">
        <f>+K10-K11</f>
        <v>0</v>
      </c>
      <c r="L12" s="864"/>
      <c r="M12" s="864">
        <f>+M10-M11</f>
        <v>0</v>
      </c>
      <c r="N12" s="864"/>
      <c r="O12" s="864">
        <f>+O10-O11</f>
        <v>0</v>
      </c>
      <c r="P12" s="864"/>
      <c r="Q12" s="864">
        <f>+Q10-Q11</f>
        <v>0</v>
      </c>
      <c r="R12" s="864"/>
      <c r="S12" s="864">
        <f>+S10-S11</f>
        <v>0</v>
      </c>
      <c r="T12" s="864"/>
      <c r="U12" s="864">
        <f>+U10-U11</f>
        <v>0</v>
      </c>
      <c r="V12" s="864"/>
      <c r="W12" s="864">
        <f>+W10-W11</f>
        <v>0</v>
      </c>
      <c r="X12" s="864"/>
      <c r="Y12" s="864">
        <f>+Y10-Y11</f>
        <v>0</v>
      </c>
      <c r="Z12" s="559"/>
      <c r="AA12" s="559"/>
      <c r="AB12" s="559"/>
    </row>
    <row r="13" spans="1:28">
      <c r="A13" s="559">
        <f t="shared" ref="A13:A18" si="0">+A12+1</f>
        <v>4</v>
      </c>
      <c r="B13" s="559" t="s">
        <v>43</v>
      </c>
      <c r="C13" s="769" t="str">
        <f>"(Attachment 4, Line "&amp;'4 - Cost Support'!A245&amp;" etc.)"</f>
        <v>(Attachment 4, Line 90 etc.)</v>
      </c>
      <c r="D13" s="559"/>
      <c r="E13" s="685"/>
      <c r="F13" s="685"/>
      <c r="G13" s="865">
        <f>+'4 - Cost Support'!T245</f>
        <v>0</v>
      </c>
      <c r="H13" s="865"/>
      <c r="I13" s="865">
        <f>+'4 - Cost Support'!T250</f>
        <v>0</v>
      </c>
      <c r="J13" s="865"/>
      <c r="K13" s="865">
        <f>+'4 - Cost Support'!T255</f>
        <v>0</v>
      </c>
      <c r="L13" s="865"/>
      <c r="M13" s="865">
        <f>+'4 - Cost Support'!T260</f>
        <v>0</v>
      </c>
      <c r="N13" s="865"/>
      <c r="O13" s="865">
        <f>+'4 - Cost Support'!T265</f>
        <v>0</v>
      </c>
      <c r="P13" s="865"/>
      <c r="Q13" s="865">
        <f>+'4 - Cost Support'!T270</f>
        <v>0</v>
      </c>
      <c r="R13" s="865"/>
      <c r="S13" s="865">
        <f>+'4 - Cost Support'!T275</f>
        <v>0</v>
      </c>
      <c r="T13" s="865"/>
      <c r="U13" s="865">
        <f>+'4 - Cost Support'!T280</f>
        <v>0</v>
      </c>
      <c r="V13" s="865"/>
      <c r="W13" s="865">
        <f>+'4 - Cost Support'!T285</f>
        <v>0</v>
      </c>
      <c r="X13" s="865"/>
      <c r="Y13" s="865">
        <f>+'4 - Cost Support'!T290</f>
        <v>0</v>
      </c>
      <c r="Z13" s="559"/>
      <c r="AA13" s="559"/>
      <c r="AB13" s="559"/>
    </row>
    <row r="14" spans="1:28">
      <c r="A14" s="559">
        <f t="shared" si="0"/>
        <v>5</v>
      </c>
      <c r="B14" s="559" t="s">
        <v>77</v>
      </c>
      <c r="C14" s="559" t="str">
        <f>"(Line "&amp;A12&amp;" + Line "&amp;A13&amp;")"</f>
        <v>(Line 3 + Line 4)</v>
      </c>
      <c r="D14" s="559"/>
      <c r="E14" s="685"/>
      <c r="F14" s="685"/>
      <c r="G14" s="864">
        <f>+G12-G13</f>
        <v>0</v>
      </c>
      <c r="H14" s="864"/>
      <c r="I14" s="864">
        <f>+I12-I13</f>
        <v>0</v>
      </c>
      <c r="J14" s="864"/>
      <c r="K14" s="864">
        <f>+K12-K13</f>
        <v>0</v>
      </c>
      <c r="L14" s="864"/>
      <c r="M14" s="864">
        <f>+M12-M13</f>
        <v>0</v>
      </c>
      <c r="N14" s="864"/>
      <c r="O14" s="864">
        <f>+O12-O13</f>
        <v>0</v>
      </c>
      <c r="P14" s="864"/>
      <c r="Q14" s="864">
        <f>+Q12-Q13</f>
        <v>0</v>
      </c>
      <c r="R14" s="864"/>
      <c r="S14" s="864">
        <f>+S12-S13</f>
        <v>0</v>
      </c>
      <c r="T14" s="864"/>
      <c r="U14" s="864">
        <f>+U12-U13</f>
        <v>0</v>
      </c>
      <c r="V14" s="864"/>
      <c r="W14" s="864">
        <f>+W12-W13</f>
        <v>0</v>
      </c>
      <c r="X14" s="864"/>
      <c r="Y14" s="864">
        <f>+Y12-Y13</f>
        <v>0</v>
      </c>
      <c r="Z14" s="559"/>
      <c r="AA14" s="559"/>
      <c r="AB14" s="559"/>
    </row>
    <row r="15" spans="1:28">
      <c r="A15" s="559">
        <f t="shared" si="0"/>
        <v>6</v>
      </c>
      <c r="B15" s="559" t="s">
        <v>790</v>
      </c>
      <c r="C15" s="559" t="s">
        <v>802</v>
      </c>
      <c r="D15" s="559"/>
      <c r="E15" s="559"/>
      <c r="F15" s="559"/>
      <c r="G15" s="738">
        <v>0</v>
      </c>
      <c r="H15" s="263"/>
      <c r="I15" s="738">
        <v>0</v>
      </c>
      <c r="J15" s="263"/>
      <c r="K15" s="738">
        <v>0</v>
      </c>
      <c r="L15" s="263"/>
      <c r="M15" s="738">
        <v>0</v>
      </c>
      <c r="N15" s="263"/>
      <c r="O15" s="738">
        <v>0</v>
      </c>
      <c r="P15" s="263"/>
      <c r="Q15" s="738">
        <v>0</v>
      </c>
      <c r="R15" s="263"/>
      <c r="S15" s="738">
        <v>0</v>
      </c>
      <c r="T15" s="263"/>
      <c r="U15" s="738">
        <v>0</v>
      </c>
      <c r="V15" s="263"/>
      <c r="W15" s="738">
        <v>0</v>
      </c>
      <c r="X15" s="263"/>
      <c r="Y15" s="738">
        <v>0</v>
      </c>
      <c r="Z15" s="559"/>
      <c r="AA15" s="559"/>
      <c r="AB15" s="559"/>
    </row>
    <row r="16" spans="1:28" s="731" customFormat="1">
      <c r="A16" s="559">
        <f t="shared" si="0"/>
        <v>7</v>
      </c>
      <c r="B16" s="559" t="s">
        <v>803</v>
      </c>
      <c r="C16" s="769" t="str">
        <f>"(Appendix A, Line "&amp;'Appendix A'!A196&amp;")"</f>
        <v>(Appendix A, Line 111)</v>
      </c>
      <c r="D16" s="559"/>
      <c r="E16" s="559"/>
      <c r="F16" s="559"/>
      <c r="G16" s="749">
        <f>+'Appendix A'!$H$196</f>
        <v>0.57512864092156912</v>
      </c>
      <c r="H16" s="263"/>
      <c r="I16" s="749">
        <f>+'Appendix A'!$H$196</f>
        <v>0.57512864092156912</v>
      </c>
      <c r="J16" s="263"/>
      <c r="K16" s="749">
        <f>+'Appendix A'!$H$196</f>
        <v>0.57512864092156912</v>
      </c>
      <c r="L16" s="263"/>
      <c r="M16" s="749">
        <f>+'Appendix A'!$H$196</f>
        <v>0.57512864092156912</v>
      </c>
      <c r="N16" s="263"/>
      <c r="O16" s="749">
        <f>+'Appendix A'!$H$196</f>
        <v>0.57512864092156912</v>
      </c>
      <c r="P16" s="263"/>
      <c r="Q16" s="749">
        <f>+'Appendix A'!$H$196</f>
        <v>0.57512864092156912</v>
      </c>
      <c r="R16" s="263"/>
      <c r="S16" s="749">
        <f>+'Appendix A'!$H$196</f>
        <v>0.57512864092156912</v>
      </c>
      <c r="T16" s="263"/>
      <c r="U16" s="749">
        <f>+'Appendix A'!$H$196</f>
        <v>0.57512864092156912</v>
      </c>
      <c r="V16" s="263"/>
      <c r="W16" s="749">
        <f>+'Appendix A'!$H$196</f>
        <v>0.57512864092156912</v>
      </c>
      <c r="X16" s="263"/>
      <c r="Y16" s="749">
        <f>+'Appendix A'!$H$196</f>
        <v>0.57512864092156912</v>
      </c>
      <c r="Z16" s="559"/>
      <c r="AA16" s="559"/>
      <c r="AB16" s="559"/>
    </row>
    <row r="17" spans="1:28" s="731" customFormat="1">
      <c r="A17" s="559">
        <f t="shared" si="0"/>
        <v>8</v>
      </c>
      <c r="B17" s="559" t="s">
        <v>156</v>
      </c>
      <c r="C17" s="769" t="str">
        <f>"(Appendix A, Line "&amp;'Appendix A'!A216&amp;")"</f>
        <v>(Appendix A, Line 126)</v>
      </c>
      <c r="D17" s="559"/>
      <c r="E17" s="684"/>
      <c r="F17" s="684"/>
      <c r="G17" s="751">
        <f>+'Appendix A'!$H$216</f>
        <v>1.2896818999593751</v>
      </c>
      <c r="H17" s="748"/>
      <c r="I17" s="751">
        <f>+'Appendix A'!$H$216</f>
        <v>1.2896818999593751</v>
      </c>
      <c r="J17" s="748"/>
      <c r="K17" s="751">
        <f>+'Appendix A'!$H$216</f>
        <v>1.2896818999593751</v>
      </c>
      <c r="L17" s="748"/>
      <c r="M17" s="751">
        <f>+'Appendix A'!$H$216</f>
        <v>1.2896818999593751</v>
      </c>
      <c r="N17" s="748"/>
      <c r="O17" s="751">
        <f>+'Appendix A'!$H$216</f>
        <v>1.2896818999593751</v>
      </c>
      <c r="P17" s="748"/>
      <c r="Q17" s="751">
        <f>+'Appendix A'!$H$216</f>
        <v>1.2896818999593751</v>
      </c>
      <c r="R17" s="748"/>
      <c r="S17" s="751">
        <f>+'Appendix A'!$H$216</f>
        <v>1.2896818999593751</v>
      </c>
      <c r="T17" s="748"/>
      <c r="U17" s="751">
        <f>+'Appendix A'!$H$216</f>
        <v>1.2896818999593751</v>
      </c>
      <c r="V17" s="748"/>
      <c r="W17" s="751">
        <f>+'Appendix A'!$H$216</f>
        <v>1.2896818999593751</v>
      </c>
      <c r="X17" s="748"/>
      <c r="Y17" s="751">
        <f>+'Appendix A'!$H$216</f>
        <v>1.2896818999593751</v>
      </c>
      <c r="Z17" s="559"/>
      <c r="AA17" s="559"/>
      <c r="AB17" s="559"/>
    </row>
    <row r="18" spans="1:28" s="731" customFormat="1" ht="25.5">
      <c r="A18" s="559">
        <f t="shared" si="0"/>
        <v>9</v>
      </c>
      <c r="B18" s="559" t="s">
        <v>804</v>
      </c>
      <c r="C18" s="734" t="str">
        <f>"(Line "&amp;A14&amp;" * Line "&amp;A15&amp;" * Line "&amp;A16&amp;" * Line "&amp;A17&amp;" )"</f>
        <v>(Line 5 * Line 6 * Line 7 * Line 8 )</v>
      </c>
      <c r="D18" s="559"/>
      <c r="E18" s="864">
        <f>+SUM(G18:Y18)</f>
        <v>0</v>
      </c>
      <c r="F18" s="864"/>
      <c r="G18" s="866">
        <f>+G14*G15*G16*G17</f>
        <v>0</v>
      </c>
      <c r="H18" s="867"/>
      <c r="I18" s="866">
        <f>+I14*I15*I16*I17</f>
        <v>0</v>
      </c>
      <c r="J18" s="867"/>
      <c r="K18" s="866">
        <f>+K14*K15*K16*K17</f>
        <v>0</v>
      </c>
      <c r="L18" s="867"/>
      <c r="M18" s="866">
        <f>+M14*M15*M16*M17</f>
        <v>0</v>
      </c>
      <c r="N18" s="867"/>
      <c r="O18" s="866">
        <f>+O14*O15*O16*O17</f>
        <v>0</v>
      </c>
      <c r="P18" s="867"/>
      <c r="Q18" s="866">
        <f>+Q14*Q15*Q16*Q17</f>
        <v>0</v>
      </c>
      <c r="R18" s="867"/>
      <c r="S18" s="866">
        <f>+S14*S15*S16*S17</f>
        <v>0</v>
      </c>
      <c r="T18" s="867"/>
      <c r="U18" s="866">
        <f>+U14*U15*U16*U17</f>
        <v>0</v>
      </c>
      <c r="V18" s="867"/>
      <c r="W18" s="866">
        <f>+W14*W15*W16*W17</f>
        <v>0</v>
      </c>
      <c r="X18" s="867"/>
      <c r="Y18" s="866">
        <f>+Y14*Y15*Y16*Y17</f>
        <v>0</v>
      </c>
      <c r="Z18" s="559"/>
      <c r="AA18" s="559"/>
      <c r="AB18" s="559"/>
    </row>
    <row r="19" spans="1:28" s="731" customFormat="1">
      <c r="A19" s="559"/>
      <c r="B19" s="559"/>
      <c r="C19" s="559"/>
      <c r="D19" s="559"/>
      <c r="E19" s="559"/>
      <c r="F19" s="559"/>
      <c r="G19" s="749"/>
      <c r="H19" s="263"/>
      <c r="I19" s="749"/>
      <c r="J19" s="263"/>
      <c r="K19" s="749"/>
      <c r="L19" s="263"/>
      <c r="M19" s="749"/>
      <c r="N19" s="263"/>
      <c r="O19" s="749"/>
      <c r="P19" s="263"/>
      <c r="Q19" s="749"/>
      <c r="R19" s="263"/>
      <c r="S19" s="749"/>
      <c r="T19" s="263"/>
      <c r="U19" s="749"/>
      <c r="V19" s="263"/>
      <c r="W19" s="749"/>
      <c r="X19" s="263"/>
      <c r="Y19" s="749"/>
      <c r="Z19" s="559"/>
      <c r="AA19" s="559"/>
      <c r="AB19" s="559"/>
    </row>
    <row r="20" spans="1:28" ht="25.5">
      <c r="A20" s="559"/>
      <c r="B20" s="734" t="s">
        <v>805</v>
      </c>
      <c r="C20" s="559"/>
      <c r="D20" s="559"/>
      <c r="E20" s="559"/>
      <c r="F20" s="559"/>
      <c r="G20" s="750"/>
      <c r="H20" s="559"/>
      <c r="I20" s="750"/>
      <c r="J20" s="559"/>
      <c r="K20" s="750"/>
      <c r="L20" s="559"/>
      <c r="M20" s="750"/>
      <c r="N20" s="559"/>
      <c r="O20" s="750"/>
      <c r="P20" s="559"/>
      <c r="Q20" s="750"/>
      <c r="R20" s="559"/>
      <c r="S20" s="750"/>
      <c r="T20" s="559"/>
      <c r="U20" s="750"/>
      <c r="V20" s="559"/>
      <c r="W20" s="750"/>
      <c r="X20" s="559"/>
      <c r="Y20" s="750"/>
      <c r="Z20" s="559"/>
      <c r="AA20" s="559"/>
      <c r="AB20" s="559"/>
    </row>
    <row r="21" spans="1:28">
      <c r="A21" s="559"/>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row>
    <row r="22" spans="1:28">
      <c r="A22" s="559"/>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row>
    <row r="23" spans="1:28">
      <c r="A23" s="559"/>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row>
    <row r="24" spans="1:28">
      <c r="A24" s="559"/>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row>
    <row r="25" spans="1:28">
      <c r="A25" s="559"/>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row>
    <row r="26" spans="1:28">
      <c r="A26" s="559"/>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row>
    <row r="27" spans="1:28">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row>
    <row r="28" spans="1:28">
      <c r="A28" s="559"/>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row>
    <row r="29" spans="1:28">
      <c r="A29" s="559"/>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row>
    <row r="30" spans="1:28">
      <c r="A30" s="559"/>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row>
    <row r="31" spans="1:28">
      <c r="A31" s="559"/>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row>
    <row r="32" spans="1:28">
      <c r="A32" s="559"/>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row>
    <row r="33" spans="1:28">
      <c r="A33" s="559"/>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row>
    <row r="34" spans="1:28">
      <c r="A34" s="559"/>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row>
    <row r="35" spans="1:28">
      <c r="A35" s="559"/>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row>
    <row r="36" spans="1:28">
      <c r="A36" s="559"/>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row>
    <row r="37" spans="1:28">
      <c r="A37" s="559"/>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row>
    <row r="38" spans="1:28">
      <c r="A38" s="559"/>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row>
    <row r="39" spans="1:28">
      <c r="A39" s="559"/>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row>
    <row r="40" spans="1:28">
      <c r="A40" s="559"/>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row>
    <row r="41" spans="1:28">
      <c r="A41" s="559"/>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row>
    <row r="42" spans="1:28">
      <c r="A42" s="559"/>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row>
    <row r="43" spans="1:28">
      <c r="A43" s="559"/>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row>
    <row r="44" spans="1:28">
      <c r="A44" s="559"/>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row>
    <row r="45" spans="1:28">
      <c r="A45" s="559"/>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row>
    <row r="46" spans="1:28">
      <c r="A46" s="559"/>
      <c r="B46" s="55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row>
    <row r="47" spans="1:28">
      <c r="A47" s="559"/>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row>
    <row r="48" spans="1:28">
      <c r="A48" s="559"/>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row>
    <row r="49" spans="1:28">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row>
    <row r="50" spans="1:28">
      <c r="A50" s="559"/>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row>
    <row r="51" spans="1:28">
      <c r="A51" s="559"/>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row>
    <row r="52" spans="1:28">
      <c r="A52" s="559"/>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row>
    <row r="53" spans="1:28">
      <c r="A53" s="559"/>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1:28">
      <c r="A54" s="559"/>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row>
    <row r="55" spans="1:28">
      <c r="A55" s="559"/>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row>
    <row r="56" spans="1:28">
      <c r="A56" s="559"/>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row>
    <row r="57" spans="1:28">
      <c r="A57" s="559"/>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row>
    <row r="58" spans="1:28">
      <c r="A58" s="559"/>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c r="AB58" s="559"/>
    </row>
    <row r="59" spans="1:28">
      <c r="A59" s="559"/>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row>
    <row r="60" spans="1:28">
      <c r="A60" s="559"/>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row>
    <row r="61" spans="1:28">
      <c r="A61" s="559"/>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row>
    <row r="62" spans="1:28">
      <c r="A62" s="559"/>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A15" sqref="A15"/>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A1" s="923"/>
      <c r="B1" s="923"/>
      <c r="C1" s="923"/>
      <c r="D1" s="923"/>
      <c r="E1" s="923"/>
      <c r="F1" s="923"/>
      <c r="G1" s="923"/>
      <c r="H1" s="923"/>
      <c r="I1" s="923"/>
      <c r="J1" s="923"/>
      <c r="K1" s="1075" t="str">
        <f>+'7A - Project ROE Adder'!J1</f>
        <v>Dayton Power and Light</v>
      </c>
      <c r="L1" s="923"/>
      <c r="M1" s="923"/>
      <c r="N1" s="923"/>
      <c r="O1" s="923"/>
      <c r="P1" s="923"/>
      <c r="Q1" s="923"/>
      <c r="R1" s="923"/>
      <c r="S1" s="923"/>
      <c r="T1" s="923"/>
      <c r="U1" s="923"/>
      <c r="V1" s="923"/>
      <c r="W1" s="923"/>
      <c r="X1" s="923"/>
      <c r="Y1" s="923"/>
    </row>
    <row r="2" spans="1:25" ht="18">
      <c r="A2" s="923"/>
      <c r="B2" s="923"/>
      <c r="C2" s="923"/>
      <c r="D2" s="923"/>
      <c r="E2" s="923"/>
      <c r="F2" s="923"/>
      <c r="G2" s="923"/>
      <c r="H2" s="923"/>
      <c r="I2" s="923"/>
      <c r="J2" s="923"/>
      <c r="K2" s="1075" t="str">
        <f>+'7A - Project ROE Adder'!J2</f>
        <v xml:space="preserve">ATTACHMENT H-15A </v>
      </c>
      <c r="L2" s="923"/>
      <c r="M2" s="923"/>
      <c r="N2" s="923"/>
      <c r="O2" s="923"/>
      <c r="P2" s="923"/>
      <c r="Q2" s="923"/>
      <c r="R2" s="923"/>
      <c r="S2" s="923"/>
      <c r="T2" s="923"/>
      <c r="U2" s="923"/>
      <c r="V2" s="923"/>
      <c r="W2" s="923"/>
      <c r="X2" s="923"/>
      <c r="Y2" s="923"/>
    </row>
    <row r="3" spans="1:25" ht="18">
      <c r="A3" s="923"/>
      <c r="B3" s="923"/>
      <c r="C3" s="923"/>
      <c r="D3" s="923"/>
      <c r="E3" s="923"/>
      <c r="F3" s="923"/>
      <c r="G3" s="923"/>
      <c r="H3" s="923"/>
      <c r="I3" s="923"/>
      <c r="J3" s="923"/>
      <c r="K3" s="1075" t="s">
        <v>806</v>
      </c>
      <c r="L3" s="923"/>
      <c r="M3" s="923"/>
      <c r="N3" s="923"/>
      <c r="O3" s="923"/>
      <c r="P3" s="923"/>
      <c r="Q3" s="923"/>
      <c r="R3" s="923"/>
      <c r="S3" s="923"/>
      <c r="T3" s="923"/>
      <c r="U3" s="923"/>
      <c r="V3" s="923"/>
      <c r="W3" s="923"/>
      <c r="X3" s="923"/>
      <c r="Y3" s="878"/>
    </row>
    <row r="5" spans="1:25" ht="15">
      <c r="A5" s="923"/>
      <c r="B5" s="214" t="s">
        <v>417</v>
      </c>
      <c r="C5" s="923"/>
      <c r="D5" s="923"/>
      <c r="E5" s="923"/>
      <c r="F5" s="923"/>
      <c r="G5" s="923"/>
      <c r="H5" s="923"/>
      <c r="I5" s="923"/>
      <c r="J5" s="923"/>
      <c r="K5" s="923"/>
      <c r="L5" s="923"/>
      <c r="M5" s="923"/>
      <c r="N5" s="923"/>
      <c r="O5" s="923"/>
      <c r="P5" s="923"/>
      <c r="Q5" s="923"/>
      <c r="R5" s="923"/>
      <c r="S5" s="923"/>
      <c r="T5" s="923"/>
      <c r="U5" s="923"/>
      <c r="V5" s="923"/>
      <c r="W5" s="923"/>
      <c r="X5" s="923"/>
      <c r="Y5" s="923"/>
    </row>
    <row r="6" spans="1:25" ht="15.75">
      <c r="A6" s="84"/>
      <c r="B6" s="780" t="s">
        <v>807</v>
      </c>
      <c r="C6" s="274"/>
      <c r="D6" s="741"/>
      <c r="E6" s="282"/>
      <c r="F6" s="740"/>
      <c r="G6" s="282"/>
      <c r="H6" s="282"/>
      <c r="I6" s="282"/>
      <c r="J6" s="739"/>
      <c r="K6" s="742"/>
      <c r="L6" s="281"/>
      <c r="M6" s="274"/>
      <c r="N6" s="262"/>
      <c r="O6" s="262"/>
      <c r="P6" s="262"/>
      <c r="Q6" s="559"/>
      <c r="R6" s="559"/>
      <c r="S6" s="559"/>
      <c r="T6" s="559"/>
      <c r="U6" s="559"/>
      <c r="V6" s="559"/>
      <c r="W6" s="559"/>
      <c r="X6" s="559"/>
      <c r="Y6" s="559"/>
    </row>
    <row r="7" spans="1:25">
      <c r="A7" s="559"/>
      <c r="B7" s="559"/>
      <c r="C7" s="559"/>
      <c r="D7" s="559"/>
      <c r="E7" s="559"/>
      <c r="F7" s="559"/>
      <c r="G7" s="1087" t="s">
        <v>791</v>
      </c>
      <c r="H7" s="559"/>
      <c r="I7" s="1087" t="s">
        <v>792</v>
      </c>
      <c r="J7" s="559"/>
      <c r="K7" s="1087" t="s">
        <v>793</v>
      </c>
      <c r="L7" s="559"/>
      <c r="M7" s="1087" t="s">
        <v>794</v>
      </c>
      <c r="N7" s="559"/>
      <c r="O7" s="1087" t="s">
        <v>795</v>
      </c>
      <c r="P7" s="559"/>
      <c r="Q7" s="1087" t="s">
        <v>796</v>
      </c>
      <c r="R7" s="559"/>
      <c r="S7" s="1087" t="s">
        <v>797</v>
      </c>
      <c r="T7" s="559"/>
      <c r="U7" s="1087" t="s">
        <v>798</v>
      </c>
      <c r="V7" s="559"/>
      <c r="W7" s="1087" t="s">
        <v>799</v>
      </c>
      <c r="X7" s="559"/>
      <c r="Y7" s="1087" t="s">
        <v>800</v>
      </c>
    </row>
    <row r="8" spans="1:25" ht="51">
      <c r="A8" s="683" t="s">
        <v>786</v>
      </c>
      <c r="B8" s="559"/>
      <c r="C8" s="559"/>
      <c r="D8" s="559"/>
      <c r="E8" s="732" t="s">
        <v>69</v>
      </c>
      <c r="F8" s="559"/>
      <c r="G8" s="745" t="s">
        <v>808</v>
      </c>
      <c r="H8" s="559"/>
      <c r="I8" s="733" t="s">
        <v>801</v>
      </c>
      <c r="J8" s="559"/>
      <c r="K8" s="733" t="s">
        <v>801</v>
      </c>
      <c r="L8" s="559"/>
      <c r="M8" s="733" t="s">
        <v>801</v>
      </c>
      <c r="N8" s="559"/>
      <c r="O8" s="733" t="s">
        <v>801</v>
      </c>
      <c r="P8" s="559"/>
      <c r="Q8" s="733" t="s">
        <v>801</v>
      </c>
      <c r="R8" s="559"/>
      <c r="S8" s="733" t="s">
        <v>801</v>
      </c>
      <c r="T8" s="559"/>
      <c r="U8" s="733" t="s">
        <v>801</v>
      </c>
      <c r="V8" s="559"/>
      <c r="W8" s="733" t="s">
        <v>801</v>
      </c>
      <c r="X8" s="559"/>
      <c r="Y8" s="733" t="s">
        <v>801</v>
      </c>
    </row>
    <row r="9" spans="1:25">
      <c r="A9" s="559"/>
      <c r="B9" s="559" t="s">
        <v>809</v>
      </c>
      <c r="C9" s="559"/>
      <c r="D9" s="559"/>
      <c r="E9" s="559"/>
      <c r="F9" s="559"/>
      <c r="G9" s="913" t="s">
        <v>810</v>
      </c>
      <c r="H9" s="559"/>
      <c r="I9" s="773"/>
      <c r="J9" s="559"/>
      <c r="K9" s="773"/>
      <c r="L9" s="559"/>
      <c r="M9" s="773"/>
      <c r="N9" s="559"/>
      <c r="O9" s="773"/>
      <c r="P9" s="559"/>
      <c r="Q9" s="773"/>
      <c r="R9" s="559"/>
      <c r="S9" s="773"/>
      <c r="T9" s="559"/>
      <c r="U9" s="773"/>
      <c r="V9" s="559"/>
      <c r="W9" s="773"/>
      <c r="X9" s="559"/>
      <c r="Y9" s="773"/>
    </row>
    <row r="10" spans="1:25">
      <c r="A10" s="559">
        <v>1</v>
      </c>
      <c r="B10" s="559" t="s">
        <v>24</v>
      </c>
      <c r="C10" s="769" t="str">
        <f>"(Attachment 4, Line "&amp;'4 - Cost Support'!A296&amp;" etc.)"</f>
        <v>(Attachment 4, Line 118 etc.)</v>
      </c>
      <c r="D10" s="559"/>
      <c r="E10" s="685"/>
      <c r="F10" s="685"/>
      <c r="G10" s="864">
        <f>+'4 - Cost Support'!T296</f>
        <v>25078238</v>
      </c>
      <c r="H10" s="864"/>
      <c r="I10" s="864">
        <f>+'4 - Cost Support'!T301</f>
        <v>0</v>
      </c>
      <c r="J10" s="864"/>
      <c r="K10" s="864">
        <f>+'4 - Cost Support'!T306</f>
        <v>0</v>
      </c>
      <c r="L10" s="864"/>
      <c r="M10" s="864">
        <f>+'4 - Cost Support'!T311</f>
        <v>0</v>
      </c>
      <c r="N10" s="864"/>
      <c r="O10" s="864">
        <f>+'4 - Cost Support'!T316</f>
        <v>0</v>
      </c>
      <c r="P10" s="864"/>
      <c r="Q10" s="864">
        <f>+'4 - Cost Support'!T321</f>
        <v>0</v>
      </c>
      <c r="R10" s="864"/>
      <c r="S10" s="864">
        <f>+'4 - Cost Support'!T326</f>
        <v>0</v>
      </c>
      <c r="T10" s="864"/>
      <c r="U10" s="864">
        <f>+'4 - Cost Support'!T331</f>
        <v>0</v>
      </c>
      <c r="V10" s="864"/>
      <c r="W10" s="864">
        <f>+'4 - Cost Support'!T336</f>
        <v>0</v>
      </c>
      <c r="X10" s="864"/>
      <c r="Y10" s="864">
        <f>+'4 - Cost Support'!T341</f>
        <v>0</v>
      </c>
    </row>
    <row r="11" spans="1:25">
      <c r="A11" s="559">
        <f>+A10+1</f>
        <v>2</v>
      </c>
      <c r="B11" s="684" t="s">
        <v>33</v>
      </c>
      <c r="C11" s="770" t="str">
        <f>"(Attachment 4, Line "&amp;'4 - Cost Support'!A297&amp;" etc.)"</f>
        <v>(Attachment 4, Line 119 etc.)</v>
      </c>
      <c r="D11" s="684"/>
      <c r="E11" s="736"/>
      <c r="F11" s="736"/>
      <c r="G11" s="865">
        <f>+'4 - Cost Support'!T297</f>
        <v>375732.42178706161</v>
      </c>
      <c r="H11" s="865"/>
      <c r="I11" s="865">
        <f>+'4 - Cost Support'!T302</f>
        <v>0</v>
      </c>
      <c r="J11" s="865"/>
      <c r="K11" s="865">
        <f>+'4 - Cost Support'!T307</f>
        <v>0</v>
      </c>
      <c r="L11" s="865"/>
      <c r="M11" s="865">
        <f>+'4 - Cost Support'!T312</f>
        <v>0</v>
      </c>
      <c r="N11" s="865"/>
      <c r="O11" s="865">
        <f>+'4 - Cost Support'!T317</f>
        <v>0</v>
      </c>
      <c r="P11" s="865"/>
      <c r="Q11" s="865">
        <f>+'4 - Cost Support'!T322</f>
        <v>0</v>
      </c>
      <c r="R11" s="865"/>
      <c r="S11" s="865">
        <f>+'4 - Cost Support'!T327</f>
        <v>0</v>
      </c>
      <c r="T11" s="865"/>
      <c r="U11" s="865">
        <f>+'4 - Cost Support'!T332</f>
        <v>0</v>
      </c>
      <c r="V11" s="865"/>
      <c r="W11" s="865">
        <f>+'4 - Cost Support'!T337</f>
        <v>0</v>
      </c>
      <c r="X11" s="865"/>
      <c r="Y11" s="865">
        <f>+'4 - Cost Support'!T342</f>
        <v>0</v>
      </c>
    </row>
    <row r="12" spans="1:25">
      <c r="A12" s="559">
        <f>+A11+1</f>
        <v>3</v>
      </c>
      <c r="B12" s="559" t="s">
        <v>18</v>
      </c>
      <c r="C12" s="559" t="str">
        <f>"(Line "&amp;A10&amp;" + "&amp;A11&amp;")"</f>
        <v>(Line 1 + 2)</v>
      </c>
      <c r="D12" s="559"/>
      <c r="E12" s="685"/>
      <c r="F12" s="685"/>
      <c r="G12" s="864">
        <f>+G10-G11</f>
        <v>24702505.578212939</v>
      </c>
      <c r="H12" s="864"/>
      <c r="I12" s="864">
        <f>+I10-I11</f>
        <v>0</v>
      </c>
      <c r="J12" s="864"/>
      <c r="K12" s="864">
        <f>+K10-K11</f>
        <v>0</v>
      </c>
      <c r="L12" s="864"/>
      <c r="M12" s="864">
        <f>+M10-M11</f>
        <v>0</v>
      </c>
      <c r="N12" s="864"/>
      <c r="O12" s="864">
        <f>+O10-O11</f>
        <v>0</v>
      </c>
      <c r="P12" s="864"/>
      <c r="Q12" s="864">
        <f>+Q10-Q11</f>
        <v>0</v>
      </c>
      <c r="R12" s="864"/>
      <c r="S12" s="864">
        <f>+S10-S11</f>
        <v>0</v>
      </c>
      <c r="T12" s="864"/>
      <c r="U12" s="864">
        <f>+U10-U11</f>
        <v>0</v>
      </c>
      <c r="V12" s="864"/>
      <c r="W12" s="864">
        <f>+W10-W11</f>
        <v>0</v>
      </c>
      <c r="X12" s="864"/>
      <c r="Y12" s="864">
        <f>+Y10-Y11</f>
        <v>0</v>
      </c>
    </row>
    <row r="13" spans="1:25">
      <c r="A13" s="559"/>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59"/>
    </row>
    <row r="14" spans="1:25" ht="25.5">
      <c r="A14" s="559">
        <f>+A12+1</f>
        <v>4</v>
      </c>
      <c r="B14" s="746" t="s">
        <v>811</v>
      </c>
      <c r="C14" s="770" t="str">
        <f>"(Appendix A, Line "&amp;'Appendix A'!A274&amp;")"</f>
        <v>(Appendix A, Line 163)</v>
      </c>
      <c r="D14" s="684"/>
      <c r="E14" s="684"/>
      <c r="F14" s="684"/>
      <c r="G14" s="791">
        <f>+'Appendix A'!$H$274</f>
        <v>0.16225529702822133</v>
      </c>
      <c r="H14" s="791"/>
      <c r="I14" s="791">
        <f>+'Appendix A'!$H$274</f>
        <v>0.16225529702822133</v>
      </c>
      <c r="J14" s="791"/>
      <c r="K14" s="791">
        <f>+'Appendix A'!$H$274</f>
        <v>0.16225529702822133</v>
      </c>
      <c r="L14" s="791"/>
      <c r="M14" s="791">
        <f>+'Appendix A'!$H$274</f>
        <v>0.16225529702822133</v>
      </c>
      <c r="N14" s="791"/>
      <c r="O14" s="791">
        <f>+'Appendix A'!$H$274</f>
        <v>0.16225529702822133</v>
      </c>
      <c r="P14" s="791"/>
      <c r="Q14" s="791">
        <f>+'Appendix A'!$H$274</f>
        <v>0.16225529702822133</v>
      </c>
      <c r="R14" s="791"/>
      <c r="S14" s="791">
        <f>+'Appendix A'!$H$274</f>
        <v>0.16225529702822133</v>
      </c>
      <c r="T14" s="791"/>
      <c r="U14" s="791">
        <f>+'Appendix A'!$H$274</f>
        <v>0.16225529702822133</v>
      </c>
      <c r="V14" s="791"/>
      <c r="W14" s="791">
        <f>+'Appendix A'!$H$274</f>
        <v>0.16225529702822133</v>
      </c>
      <c r="X14" s="791"/>
      <c r="Y14" s="791">
        <f>+'Appendix A'!$H$274</f>
        <v>0.16225529702822133</v>
      </c>
    </row>
    <row r="15" spans="1:25" s="731" customFormat="1" ht="25.5">
      <c r="A15" s="559">
        <f>+A14+1</f>
        <v>5</v>
      </c>
      <c r="B15" s="734" t="s">
        <v>812</v>
      </c>
      <c r="C15" s="559" t="str">
        <f>"(Line "&amp;A12&amp;" * Line "&amp;A14&amp;")"</f>
        <v>(Line 3 * Line 4)</v>
      </c>
      <c r="D15" s="559"/>
      <c r="E15" s="864"/>
      <c r="F15" s="864"/>
      <c r="G15" s="864">
        <f>+G12*G14</f>
        <v>4008112.379934235</v>
      </c>
      <c r="H15" s="864"/>
      <c r="I15" s="864">
        <f>+I12*I14</f>
        <v>0</v>
      </c>
      <c r="J15" s="864"/>
      <c r="K15" s="864">
        <f>+K12*K14</f>
        <v>0</v>
      </c>
      <c r="L15" s="864"/>
      <c r="M15" s="864">
        <f>+M12*M14</f>
        <v>0</v>
      </c>
      <c r="N15" s="864"/>
      <c r="O15" s="864">
        <f>+O12*O14</f>
        <v>0</v>
      </c>
      <c r="P15" s="864"/>
      <c r="Q15" s="864">
        <f>+Q12*Q14</f>
        <v>0</v>
      </c>
      <c r="R15" s="864"/>
      <c r="S15" s="864">
        <f>+S12*S14</f>
        <v>0</v>
      </c>
      <c r="T15" s="864"/>
      <c r="U15" s="864">
        <f>+U12*U14</f>
        <v>0</v>
      </c>
      <c r="V15" s="864"/>
      <c r="W15" s="864">
        <f>+W12*W14</f>
        <v>0</v>
      </c>
      <c r="X15" s="864"/>
      <c r="Y15" s="864">
        <f>+Y12*Y14</f>
        <v>0</v>
      </c>
    </row>
    <row r="16" spans="1:25">
      <c r="A16" s="923">
        <f>+A15+1</f>
        <v>6</v>
      </c>
      <c r="B16" s="559" t="s">
        <v>709</v>
      </c>
      <c r="C16" s="769" t="str">
        <f>"(Attachment 4, Line "&amp;'4 - Cost Support'!A298&amp;" etc.)"</f>
        <v>(Attachment 4, Line 120 etc.)</v>
      </c>
      <c r="D16" s="923"/>
      <c r="E16" s="868"/>
      <c r="F16" s="868"/>
      <c r="G16" s="868">
        <f>+'4 - Cost Support'!T298</f>
        <v>553472.63268779207</v>
      </c>
      <c r="H16" s="868"/>
      <c r="I16" s="868">
        <f>+'4 - Cost Support'!T303</f>
        <v>0</v>
      </c>
      <c r="J16" s="868"/>
      <c r="K16" s="868">
        <f>+'4 - Cost Support'!T308</f>
        <v>0</v>
      </c>
      <c r="L16" s="868"/>
      <c r="M16" s="868">
        <f>+'4 - Cost Support'!T313</f>
        <v>0</v>
      </c>
      <c r="N16" s="868"/>
      <c r="O16" s="868">
        <f>+'4 - Cost Support'!T318</f>
        <v>0</v>
      </c>
      <c r="P16" s="868"/>
      <c r="Q16" s="868">
        <f>+'4 - Cost Support'!T323</f>
        <v>0</v>
      </c>
      <c r="R16" s="868"/>
      <c r="S16" s="868">
        <f>+'4 - Cost Support'!T328</f>
        <v>0</v>
      </c>
      <c r="T16" s="868"/>
      <c r="U16" s="868">
        <f>+'4 - Cost Support'!T333</f>
        <v>0</v>
      </c>
      <c r="V16" s="868"/>
      <c r="W16" s="868">
        <f>+'4 - Cost Support'!T338</f>
        <v>0</v>
      </c>
      <c r="X16" s="868"/>
      <c r="Y16" s="868">
        <f>+'4 - Cost Support'!T343</f>
        <v>0</v>
      </c>
    </row>
    <row r="17" spans="1:25">
      <c r="A17" s="923">
        <f>+A16+1</f>
        <v>7</v>
      </c>
      <c r="B17" s="684" t="s">
        <v>813</v>
      </c>
      <c r="C17" s="684" t="s">
        <v>814</v>
      </c>
      <c r="D17" s="747"/>
      <c r="E17" s="869"/>
      <c r="F17" s="869"/>
      <c r="G17" s="1138">
        <v>0</v>
      </c>
      <c r="H17" s="869"/>
      <c r="I17" s="870">
        <v>0</v>
      </c>
      <c r="J17" s="869"/>
      <c r="K17" s="870">
        <v>0</v>
      </c>
      <c r="L17" s="869"/>
      <c r="M17" s="870">
        <v>0</v>
      </c>
      <c r="N17" s="869"/>
      <c r="O17" s="870">
        <v>0</v>
      </c>
      <c r="P17" s="869"/>
      <c r="Q17" s="870">
        <v>0</v>
      </c>
      <c r="R17" s="869"/>
      <c r="S17" s="870">
        <v>0</v>
      </c>
      <c r="T17" s="869"/>
      <c r="U17" s="870">
        <v>0</v>
      </c>
      <c r="V17" s="869"/>
      <c r="W17" s="870">
        <v>0</v>
      </c>
      <c r="X17" s="869"/>
      <c r="Y17" s="870">
        <v>0</v>
      </c>
    </row>
    <row r="18" spans="1:25">
      <c r="A18" s="923"/>
      <c r="B18" s="923"/>
      <c r="C18" s="923"/>
      <c r="D18" s="923"/>
      <c r="E18" s="868"/>
      <c r="F18" s="868"/>
      <c r="G18" s="868"/>
      <c r="H18" s="868"/>
      <c r="I18" s="868"/>
      <c r="J18" s="868"/>
      <c r="K18" s="868"/>
      <c r="L18" s="868"/>
      <c r="M18" s="868"/>
      <c r="N18" s="868"/>
      <c r="O18" s="868"/>
      <c r="P18" s="868"/>
      <c r="Q18" s="868"/>
      <c r="R18" s="868"/>
      <c r="S18" s="868"/>
      <c r="T18" s="868"/>
      <c r="U18" s="868"/>
      <c r="V18" s="868"/>
      <c r="W18" s="868"/>
      <c r="X18" s="868"/>
      <c r="Y18" s="868"/>
    </row>
    <row r="19" spans="1:25">
      <c r="A19" s="923">
        <f>+A17+1</f>
        <v>8</v>
      </c>
      <c r="B19" s="559" t="s">
        <v>815</v>
      </c>
      <c r="C19" s="559" t="str">
        <f>"(Line "&amp;A15&amp;" + Line "&amp;A16&amp;" + Line "&amp;A17&amp;")"</f>
        <v>(Line 5 + Line 6 + Line 7)</v>
      </c>
      <c r="D19" s="923"/>
      <c r="E19" s="871">
        <f>+SUM(G19:Y19)</f>
        <v>4561585.0126220267</v>
      </c>
      <c r="F19" s="868"/>
      <c r="G19" s="868">
        <f>+G15+G16+ G17</f>
        <v>4561585.0126220267</v>
      </c>
      <c r="H19" s="868"/>
      <c r="I19" s="868">
        <f>+I15+I16+ I17</f>
        <v>0</v>
      </c>
      <c r="J19" s="868"/>
      <c r="K19" s="868">
        <f>+K15+K16+ K17</f>
        <v>0</v>
      </c>
      <c r="L19" s="868"/>
      <c r="M19" s="868">
        <f>+M15+M16+ M17</f>
        <v>0</v>
      </c>
      <c r="N19" s="868"/>
      <c r="O19" s="868">
        <f>+O15+O16+ O17</f>
        <v>0</v>
      </c>
      <c r="P19" s="868"/>
      <c r="Q19" s="868">
        <f>+Q15+Q16+ Q17</f>
        <v>0</v>
      </c>
      <c r="R19" s="868"/>
      <c r="S19" s="868">
        <f>+S15+S16+ S17</f>
        <v>0</v>
      </c>
      <c r="T19" s="868"/>
      <c r="U19" s="868">
        <f>+U15+U16+ U17</f>
        <v>0</v>
      </c>
      <c r="V19" s="868"/>
      <c r="W19" s="868">
        <f>+W15+W16+ W17</f>
        <v>0</v>
      </c>
      <c r="X19" s="868"/>
      <c r="Y19" s="868">
        <f>+Y15+Y16+ Y17</f>
        <v>0</v>
      </c>
    </row>
    <row r="20" spans="1:25">
      <c r="A20" s="923"/>
      <c r="B20" s="923"/>
      <c r="C20" s="923"/>
      <c r="D20" s="923"/>
      <c r="E20" s="868"/>
      <c r="F20" s="868"/>
      <c r="G20" s="868"/>
      <c r="H20" s="868"/>
      <c r="I20" s="868"/>
      <c r="J20" s="868"/>
      <c r="K20" s="868"/>
      <c r="L20" s="868"/>
      <c r="M20" s="868"/>
      <c r="N20" s="868"/>
      <c r="O20" s="868"/>
      <c r="P20" s="868"/>
      <c r="Q20" s="868"/>
      <c r="R20" s="868"/>
      <c r="S20" s="868"/>
      <c r="T20" s="868"/>
      <c r="U20" s="868"/>
      <c r="V20" s="868"/>
      <c r="W20" s="868"/>
      <c r="X20" s="868"/>
      <c r="Y20" s="868"/>
    </row>
    <row r="21" spans="1:25">
      <c r="A21" s="923">
        <f>+A19+1</f>
        <v>9</v>
      </c>
      <c r="B21" s="559" t="s">
        <v>816</v>
      </c>
      <c r="C21" s="769" t="str">
        <f>"(Attachment 6B, Line "&amp;'6B - Schedule 12 True-Up'!B40&amp;")"</f>
        <v>(Attachment 6B, Line E)</v>
      </c>
      <c r="D21" s="923"/>
      <c r="E21" s="1138">
        <f>+'6B - Schedule 12 True-Up'!I40</f>
        <v>-20077.504688402969</v>
      </c>
      <c r="F21" s="868"/>
      <c r="G21" s="865">
        <f>+G19/$E$19*$E$21</f>
        <v>-20077.504688402969</v>
      </c>
      <c r="H21" s="868"/>
      <c r="I21" s="865">
        <f>+I19/$E$19*$E$21</f>
        <v>0</v>
      </c>
      <c r="J21" s="868"/>
      <c r="K21" s="865">
        <f>+K19/$E$19*$E$21</f>
        <v>0</v>
      </c>
      <c r="L21" s="868"/>
      <c r="M21" s="865">
        <f>+M19/$E$19*$E$21</f>
        <v>0</v>
      </c>
      <c r="N21" s="868"/>
      <c r="O21" s="865">
        <f>+O19/$E$19*$E$21</f>
        <v>0</v>
      </c>
      <c r="P21" s="868"/>
      <c r="Q21" s="865">
        <f>+Q19/$E$19*$E$21</f>
        <v>0</v>
      </c>
      <c r="R21" s="868"/>
      <c r="S21" s="865">
        <f>+S19/$E$19*$E$21</f>
        <v>0</v>
      </c>
      <c r="T21" s="868"/>
      <c r="U21" s="865">
        <f>+U19/$E$19*$E$21</f>
        <v>0</v>
      </c>
      <c r="V21" s="868"/>
      <c r="W21" s="865">
        <f>+W19/$E$19*$E$21</f>
        <v>0</v>
      </c>
      <c r="X21" s="868"/>
      <c r="Y21" s="865">
        <f>+Y19/$E$19*$E$21</f>
        <v>0</v>
      </c>
    </row>
    <row r="22" spans="1:25">
      <c r="A22" s="923"/>
      <c r="B22" s="559" t="s">
        <v>817</v>
      </c>
      <c r="C22" s="923"/>
      <c r="D22" s="923"/>
      <c r="E22" s="868"/>
      <c r="F22" s="868"/>
      <c r="G22" s="868"/>
      <c r="H22" s="868"/>
      <c r="I22" s="868"/>
      <c r="J22" s="868"/>
      <c r="K22" s="868"/>
      <c r="L22" s="868"/>
      <c r="M22" s="868"/>
      <c r="N22" s="868"/>
      <c r="O22" s="868"/>
      <c r="P22" s="868"/>
      <c r="Q22" s="868"/>
      <c r="R22" s="868"/>
      <c r="S22" s="868"/>
      <c r="T22" s="868"/>
      <c r="U22" s="868"/>
      <c r="V22" s="868"/>
      <c r="W22" s="868"/>
      <c r="X22" s="868"/>
      <c r="Y22" s="868"/>
    </row>
    <row r="23" spans="1:25">
      <c r="A23" s="923">
        <f>+A21+1</f>
        <v>10</v>
      </c>
      <c r="B23" s="559" t="s">
        <v>818</v>
      </c>
      <c r="C23" s="559" t="str">
        <f>"(Line "&amp;A19&amp;" + Line "&amp;A21&amp;")"</f>
        <v>(Line 8 + Line 9)</v>
      </c>
      <c r="D23" s="923"/>
      <c r="E23" s="871">
        <f>+E19+E21</f>
        <v>4541507.5079336241</v>
      </c>
      <c r="F23" s="868"/>
      <c r="G23" s="868">
        <f>+G19+G21</f>
        <v>4541507.5079336241</v>
      </c>
      <c r="H23" s="868"/>
      <c r="I23" s="868">
        <f>+I19+I21</f>
        <v>0</v>
      </c>
      <c r="J23" s="868"/>
      <c r="K23" s="868">
        <f>+K19+K21</f>
        <v>0</v>
      </c>
      <c r="L23" s="868"/>
      <c r="M23" s="868">
        <f>+M19+M21</f>
        <v>0</v>
      </c>
      <c r="N23" s="868"/>
      <c r="O23" s="868">
        <f>+O19+O21</f>
        <v>0</v>
      </c>
      <c r="P23" s="868"/>
      <c r="Q23" s="868">
        <f>+Q19+Q21</f>
        <v>0</v>
      </c>
      <c r="R23" s="868"/>
      <c r="S23" s="868">
        <f>+S19+S21</f>
        <v>0</v>
      </c>
      <c r="T23" s="868"/>
      <c r="U23" s="868">
        <f>+U19+U21</f>
        <v>0</v>
      </c>
      <c r="V23" s="868"/>
      <c r="W23" s="868">
        <f>+W19+W21</f>
        <v>0</v>
      </c>
      <c r="X23" s="868"/>
      <c r="Y23" s="868">
        <f>+Y19+Y21</f>
        <v>0</v>
      </c>
    </row>
    <row r="24" spans="1:25">
      <c r="A24" s="923"/>
      <c r="B24" s="559" t="s">
        <v>819</v>
      </c>
      <c r="C24" s="923"/>
      <c r="D24" s="923"/>
      <c r="E24" s="923"/>
      <c r="F24" s="923"/>
      <c r="G24" s="923"/>
      <c r="H24" s="923"/>
      <c r="I24" s="923"/>
      <c r="J24" s="923"/>
      <c r="K24" s="923"/>
      <c r="L24" s="923"/>
      <c r="M24" s="923"/>
      <c r="N24" s="923"/>
      <c r="O24" s="923"/>
      <c r="P24" s="923"/>
      <c r="Q24" s="923"/>
      <c r="R24" s="923"/>
      <c r="S24" s="923"/>
      <c r="T24" s="923"/>
      <c r="U24" s="923"/>
      <c r="V24" s="923"/>
      <c r="W24" s="923"/>
      <c r="X24" s="923"/>
      <c r="Y24" s="923"/>
    </row>
    <row r="25" spans="1:25" s="923" customFormat="1">
      <c r="B25" s="559"/>
    </row>
    <row r="26" spans="1:25">
      <c r="A26" s="923">
        <f>+A23+1</f>
        <v>11</v>
      </c>
      <c r="B26" s="559" t="s">
        <v>820</v>
      </c>
      <c r="C26" s="923"/>
      <c r="D26" s="923"/>
      <c r="E26" s="923"/>
      <c r="F26" s="923"/>
      <c r="G26" s="1139">
        <v>9.9299999999999999E-2</v>
      </c>
      <c r="H26" s="908"/>
      <c r="I26" s="907">
        <v>0</v>
      </c>
      <c r="J26" s="908"/>
      <c r="K26" s="907">
        <v>0</v>
      </c>
      <c r="L26" s="908"/>
      <c r="M26" s="907">
        <v>0</v>
      </c>
      <c r="N26" s="908"/>
      <c r="O26" s="907">
        <v>0</v>
      </c>
      <c r="P26" s="908"/>
      <c r="Q26" s="907">
        <v>0</v>
      </c>
      <c r="R26" s="908"/>
      <c r="S26" s="907">
        <v>0</v>
      </c>
      <c r="T26" s="908"/>
      <c r="U26" s="907">
        <v>0</v>
      </c>
      <c r="V26" s="908"/>
      <c r="W26" s="907">
        <v>0</v>
      </c>
      <c r="X26" s="908"/>
      <c r="Y26" s="907">
        <v>0</v>
      </c>
    </row>
    <row r="28" spans="1:25">
      <c r="A28" s="923">
        <f>+A26+1</f>
        <v>12</v>
      </c>
      <c r="B28" s="559" t="s">
        <v>821</v>
      </c>
      <c r="C28" s="559" t="str">
        <f>"(Line "&amp;A23&amp;" * Line "&amp;A26&amp;")"</f>
        <v>(Line 10 * Line 11)</v>
      </c>
      <c r="D28" s="923"/>
      <c r="E28" s="871">
        <f>+SUM(G28:Y28)</f>
        <v>450971.69553780888</v>
      </c>
      <c r="F28" s="923"/>
      <c r="G28" s="893">
        <f>+G23*G26</f>
        <v>450971.69553780888</v>
      </c>
      <c r="H28" s="893"/>
      <c r="I28" s="893">
        <f>+I23*I26</f>
        <v>0</v>
      </c>
      <c r="J28" s="893"/>
      <c r="K28" s="893">
        <f>+K23*K26</f>
        <v>0</v>
      </c>
      <c r="L28" s="893"/>
      <c r="M28" s="893">
        <f>+M23*M26</f>
        <v>0</v>
      </c>
      <c r="N28" s="893"/>
      <c r="O28" s="893">
        <f>+O23*O26</f>
        <v>0</v>
      </c>
      <c r="P28" s="893"/>
      <c r="Q28" s="893">
        <f>+Q23*Q26</f>
        <v>0</v>
      </c>
      <c r="R28" s="893"/>
      <c r="S28" s="893">
        <f>+S23*S26</f>
        <v>0</v>
      </c>
      <c r="T28" s="893"/>
      <c r="U28" s="893">
        <f>+U23*U26</f>
        <v>0</v>
      </c>
      <c r="V28" s="893"/>
      <c r="W28" s="893">
        <f>+W23*W26</f>
        <v>0</v>
      </c>
      <c r="X28" s="893"/>
      <c r="Y28" s="893">
        <f>+Y23*Y26</f>
        <v>0</v>
      </c>
    </row>
    <row r="32" spans="1:25">
      <c r="A32" s="923"/>
      <c r="B32" s="923" t="s">
        <v>822</v>
      </c>
      <c r="C32" s="923"/>
      <c r="D32" s="923"/>
      <c r="E32" s="923"/>
      <c r="F32" s="923"/>
      <c r="G32" s="923"/>
      <c r="H32" s="923"/>
      <c r="I32" s="923"/>
      <c r="J32" s="923"/>
      <c r="K32" s="923"/>
      <c r="L32" s="923"/>
      <c r="M32" s="923"/>
      <c r="N32" s="923"/>
      <c r="O32" s="923"/>
      <c r="P32" s="923"/>
      <c r="Q32" s="923"/>
      <c r="R32" s="923"/>
      <c r="S32" s="923"/>
      <c r="T32" s="923"/>
      <c r="U32" s="923"/>
      <c r="V32" s="923"/>
      <c r="W32" s="923"/>
      <c r="X32" s="923"/>
      <c r="Y32" s="923"/>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H44"/>
  <sheetViews>
    <sheetView topLeftCell="A7" zoomScaleNormal="100" zoomScaleSheetLayoutView="80" workbookViewId="0">
      <selection activeCell="A11" sqref="A11"/>
    </sheetView>
  </sheetViews>
  <sheetFormatPr defaultRowHeight="12.75"/>
  <cols>
    <col min="1" max="1" width="40.140625" customWidth="1"/>
    <col min="2" max="2" width="41.7109375" customWidth="1"/>
    <col min="3" max="3" width="17.140625" customWidth="1"/>
    <col min="4" max="4" width="9" style="947" bestFit="1" customWidth="1"/>
    <col min="5" max="5" width="7.140625" bestFit="1" customWidth="1"/>
    <col min="6" max="6" width="19.42578125" customWidth="1"/>
  </cols>
  <sheetData>
    <row r="1" spans="1:7" ht="18">
      <c r="A1" s="923"/>
      <c r="B1" s="1090" t="s">
        <v>0</v>
      </c>
      <c r="C1" s="923"/>
      <c r="E1" s="923"/>
      <c r="F1" s="923"/>
      <c r="G1" s="923"/>
    </row>
    <row r="2" spans="1:7" s="681" customFormat="1" ht="18">
      <c r="A2" s="923"/>
      <c r="B2" s="1090" t="str">
        <f>+'Appendix A'!A4</f>
        <v xml:space="preserve">ATTACHMENT H-15A </v>
      </c>
      <c r="C2" s="923"/>
      <c r="D2" s="947"/>
      <c r="E2" s="923"/>
      <c r="F2" s="923"/>
      <c r="G2" s="923"/>
    </row>
    <row r="3" spans="1:7" ht="18">
      <c r="A3" s="923"/>
      <c r="B3" s="1090" t="s">
        <v>823</v>
      </c>
      <c r="C3" s="923"/>
      <c r="E3" s="923"/>
      <c r="F3" s="923"/>
      <c r="G3" s="923"/>
    </row>
    <row r="4" spans="1:7" ht="21.75" customHeight="1">
      <c r="A4" s="923"/>
      <c r="B4" s="922" t="s">
        <v>824</v>
      </c>
      <c r="C4" s="923"/>
      <c r="E4" s="923"/>
      <c r="F4" s="878"/>
      <c r="G4" s="923"/>
    </row>
    <row r="6" spans="1:7">
      <c r="A6" s="1206"/>
      <c r="B6" s="1206"/>
      <c r="C6" s="1206"/>
      <c r="D6" s="1206"/>
      <c r="E6" s="1206"/>
      <c r="F6" s="1206"/>
      <c r="G6" s="1206"/>
    </row>
    <row r="7" spans="1:7">
      <c r="A7" s="1207"/>
      <c r="B7" s="1207"/>
      <c r="C7" s="1207"/>
      <c r="D7" s="1207"/>
      <c r="E7" s="1207"/>
      <c r="F7" s="1207"/>
      <c r="G7" s="1207"/>
    </row>
    <row r="8" spans="1:7">
      <c r="A8" s="559"/>
      <c r="B8" s="559"/>
      <c r="C8" s="263"/>
      <c r="D8" s="948"/>
      <c r="E8" s="559"/>
      <c r="F8" s="559"/>
      <c r="G8" s="559"/>
    </row>
    <row r="9" spans="1:7" ht="15">
      <c r="A9" s="571" t="s">
        <v>506</v>
      </c>
      <c r="B9" s="572" t="s">
        <v>825</v>
      </c>
      <c r="C9" s="572" t="s">
        <v>826</v>
      </c>
      <c r="D9" s="949"/>
      <c r="E9" s="214"/>
      <c r="F9" s="559"/>
      <c r="G9" s="559"/>
    </row>
    <row r="10" spans="1:7" ht="15">
      <c r="A10" s="573"/>
      <c r="B10" s="573"/>
      <c r="C10" s="573"/>
      <c r="D10" s="949"/>
      <c r="E10" s="214"/>
      <c r="F10" s="559"/>
      <c r="G10" s="559"/>
    </row>
    <row r="11" spans="1:7" ht="15.75">
      <c r="A11" s="571" t="s">
        <v>827</v>
      </c>
      <c r="B11" s="574"/>
      <c r="C11" s="575"/>
      <c r="D11" s="949"/>
      <c r="E11" s="214"/>
      <c r="F11" s="559"/>
      <c r="G11" s="559"/>
    </row>
    <row r="12" spans="1:7" ht="15">
      <c r="A12" s="576">
        <v>350</v>
      </c>
      <c r="B12" s="574" t="s">
        <v>828</v>
      </c>
      <c r="C12" s="577" t="s">
        <v>829</v>
      </c>
      <c r="D12" s="949"/>
      <c r="E12" s="214"/>
      <c r="F12" s="559"/>
      <c r="G12" s="559"/>
    </row>
    <row r="13" spans="1:7" ht="15">
      <c r="A13" s="576">
        <v>352</v>
      </c>
      <c r="B13" s="574" t="s">
        <v>830</v>
      </c>
      <c r="C13" s="1140">
        <v>1.9199999999999998E-2</v>
      </c>
      <c r="E13" s="214"/>
      <c r="F13" s="559"/>
      <c r="G13" s="559"/>
    </row>
    <row r="14" spans="1:7" ht="15">
      <c r="A14" s="576">
        <v>353</v>
      </c>
      <c r="B14" s="574" t="s">
        <v>831</v>
      </c>
      <c r="C14" s="1140">
        <v>2.0899999999999998E-2</v>
      </c>
      <c r="E14" s="578"/>
      <c r="F14" s="559"/>
      <c r="G14" s="559"/>
    </row>
    <row r="15" spans="1:7" ht="15">
      <c r="A15" s="576">
        <v>354</v>
      </c>
      <c r="B15" s="574" t="s">
        <v>832</v>
      </c>
      <c r="C15" s="1140">
        <v>1.9199999999999998E-2</v>
      </c>
      <c r="E15" s="578"/>
      <c r="F15" s="559"/>
      <c r="G15" s="559"/>
    </row>
    <row r="16" spans="1:7" ht="15">
      <c r="A16" s="576">
        <v>355</v>
      </c>
      <c r="B16" s="574" t="s">
        <v>833</v>
      </c>
      <c r="C16" s="1140">
        <v>2.4500000000000001E-2</v>
      </c>
      <c r="E16" s="578"/>
      <c r="F16" s="559"/>
      <c r="G16" s="559"/>
    </row>
    <row r="17" spans="1:8" ht="15">
      <c r="A17" s="576">
        <v>356</v>
      </c>
      <c r="B17" s="574" t="s">
        <v>834</v>
      </c>
      <c r="C17" s="1140">
        <v>2.4500000000000001E-2</v>
      </c>
      <c r="E17" s="578"/>
      <c r="F17" s="559"/>
      <c r="G17" s="559"/>
      <c r="H17" s="923"/>
    </row>
    <row r="18" spans="1:8" ht="15">
      <c r="A18" s="576">
        <v>357</v>
      </c>
      <c r="B18" s="574" t="s">
        <v>835</v>
      </c>
      <c r="C18" s="1140">
        <v>1.3299999999999999E-2</v>
      </c>
      <c r="E18" s="578"/>
      <c r="F18" s="559"/>
      <c r="G18" s="559"/>
      <c r="H18" s="923"/>
    </row>
    <row r="19" spans="1:8" ht="15">
      <c r="A19" s="576">
        <v>358</v>
      </c>
      <c r="B19" s="574" t="s">
        <v>836</v>
      </c>
      <c r="C19" s="1140">
        <v>1.8200000000000001E-2</v>
      </c>
      <c r="E19" s="578"/>
      <c r="F19" s="559"/>
      <c r="G19" s="559"/>
      <c r="H19" s="923"/>
    </row>
    <row r="20" spans="1:8" ht="15">
      <c r="A20" s="576">
        <v>359</v>
      </c>
      <c r="B20" s="574" t="s">
        <v>837</v>
      </c>
      <c r="C20" s="1140">
        <v>1.2500000000000001E-2</v>
      </c>
      <c r="E20" s="578"/>
      <c r="F20" s="559"/>
      <c r="G20" s="559"/>
      <c r="H20" s="923"/>
    </row>
    <row r="21" spans="1:8" ht="15">
      <c r="A21" s="576"/>
      <c r="B21" s="574"/>
      <c r="C21" s="577"/>
      <c r="D21" s="55"/>
      <c r="E21" s="578"/>
      <c r="F21" s="559"/>
      <c r="G21" s="559"/>
      <c r="H21" s="923"/>
    </row>
    <row r="22" spans="1:8" ht="15">
      <c r="A22" s="579" t="s">
        <v>838</v>
      </c>
      <c r="B22" s="574"/>
      <c r="C22" s="580"/>
      <c r="D22" s="55"/>
      <c r="E22" s="578"/>
      <c r="F22" s="559"/>
      <c r="G22" s="559"/>
      <c r="H22" s="923"/>
    </row>
    <row r="23" spans="1:8" ht="15">
      <c r="A23" s="576">
        <v>302</v>
      </c>
      <c r="B23" s="574" t="s">
        <v>839</v>
      </c>
      <c r="C23" s="577" t="s">
        <v>829</v>
      </c>
      <c r="D23" s="55"/>
      <c r="E23" s="578"/>
      <c r="F23" s="559"/>
      <c r="G23" s="559"/>
      <c r="H23" s="923"/>
    </row>
    <row r="24" spans="1:8" ht="15">
      <c r="A24" s="576">
        <v>303</v>
      </c>
      <c r="B24" s="574" t="s">
        <v>840</v>
      </c>
      <c r="C24" s="1140">
        <v>0.1429</v>
      </c>
      <c r="D24" s="55"/>
      <c r="E24" s="578"/>
      <c r="F24" s="559"/>
      <c r="G24" s="559"/>
      <c r="H24" s="923"/>
    </row>
    <row r="25" spans="1:8" ht="15">
      <c r="A25" s="576">
        <v>390</v>
      </c>
      <c r="B25" s="581" t="s">
        <v>830</v>
      </c>
      <c r="C25" s="1140">
        <v>3.3300000000000003E-2</v>
      </c>
      <c r="D25" s="55"/>
      <c r="E25" s="578"/>
      <c r="F25" s="559"/>
      <c r="G25" s="559"/>
      <c r="H25" s="923"/>
    </row>
    <row r="26" spans="1:8" ht="15">
      <c r="A26" s="979">
        <v>362.1</v>
      </c>
      <c r="B26" s="581" t="s">
        <v>841</v>
      </c>
      <c r="C26" s="1140">
        <v>0.04</v>
      </c>
      <c r="D26" s="55"/>
      <c r="E26" s="578"/>
      <c r="F26" s="559"/>
      <c r="G26" s="559"/>
      <c r="H26" s="923"/>
    </row>
    <row r="27" spans="1:8" ht="15">
      <c r="A27" s="979">
        <v>362.1</v>
      </c>
      <c r="B27" s="581" t="s">
        <v>842</v>
      </c>
      <c r="C27" s="1140">
        <v>0.1429</v>
      </c>
      <c r="D27" s="55"/>
      <c r="E27" s="578"/>
      <c r="F27" s="559"/>
      <c r="G27" s="559"/>
      <c r="H27" s="923"/>
    </row>
    <row r="28" spans="1:8" ht="15">
      <c r="A28" s="979">
        <v>362.2</v>
      </c>
      <c r="B28" s="581" t="s">
        <v>843</v>
      </c>
      <c r="C28" s="1140">
        <v>0.12</v>
      </c>
      <c r="D28" s="55"/>
      <c r="E28" s="578"/>
      <c r="F28" s="559"/>
      <c r="G28" s="559"/>
      <c r="H28" s="923"/>
    </row>
    <row r="29" spans="1:8" ht="15">
      <c r="A29" s="979">
        <v>362.2</v>
      </c>
      <c r="B29" s="581" t="s">
        <v>844</v>
      </c>
      <c r="C29" s="1140">
        <v>0.12</v>
      </c>
      <c r="D29" s="55"/>
      <c r="E29" s="578"/>
      <c r="F29" s="559"/>
      <c r="G29" s="559"/>
      <c r="H29" s="923"/>
    </row>
    <row r="30" spans="1:8" ht="15">
      <c r="A30" s="979">
        <v>362.2</v>
      </c>
      <c r="B30" s="581" t="s">
        <v>845</v>
      </c>
      <c r="C30" s="1140">
        <v>0.12</v>
      </c>
      <c r="D30" s="55"/>
      <c r="E30" s="578"/>
      <c r="F30" s="559"/>
      <c r="G30" s="559"/>
      <c r="H30" s="923"/>
    </row>
    <row r="31" spans="1:8" ht="15">
      <c r="A31" s="979">
        <v>362.2</v>
      </c>
      <c r="B31" s="581" t="s">
        <v>846</v>
      </c>
      <c r="C31" s="1140">
        <v>0.12</v>
      </c>
      <c r="D31" s="55"/>
      <c r="E31" s="578"/>
      <c r="F31" s="559"/>
      <c r="G31" s="559"/>
      <c r="H31" s="923"/>
    </row>
    <row r="32" spans="1:8" ht="15">
      <c r="A32" s="576">
        <v>393</v>
      </c>
      <c r="B32" s="581" t="s">
        <v>847</v>
      </c>
      <c r="C32" s="1140">
        <v>3.85E-2</v>
      </c>
      <c r="D32" s="949"/>
      <c r="E32" s="214"/>
      <c r="F32" s="559"/>
      <c r="G32" s="559"/>
      <c r="H32" s="923"/>
    </row>
    <row r="33" spans="1:7" ht="15">
      <c r="A33" s="576">
        <v>394</v>
      </c>
      <c r="B33" s="581" t="s">
        <v>848</v>
      </c>
      <c r="C33" s="1140">
        <v>3.6499999999999998E-2</v>
      </c>
      <c r="D33" s="949"/>
      <c r="E33" s="214"/>
      <c r="F33" s="559"/>
      <c r="G33" s="559"/>
    </row>
    <row r="34" spans="1:7" ht="15">
      <c r="A34" s="576">
        <v>395</v>
      </c>
      <c r="B34" s="581" t="s">
        <v>849</v>
      </c>
      <c r="C34" s="1140">
        <v>0.04</v>
      </c>
      <c r="D34" s="949"/>
      <c r="E34" s="214"/>
      <c r="F34" s="559"/>
      <c r="G34" s="559"/>
    </row>
    <row r="35" spans="1:7" ht="15">
      <c r="A35" s="576">
        <v>396</v>
      </c>
      <c r="B35" s="581" t="s">
        <v>850</v>
      </c>
      <c r="C35" s="1140">
        <v>0.05</v>
      </c>
      <c r="D35" s="949"/>
      <c r="E35" s="214"/>
      <c r="F35" s="559"/>
      <c r="G35" s="559"/>
    </row>
    <row r="36" spans="1:7" ht="15">
      <c r="A36" s="979">
        <v>362.7</v>
      </c>
      <c r="B36" s="574" t="s">
        <v>851</v>
      </c>
      <c r="C36" s="1140">
        <v>0.05</v>
      </c>
      <c r="D36" s="949"/>
      <c r="E36" s="214"/>
      <c r="F36" s="559"/>
      <c r="G36" s="559"/>
    </row>
    <row r="37" spans="1:7" ht="15">
      <c r="A37" s="576">
        <v>398</v>
      </c>
      <c r="B37" s="581" t="s">
        <v>852</v>
      </c>
      <c r="C37" s="1140">
        <v>6.25E-2</v>
      </c>
      <c r="D37" s="949"/>
      <c r="E37" s="214"/>
      <c r="F37" s="559"/>
      <c r="G37" s="559"/>
    </row>
    <row r="38" spans="1:7" ht="15">
      <c r="A38" s="574"/>
      <c r="B38" s="574"/>
      <c r="C38" s="574"/>
      <c r="D38" s="950"/>
      <c r="E38" s="582"/>
      <c r="F38" s="559"/>
      <c r="G38" s="559"/>
    </row>
    <row r="39" spans="1:7" ht="15">
      <c r="A39" s="583" t="s">
        <v>853</v>
      </c>
      <c r="B39" s="574"/>
      <c r="C39" s="574"/>
      <c r="D39" s="950"/>
      <c r="E39" s="574"/>
      <c r="F39" s="214"/>
      <c r="G39" s="214"/>
    </row>
    <row r="40" spans="1:7" ht="15">
      <c r="A40" s="574" t="s">
        <v>854</v>
      </c>
      <c r="B40" s="574"/>
      <c r="C40" s="574"/>
      <c r="D40" s="950"/>
      <c r="E40" s="574"/>
      <c r="F40" s="214"/>
      <c r="G40" s="214"/>
    </row>
    <row r="41" spans="1:7" ht="14.25">
      <c r="A41" s="565"/>
      <c r="B41" s="563"/>
      <c r="C41" s="564"/>
      <c r="D41" s="951"/>
      <c r="E41" s="566"/>
      <c r="F41" s="559"/>
      <c r="G41" s="559"/>
    </row>
    <row r="42" spans="1:7" ht="14.25">
      <c r="A42" s="565"/>
      <c r="B42" s="567"/>
      <c r="C42" s="563"/>
      <c r="D42" s="952"/>
      <c r="E42" s="566"/>
      <c r="F42" s="559"/>
      <c r="G42" s="559"/>
    </row>
    <row r="43" spans="1:7" ht="14.25">
      <c r="A43" s="1208"/>
      <c r="B43" s="1209"/>
      <c r="C43" s="1209"/>
      <c r="D43" s="948"/>
      <c r="E43" s="559"/>
      <c r="F43" s="559"/>
      <c r="G43" s="559"/>
    </row>
    <row r="44" spans="1:7" ht="14.25">
      <c r="A44" s="568"/>
      <c r="B44" s="1088"/>
      <c r="C44" s="569"/>
      <c r="D44" s="948"/>
      <c r="E44" s="559"/>
      <c r="F44" s="559"/>
      <c r="G44" s="559"/>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38" activePane="bottomRight" state="frozen"/>
      <selection pane="topRight" activeCell="C1" sqref="C1"/>
      <selection pane="bottomLeft" activeCell="A11" sqref="A11"/>
      <selection pane="bottomRight" activeCell="Q51" sqref="Q51"/>
    </sheetView>
  </sheetViews>
  <sheetFormatPr defaultRowHeight="12.75"/>
  <cols>
    <col min="1" max="1" width="5.140625" style="609"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A2" s="923"/>
      <c r="B2" s="923"/>
      <c r="C2" s="923"/>
      <c r="D2" s="923"/>
      <c r="E2" s="923"/>
      <c r="F2" s="923"/>
      <c r="G2" s="923"/>
      <c r="H2" s="923"/>
      <c r="I2" s="699" t="str">
        <f>+'Appendix A'!A3</f>
        <v>Dayton Power and Light</v>
      </c>
      <c r="J2" s="923"/>
      <c r="K2" s="923"/>
      <c r="L2" s="923"/>
      <c r="M2" s="923"/>
      <c r="N2" s="923"/>
      <c r="O2" s="923"/>
      <c r="P2" s="923"/>
      <c r="Q2" s="923"/>
      <c r="R2" s="923"/>
      <c r="S2" s="923"/>
      <c r="T2" s="923"/>
      <c r="U2" s="923"/>
      <c r="V2" s="923"/>
      <c r="W2" s="923"/>
      <c r="X2" s="923"/>
      <c r="Y2" s="923"/>
      <c r="Z2" s="923"/>
    </row>
    <row r="3" spans="1:26" ht="20.25">
      <c r="A3" s="923"/>
      <c r="B3" s="923"/>
      <c r="C3" s="923"/>
      <c r="D3" s="923"/>
      <c r="E3" s="923"/>
      <c r="F3" s="923"/>
      <c r="G3" s="923"/>
      <c r="H3" s="923"/>
      <c r="I3" s="699" t="str">
        <f>+'Appendix A'!A4</f>
        <v xml:space="preserve">ATTACHMENT H-15A </v>
      </c>
      <c r="J3" s="923"/>
      <c r="K3" s="923"/>
      <c r="L3" s="923"/>
      <c r="M3" s="923"/>
      <c r="N3" s="923"/>
      <c r="O3" s="923"/>
      <c r="P3" s="878"/>
      <c r="Q3" s="923"/>
      <c r="R3" s="923"/>
      <c r="S3" s="923"/>
      <c r="T3" s="923"/>
      <c r="U3" s="923"/>
      <c r="V3" s="923"/>
      <c r="W3" s="923"/>
      <c r="X3" s="923"/>
      <c r="Y3" s="923"/>
      <c r="Z3" s="923"/>
    </row>
    <row r="4" spans="1:26" ht="30" customHeight="1">
      <c r="A4" s="923"/>
      <c r="B4" s="1211" t="s">
        <v>855</v>
      </c>
      <c r="C4" s="1211"/>
      <c r="D4" s="923"/>
      <c r="E4" s="923"/>
      <c r="F4" s="923"/>
      <c r="G4" s="923"/>
      <c r="H4" s="923"/>
      <c r="I4" s="699" t="s">
        <v>856</v>
      </c>
      <c r="J4" s="923"/>
      <c r="K4" s="923"/>
      <c r="L4" s="923"/>
      <c r="M4" s="923"/>
      <c r="N4" s="923"/>
      <c r="O4" s="923"/>
      <c r="P4" s="923"/>
      <c r="Q4" s="923"/>
      <c r="R4" s="923"/>
      <c r="S4" s="923"/>
      <c r="T4" s="923"/>
      <c r="U4" s="923"/>
      <c r="V4" s="923"/>
      <c r="W4" s="923"/>
      <c r="X4" s="923"/>
      <c r="Y4" s="923"/>
      <c r="Z4" s="923"/>
    </row>
    <row r="5" spans="1:26" s="682" customFormat="1" ht="20.25">
      <c r="A5" s="923"/>
      <c r="B5" s="923"/>
      <c r="C5" s="923"/>
      <c r="D5" s="923"/>
      <c r="E5" s="923"/>
      <c r="F5" s="923"/>
      <c r="G5" s="923"/>
      <c r="H5" s="923"/>
      <c r="I5" s="699" t="s">
        <v>857</v>
      </c>
      <c r="J5" s="923"/>
      <c r="K5" s="923"/>
      <c r="L5" s="923"/>
      <c r="M5" s="923"/>
      <c r="N5" s="923"/>
      <c r="O5" s="923"/>
      <c r="P5" s="923"/>
      <c r="Q5" s="923"/>
      <c r="R5" s="923"/>
      <c r="S5" s="923"/>
      <c r="T5" s="923"/>
      <c r="U5" s="923"/>
      <c r="V5" s="923"/>
      <c r="W5" s="923"/>
      <c r="X5" s="923"/>
      <c r="Y5" s="923"/>
      <c r="Z5" s="923"/>
    </row>
    <row r="6" spans="1:26" s="682" customFormat="1" ht="20.25">
      <c r="A6" s="529" t="s">
        <v>417</v>
      </c>
      <c r="B6" s="923"/>
      <c r="C6" s="923"/>
      <c r="D6" s="923"/>
      <c r="E6" s="923"/>
      <c r="F6" s="923"/>
      <c r="G6" s="923"/>
      <c r="H6" s="923"/>
      <c r="I6" s="699"/>
      <c r="J6" s="923"/>
      <c r="K6" s="923"/>
      <c r="L6" s="923"/>
      <c r="M6" s="923"/>
      <c r="N6" s="923"/>
      <c r="O6" s="923"/>
      <c r="P6" s="923"/>
      <c r="Q6" s="923"/>
      <c r="R6" s="923"/>
      <c r="S6" s="923"/>
      <c r="T6" s="923"/>
      <c r="U6" s="923"/>
      <c r="V6" s="923"/>
      <c r="W6" s="923"/>
      <c r="X6" s="923"/>
      <c r="Y6" s="923"/>
      <c r="Z6" s="923"/>
    </row>
    <row r="7" spans="1:26">
      <c r="A7" s="606"/>
      <c r="B7" s="1087" t="s">
        <v>858</v>
      </c>
      <c r="C7" s="1087" t="s">
        <v>859</v>
      </c>
      <c r="D7" s="1087" t="s">
        <v>860</v>
      </c>
      <c r="E7" s="1087" t="s">
        <v>861</v>
      </c>
      <c r="F7" s="1087" t="s">
        <v>862</v>
      </c>
      <c r="G7" s="1087" t="s">
        <v>863</v>
      </c>
      <c r="H7" s="1087" t="s">
        <v>864</v>
      </c>
      <c r="I7" s="1087" t="s">
        <v>865</v>
      </c>
      <c r="J7" s="1087" t="s">
        <v>866</v>
      </c>
      <c r="K7" s="1087" t="s">
        <v>867</v>
      </c>
      <c r="L7" s="1087" t="s">
        <v>868</v>
      </c>
      <c r="M7" s="1087" t="s">
        <v>869</v>
      </c>
      <c r="N7" s="1087" t="s">
        <v>870</v>
      </c>
      <c r="O7" s="1087" t="s">
        <v>871</v>
      </c>
      <c r="P7" s="1087" t="s">
        <v>872</v>
      </c>
      <c r="Q7" s="1087" t="s">
        <v>873</v>
      </c>
      <c r="R7" s="1087" t="s">
        <v>874</v>
      </c>
      <c r="S7" s="1087" t="s">
        <v>875</v>
      </c>
      <c r="T7" s="1087" t="s">
        <v>876</v>
      </c>
      <c r="U7" s="1087" t="s">
        <v>877</v>
      </c>
      <c r="V7" s="1087" t="s">
        <v>878</v>
      </c>
      <c r="W7" s="1087" t="s">
        <v>879</v>
      </c>
      <c r="X7" s="1087" t="s">
        <v>880</v>
      </c>
      <c r="Y7" s="1087" t="s">
        <v>881</v>
      </c>
      <c r="Z7" s="1087" t="s">
        <v>882</v>
      </c>
    </row>
    <row r="8" spans="1:26" ht="90">
      <c r="A8" s="605" t="s">
        <v>883</v>
      </c>
      <c r="B8" s="605" t="s">
        <v>825</v>
      </c>
      <c r="C8" s="656" t="s">
        <v>884</v>
      </c>
      <c r="D8" s="656" t="s">
        <v>885</v>
      </c>
      <c r="E8" s="656" t="s">
        <v>886</v>
      </c>
      <c r="F8" s="656" t="s">
        <v>887</v>
      </c>
      <c r="G8" s="656" t="s">
        <v>888</v>
      </c>
      <c r="H8" s="656" t="s">
        <v>889</v>
      </c>
      <c r="I8" s="656" t="s">
        <v>890</v>
      </c>
      <c r="J8" s="656" t="s">
        <v>891</v>
      </c>
      <c r="K8" s="656" t="s">
        <v>892</v>
      </c>
      <c r="L8" s="656" t="s">
        <v>893</v>
      </c>
      <c r="M8" s="656" t="s">
        <v>894</v>
      </c>
      <c r="N8" s="656" t="s">
        <v>895</v>
      </c>
      <c r="O8" s="656" t="s">
        <v>896</v>
      </c>
      <c r="P8" s="656" t="s">
        <v>897</v>
      </c>
      <c r="Q8" s="656" t="s">
        <v>898</v>
      </c>
      <c r="R8" s="656" t="s">
        <v>899</v>
      </c>
      <c r="S8" s="656" t="s">
        <v>900</v>
      </c>
      <c r="T8" s="656" t="s">
        <v>901</v>
      </c>
      <c r="U8" s="656" t="s">
        <v>902</v>
      </c>
      <c r="V8" s="656" t="s">
        <v>903</v>
      </c>
      <c r="W8" s="656" t="s">
        <v>904</v>
      </c>
      <c r="X8" s="656" t="s">
        <v>905</v>
      </c>
      <c r="Y8" s="656" t="s">
        <v>906</v>
      </c>
      <c r="Z8" s="656" t="s">
        <v>907</v>
      </c>
    </row>
    <row r="9" spans="1:26" ht="31.5">
      <c r="A9" s="214"/>
      <c r="B9" s="1005" t="s">
        <v>908</v>
      </c>
      <c r="C9" s="661"/>
      <c r="D9" s="661"/>
      <c r="E9" s="957"/>
      <c r="F9" s="957"/>
      <c r="G9" s="957"/>
      <c r="H9" s="957"/>
      <c r="I9" s="957"/>
      <c r="J9" s="957"/>
      <c r="K9" s="957"/>
      <c r="L9" s="957"/>
      <c r="M9" s="957"/>
      <c r="N9" s="957"/>
      <c r="O9" s="957"/>
      <c r="P9" s="957"/>
      <c r="Q9" s="957"/>
      <c r="R9" s="957"/>
      <c r="S9" s="957"/>
      <c r="T9" s="957"/>
      <c r="U9" s="957"/>
      <c r="V9" s="957"/>
      <c r="W9" s="957"/>
      <c r="X9" s="957"/>
      <c r="Y9" s="957"/>
      <c r="Z9" s="957"/>
    </row>
    <row r="10" spans="1:26" ht="15">
      <c r="A10" s="214"/>
      <c r="B10" s="214"/>
      <c r="C10" s="214"/>
      <c r="D10" s="214"/>
      <c r="E10" s="957"/>
      <c r="F10" s="957"/>
      <c r="G10" s="957"/>
      <c r="H10" s="957"/>
      <c r="I10" s="957"/>
      <c r="J10" s="957"/>
      <c r="K10" s="957"/>
      <c r="L10" s="957"/>
      <c r="M10" s="957"/>
      <c r="N10" s="957"/>
      <c r="O10" s="957"/>
      <c r="P10" s="957"/>
      <c r="Q10" s="957"/>
      <c r="R10" s="957"/>
      <c r="S10" s="957"/>
      <c r="T10" s="957"/>
      <c r="U10" s="957"/>
      <c r="V10" s="957"/>
      <c r="W10" s="957"/>
      <c r="X10" s="957"/>
      <c r="Y10" s="957"/>
      <c r="Z10" s="957"/>
    </row>
    <row r="11" spans="1:26" ht="15">
      <c r="A11" s="214"/>
      <c r="B11" s="214" t="s">
        <v>909</v>
      </c>
      <c r="C11" s="214"/>
      <c r="D11" s="214"/>
      <c r="E11" s="957"/>
      <c r="F11" s="957"/>
      <c r="G11" s="957"/>
      <c r="H11" s="957"/>
      <c r="I11" s="957"/>
      <c r="J11" s="957"/>
      <c r="K11" s="957"/>
      <c r="L11" s="957"/>
      <c r="M11" s="957"/>
      <c r="N11" s="957"/>
      <c r="O11" s="957"/>
      <c r="P11" s="957"/>
      <c r="Q11" s="957"/>
      <c r="R11" s="957"/>
      <c r="S11" s="957"/>
      <c r="T11" s="957"/>
      <c r="U11" s="957"/>
      <c r="V11" s="957"/>
      <c r="W11" s="957"/>
      <c r="X11" s="957"/>
      <c r="Y11" s="957"/>
      <c r="Z11" s="957"/>
    </row>
    <row r="12" spans="1:26" ht="15">
      <c r="A12" s="214">
        <v>1</v>
      </c>
      <c r="B12" s="1006" t="s">
        <v>910</v>
      </c>
      <c r="C12" s="1141">
        <v>639062.5</v>
      </c>
      <c r="D12" s="890">
        <f>+C12*$I$80</f>
        <v>383437.5</v>
      </c>
      <c r="E12" s="890">
        <f>+C12-D12</f>
        <v>255625</v>
      </c>
      <c r="F12" s="1141">
        <v>0</v>
      </c>
      <c r="G12" s="890">
        <v>255625</v>
      </c>
      <c r="H12" s="48">
        <v>0.14549999999999999</v>
      </c>
      <c r="I12" s="890">
        <f>+G12*H12</f>
        <v>37193.4375</v>
      </c>
      <c r="J12" s="1007" t="s">
        <v>911</v>
      </c>
      <c r="K12" s="890">
        <v>0</v>
      </c>
      <c r="L12" s="890">
        <f>+I12-K12</f>
        <v>37193.4375</v>
      </c>
      <c r="M12" s="890">
        <f>+I12/10</f>
        <v>3719.34375</v>
      </c>
      <c r="N12" s="890">
        <f>+L12-M12</f>
        <v>33474.09375</v>
      </c>
      <c r="O12" s="890">
        <f>+I12/10</f>
        <v>3719.34375</v>
      </c>
      <c r="P12" s="890">
        <f>+N12-O12</f>
        <v>29754.75</v>
      </c>
      <c r="Q12" s="890">
        <f>+P12/5</f>
        <v>5950.95</v>
      </c>
      <c r="R12" s="890">
        <f>+P12-Q12</f>
        <v>23803.8</v>
      </c>
      <c r="S12" s="890">
        <f>+$P12/5</f>
        <v>5950.95</v>
      </c>
      <c r="T12" s="890">
        <f>+R12-S12</f>
        <v>17852.849999999999</v>
      </c>
      <c r="U12" s="890">
        <f>+$P12/5</f>
        <v>5950.95</v>
      </c>
      <c r="V12" s="890">
        <f>+T12-U12</f>
        <v>11901.899999999998</v>
      </c>
      <c r="W12" s="890">
        <f>+$P12/5</f>
        <v>5950.95</v>
      </c>
      <c r="X12" s="890">
        <f>+V12-W12</f>
        <v>5950.949999999998</v>
      </c>
      <c r="Y12" s="890">
        <f>+$P12/5</f>
        <v>5950.95</v>
      </c>
      <c r="Z12" s="890">
        <f>+X12-Y12</f>
        <v>0</v>
      </c>
    </row>
    <row r="13" spans="1:26" ht="15">
      <c r="A13" s="214">
        <f>+A12+1</f>
        <v>2</v>
      </c>
      <c r="B13" s="1006" t="s">
        <v>912</v>
      </c>
      <c r="C13" s="1142">
        <v>4709475</v>
      </c>
      <c r="D13" s="890">
        <f t="shared" ref="D13:D23" si="0">+C13*$I$80</f>
        <v>2825685</v>
      </c>
      <c r="E13" s="890">
        <f t="shared" ref="E13:E23" si="1">+C13-D13</f>
        <v>1883790</v>
      </c>
      <c r="F13" s="1142">
        <v>0</v>
      </c>
      <c r="G13" s="891">
        <v>1883790</v>
      </c>
      <c r="H13" s="48">
        <v>0.14549999999999999</v>
      </c>
      <c r="I13" s="890">
        <f t="shared" ref="I13:I22" si="2">+G13*H13</f>
        <v>274091.44500000001</v>
      </c>
      <c r="J13" s="1008" t="s">
        <v>911</v>
      </c>
      <c r="K13" s="891">
        <v>0</v>
      </c>
      <c r="L13" s="542">
        <f t="shared" ref="L13:L23" si="3">+I13-K13</f>
        <v>274091.44500000001</v>
      </c>
      <c r="M13" s="890">
        <f t="shared" ref="M13:M23" si="4">+I13/10</f>
        <v>27409.144500000002</v>
      </c>
      <c r="N13" s="542">
        <f t="shared" ref="N13:N23" si="5">+L13-M13</f>
        <v>246682.30050000001</v>
      </c>
      <c r="O13" s="890">
        <f t="shared" ref="O13:O23" si="6">+I13/10</f>
        <v>27409.144500000002</v>
      </c>
      <c r="P13" s="542">
        <f t="shared" ref="P13:P23" si="7">+N13-O13</f>
        <v>219273.15600000002</v>
      </c>
      <c r="Q13" s="890">
        <f>+P13/5</f>
        <v>43854.631200000003</v>
      </c>
      <c r="R13" s="542">
        <f t="shared" ref="R13:R23" si="8">+P13-Q13</f>
        <v>175418.52480000001</v>
      </c>
      <c r="S13" s="890">
        <f t="shared" ref="S13:Y23" si="9">+$P13/5</f>
        <v>43854.631200000003</v>
      </c>
      <c r="T13" s="542">
        <f t="shared" ref="T13:T23" si="10">+R13-S13</f>
        <v>131563.89360000001</v>
      </c>
      <c r="U13" s="890">
        <f t="shared" si="9"/>
        <v>43854.631200000003</v>
      </c>
      <c r="V13" s="542">
        <f t="shared" ref="V13:V23" si="11">+T13-U13</f>
        <v>87709.262400000007</v>
      </c>
      <c r="W13" s="890">
        <f t="shared" si="9"/>
        <v>43854.631200000003</v>
      </c>
      <c r="X13" s="542">
        <f t="shared" ref="X13:X23" si="12">+V13-W13</f>
        <v>43854.631200000003</v>
      </c>
      <c r="Y13" s="890">
        <f t="shared" si="9"/>
        <v>43854.631200000003</v>
      </c>
      <c r="Z13" s="542">
        <f t="shared" ref="Z13:Z23" si="13">+X13-Y13</f>
        <v>0</v>
      </c>
    </row>
    <row r="14" spans="1:26" ht="15">
      <c r="A14" s="214">
        <f t="shared" ref="A14:A23" si="14">+A13+1</f>
        <v>3</v>
      </c>
      <c r="B14" s="1006" t="s">
        <v>913</v>
      </c>
      <c r="C14" s="1142">
        <v>936285</v>
      </c>
      <c r="D14" s="890">
        <f t="shared" si="0"/>
        <v>561771</v>
      </c>
      <c r="E14" s="890">
        <f t="shared" si="1"/>
        <v>374514</v>
      </c>
      <c r="F14" s="1142">
        <v>0</v>
      </c>
      <c r="G14" s="891">
        <v>374514</v>
      </c>
      <c r="H14" s="48">
        <v>0.14549999999999999</v>
      </c>
      <c r="I14" s="890">
        <f t="shared" si="2"/>
        <v>54491.786999999997</v>
      </c>
      <c r="J14" s="1007" t="s">
        <v>911</v>
      </c>
      <c r="K14" s="891">
        <v>0</v>
      </c>
      <c r="L14" s="542">
        <f t="shared" si="3"/>
        <v>54491.786999999997</v>
      </c>
      <c r="M14" s="890">
        <f t="shared" si="4"/>
        <v>5449.1786999999995</v>
      </c>
      <c r="N14" s="542">
        <f t="shared" si="5"/>
        <v>49042.6083</v>
      </c>
      <c r="O14" s="890">
        <f t="shared" si="6"/>
        <v>5449.1786999999995</v>
      </c>
      <c r="P14" s="542">
        <f t="shared" si="7"/>
        <v>43593.429600000003</v>
      </c>
      <c r="Q14" s="890">
        <f t="shared" ref="Q14:Q23" si="15">+P14/5</f>
        <v>8718.6859199999999</v>
      </c>
      <c r="R14" s="542">
        <f t="shared" si="8"/>
        <v>34874.74368</v>
      </c>
      <c r="S14" s="890">
        <f t="shared" si="9"/>
        <v>8718.6859199999999</v>
      </c>
      <c r="T14" s="542">
        <f t="shared" si="10"/>
        <v>26156.05776</v>
      </c>
      <c r="U14" s="890">
        <f t="shared" si="9"/>
        <v>8718.6859199999999</v>
      </c>
      <c r="V14" s="542">
        <f t="shared" si="11"/>
        <v>17437.37184</v>
      </c>
      <c r="W14" s="890">
        <f t="shared" si="9"/>
        <v>8718.6859199999999</v>
      </c>
      <c r="X14" s="542">
        <f t="shared" si="12"/>
        <v>8718.6859199999999</v>
      </c>
      <c r="Y14" s="890">
        <f t="shared" si="9"/>
        <v>8718.6859199999999</v>
      </c>
      <c r="Z14" s="542">
        <f t="shared" si="13"/>
        <v>0</v>
      </c>
    </row>
    <row r="15" spans="1:26" ht="15">
      <c r="A15" s="214">
        <f t="shared" si="14"/>
        <v>4</v>
      </c>
      <c r="B15" s="1006" t="s">
        <v>914</v>
      </c>
      <c r="C15" s="1142">
        <v>-1766545</v>
      </c>
      <c r="D15" s="890">
        <f t="shared" si="0"/>
        <v>-1059927</v>
      </c>
      <c r="E15" s="890">
        <f t="shared" si="1"/>
        <v>-706618</v>
      </c>
      <c r="F15" s="1142">
        <v>0</v>
      </c>
      <c r="G15" s="891">
        <v>-706618</v>
      </c>
      <c r="H15" s="48">
        <v>0.14549999999999999</v>
      </c>
      <c r="I15" s="890">
        <f t="shared" si="2"/>
        <v>-102812.91899999999</v>
      </c>
      <c r="J15" s="1008" t="s">
        <v>911</v>
      </c>
      <c r="K15" s="891">
        <v>0</v>
      </c>
      <c r="L15" s="542">
        <f t="shared" si="3"/>
        <v>-102812.91899999999</v>
      </c>
      <c r="M15" s="890">
        <f t="shared" si="4"/>
        <v>-10281.2919</v>
      </c>
      <c r="N15" s="542">
        <f t="shared" si="5"/>
        <v>-92531.627099999998</v>
      </c>
      <c r="O15" s="890">
        <f t="shared" si="6"/>
        <v>-10281.2919</v>
      </c>
      <c r="P15" s="542">
        <f t="shared" si="7"/>
        <v>-82250.335200000001</v>
      </c>
      <c r="Q15" s="890">
        <f t="shared" si="15"/>
        <v>-16450.067040000002</v>
      </c>
      <c r="R15" s="542">
        <f t="shared" si="8"/>
        <v>-65800.268160000007</v>
      </c>
      <c r="S15" s="890">
        <f t="shared" si="9"/>
        <v>-16450.067040000002</v>
      </c>
      <c r="T15" s="542">
        <f t="shared" si="10"/>
        <v>-49350.201120000005</v>
      </c>
      <c r="U15" s="890">
        <f t="shared" si="9"/>
        <v>-16450.067040000002</v>
      </c>
      <c r="V15" s="542">
        <f t="shared" si="11"/>
        <v>-32900.134080000003</v>
      </c>
      <c r="W15" s="890">
        <f t="shared" si="9"/>
        <v>-16450.067040000002</v>
      </c>
      <c r="X15" s="542">
        <f t="shared" si="12"/>
        <v>-16450.067040000002</v>
      </c>
      <c r="Y15" s="890">
        <f t="shared" si="9"/>
        <v>-16450.067040000002</v>
      </c>
      <c r="Z15" s="542">
        <f t="shared" si="13"/>
        <v>0</v>
      </c>
    </row>
    <row r="16" spans="1:26" ht="15">
      <c r="A16" s="214">
        <f t="shared" si="14"/>
        <v>5</v>
      </c>
      <c r="B16" s="1006" t="s">
        <v>915</v>
      </c>
      <c r="C16" s="1142">
        <v>1458445</v>
      </c>
      <c r="D16" s="890">
        <f t="shared" si="0"/>
        <v>875067</v>
      </c>
      <c r="E16" s="890">
        <f t="shared" si="1"/>
        <v>583378</v>
      </c>
      <c r="F16" s="1142">
        <v>0</v>
      </c>
      <c r="G16" s="891">
        <v>583378</v>
      </c>
      <c r="H16" s="48">
        <v>0.14549999999999999</v>
      </c>
      <c r="I16" s="890">
        <f t="shared" si="2"/>
        <v>84881.498999999996</v>
      </c>
      <c r="J16" s="1007" t="s">
        <v>911</v>
      </c>
      <c r="K16" s="891">
        <v>0</v>
      </c>
      <c r="L16" s="542">
        <f t="shared" si="3"/>
        <v>84881.498999999996</v>
      </c>
      <c r="M16" s="890">
        <f t="shared" si="4"/>
        <v>8488.1499000000003</v>
      </c>
      <c r="N16" s="542">
        <f t="shared" si="5"/>
        <v>76393.349099999992</v>
      </c>
      <c r="O16" s="890">
        <f t="shared" si="6"/>
        <v>8488.1499000000003</v>
      </c>
      <c r="P16" s="542">
        <f t="shared" si="7"/>
        <v>67905.199199999988</v>
      </c>
      <c r="Q16" s="890">
        <f t="shared" si="15"/>
        <v>13581.039839999998</v>
      </c>
      <c r="R16" s="542">
        <f t="shared" si="8"/>
        <v>54324.159359999991</v>
      </c>
      <c r="S16" s="890">
        <f t="shared" si="9"/>
        <v>13581.039839999998</v>
      </c>
      <c r="T16" s="542">
        <f t="shared" si="10"/>
        <v>40743.119519999993</v>
      </c>
      <c r="U16" s="890">
        <f t="shared" si="9"/>
        <v>13581.039839999998</v>
      </c>
      <c r="V16" s="542">
        <f t="shared" si="11"/>
        <v>27162.079679999995</v>
      </c>
      <c r="W16" s="890">
        <f t="shared" si="9"/>
        <v>13581.039839999998</v>
      </c>
      <c r="X16" s="542">
        <f t="shared" si="12"/>
        <v>13581.039839999998</v>
      </c>
      <c r="Y16" s="890">
        <f t="shared" si="9"/>
        <v>13581.039839999998</v>
      </c>
      <c r="Z16" s="542">
        <f t="shared" si="13"/>
        <v>0</v>
      </c>
    </row>
    <row r="17" spans="1:26" ht="15">
      <c r="A17" s="214">
        <f t="shared" si="14"/>
        <v>6</v>
      </c>
      <c r="B17" s="1006" t="s">
        <v>916</v>
      </c>
      <c r="C17" s="1142">
        <v>937980</v>
      </c>
      <c r="D17" s="890">
        <f t="shared" si="0"/>
        <v>562788</v>
      </c>
      <c r="E17" s="890">
        <f t="shared" si="1"/>
        <v>375192</v>
      </c>
      <c r="F17" s="1142">
        <v>0</v>
      </c>
      <c r="G17" s="891">
        <v>375192</v>
      </c>
      <c r="H17" s="48">
        <v>0.14549999999999999</v>
      </c>
      <c r="I17" s="890">
        <f t="shared" si="2"/>
        <v>54590.435999999994</v>
      </c>
      <c r="J17" s="1008" t="s">
        <v>911</v>
      </c>
      <c r="K17" s="891">
        <v>0</v>
      </c>
      <c r="L17" s="542">
        <f t="shared" si="3"/>
        <v>54590.435999999994</v>
      </c>
      <c r="M17" s="890">
        <f t="shared" si="4"/>
        <v>5459.0435999999991</v>
      </c>
      <c r="N17" s="542">
        <f t="shared" si="5"/>
        <v>49131.392399999997</v>
      </c>
      <c r="O17" s="890">
        <f t="shared" si="6"/>
        <v>5459.0435999999991</v>
      </c>
      <c r="P17" s="542">
        <f t="shared" si="7"/>
        <v>43672.3488</v>
      </c>
      <c r="Q17" s="890">
        <f t="shared" si="15"/>
        <v>8734.46976</v>
      </c>
      <c r="R17" s="542">
        <f t="shared" si="8"/>
        <v>34937.87904</v>
      </c>
      <c r="S17" s="890">
        <f t="shared" si="9"/>
        <v>8734.46976</v>
      </c>
      <c r="T17" s="542">
        <f t="shared" si="10"/>
        <v>26203.40928</v>
      </c>
      <c r="U17" s="890">
        <f t="shared" si="9"/>
        <v>8734.46976</v>
      </c>
      <c r="V17" s="542">
        <f t="shared" si="11"/>
        <v>17468.93952</v>
      </c>
      <c r="W17" s="890">
        <f t="shared" si="9"/>
        <v>8734.46976</v>
      </c>
      <c r="X17" s="542">
        <f t="shared" si="12"/>
        <v>8734.46976</v>
      </c>
      <c r="Y17" s="890">
        <f t="shared" si="9"/>
        <v>8734.46976</v>
      </c>
      <c r="Z17" s="542">
        <f t="shared" si="13"/>
        <v>0</v>
      </c>
    </row>
    <row r="18" spans="1:26" ht="15">
      <c r="A18" s="214">
        <f t="shared" si="14"/>
        <v>7</v>
      </c>
      <c r="B18" s="1006" t="s">
        <v>917</v>
      </c>
      <c r="C18" s="1142">
        <v>1166550</v>
      </c>
      <c r="D18" s="890">
        <f t="shared" si="0"/>
        <v>699930</v>
      </c>
      <c r="E18" s="890">
        <f t="shared" si="1"/>
        <v>466620</v>
      </c>
      <c r="F18" s="1142">
        <v>0</v>
      </c>
      <c r="G18" s="891">
        <v>466620</v>
      </c>
      <c r="H18" s="48">
        <v>0.14549999999999999</v>
      </c>
      <c r="I18" s="890">
        <f t="shared" si="2"/>
        <v>67893.209999999992</v>
      </c>
      <c r="J18" s="1007" t="s">
        <v>911</v>
      </c>
      <c r="K18" s="891">
        <v>0</v>
      </c>
      <c r="L18" s="542">
        <f t="shared" si="3"/>
        <v>67893.209999999992</v>
      </c>
      <c r="M18" s="890">
        <f t="shared" si="4"/>
        <v>6789.320999999999</v>
      </c>
      <c r="N18" s="542">
        <f t="shared" si="5"/>
        <v>61103.888999999996</v>
      </c>
      <c r="O18" s="890">
        <f t="shared" si="6"/>
        <v>6789.320999999999</v>
      </c>
      <c r="P18" s="542">
        <f t="shared" si="7"/>
        <v>54314.567999999999</v>
      </c>
      <c r="Q18" s="890">
        <f t="shared" si="15"/>
        <v>10862.9136</v>
      </c>
      <c r="R18" s="542">
        <f t="shared" si="8"/>
        <v>43451.654399999999</v>
      </c>
      <c r="S18" s="890">
        <f t="shared" si="9"/>
        <v>10862.9136</v>
      </c>
      <c r="T18" s="542">
        <f t="shared" si="10"/>
        <v>32588.7408</v>
      </c>
      <c r="U18" s="890">
        <f t="shared" si="9"/>
        <v>10862.9136</v>
      </c>
      <c r="V18" s="542">
        <f t="shared" si="11"/>
        <v>21725.8272</v>
      </c>
      <c r="W18" s="890">
        <f t="shared" si="9"/>
        <v>10862.9136</v>
      </c>
      <c r="X18" s="542">
        <f t="shared" si="12"/>
        <v>10862.9136</v>
      </c>
      <c r="Y18" s="890">
        <f t="shared" si="9"/>
        <v>10862.9136</v>
      </c>
      <c r="Z18" s="542">
        <f t="shared" si="13"/>
        <v>0</v>
      </c>
    </row>
    <row r="19" spans="1:26" ht="15">
      <c r="A19" s="214">
        <f t="shared" si="14"/>
        <v>8</v>
      </c>
      <c r="B19" s="1006" t="s">
        <v>918</v>
      </c>
      <c r="C19" s="1142">
        <v>369007.5</v>
      </c>
      <c r="D19" s="890">
        <f t="shared" si="0"/>
        <v>221404.5</v>
      </c>
      <c r="E19" s="890">
        <f t="shared" si="1"/>
        <v>147603</v>
      </c>
      <c r="F19" s="1142">
        <v>0</v>
      </c>
      <c r="G19" s="891">
        <v>147603</v>
      </c>
      <c r="H19" s="48">
        <v>0.14180000000000001</v>
      </c>
      <c r="I19" s="890">
        <f t="shared" si="2"/>
        <v>20930.1054</v>
      </c>
      <c r="J19" s="1008" t="s">
        <v>911</v>
      </c>
      <c r="K19" s="891">
        <v>0</v>
      </c>
      <c r="L19" s="542">
        <f t="shared" si="3"/>
        <v>20930.1054</v>
      </c>
      <c r="M19" s="890">
        <f t="shared" si="4"/>
        <v>2093.0105400000002</v>
      </c>
      <c r="N19" s="542">
        <f t="shared" si="5"/>
        <v>18837.094860000001</v>
      </c>
      <c r="O19" s="890">
        <f t="shared" si="6"/>
        <v>2093.0105400000002</v>
      </c>
      <c r="P19" s="542">
        <f t="shared" si="7"/>
        <v>16744.084320000002</v>
      </c>
      <c r="Q19" s="890">
        <f t="shared" si="15"/>
        <v>3348.8168640000004</v>
      </c>
      <c r="R19" s="542">
        <f t="shared" si="8"/>
        <v>13395.267456000001</v>
      </c>
      <c r="S19" s="890">
        <f t="shared" si="9"/>
        <v>3348.8168640000004</v>
      </c>
      <c r="T19" s="542">
        <f t="shared" si="10"/>
        <v>10046.450592000001</v>
      </c>
      <c r="U19" s="890">
        <f t="shared" si="9"/>
        <v>3348.8168640000004</v>
      </c>
      <c r="V19" s="542">
        <f t="shared" si="11"/>
        <v>6697.6337280000007</v>
      </c>
      <c r="W19" s="890">
        <f t="shared" si="9"/>
        <v>3348.8168640000004</v>
      </c>
      <c r="X19" s="542">
        <f t="shared" si="12"/>
        <v>3348.8168640000004</v>
      </c>
      <c r="Y19" s="890">
        <f t="shared" si="9"/>
        <v>3348.8168640000004</v>
      </c>
      <c r="Z19" s="542">
        <f t="shared" si="13"/>
        <v>0</v>
      </c>
    </row>
    <row r="20" spans="1:26" ht="15">
      <c r="A20" s="214">
        <f t="shared" si="14"/>
        <v>9</v>
      </c>
      <c r="B20" s="1006" t="s">
        <v>919</v>
      </c>
      <c r="C20" s="1142">
        <v>0</v>
      </c>
      <c r="D20" s="890">
        <f t="shared" si="0"/>
        <v>0</v>
      </c>
      <c r="E20" s="890">
        <f t="shared" si="1"/>
        <v>0</v>
      </c>
      <c r="F20" s="1142">
        <v>0</v>
      </c>
      <c r="G20" s="891">
        <v>0</v>
      </c>
      <c r="H20" s="48">
        <v>0</v>
      </c>
      <c r="I20" s="890">
        <f t="shared" si="2"/>
        <v>0</v>
      </c>
      <c r="J20" s="1007" t="s">
        <v>911</v>
      </c>
      <c r="K20" s="891">
        <v>0</v>
      </c>
      <c r="L20" s="542">
        <f t="shared" si="3"/>
        <v>0</v>
      </c>
      <c r="M20" s="890">
        <f t="shared" si="4"/>
        <v>0</v>
      </c>
      <c r="N20" s="542">
        <f t="shared" si="5"/>
        <v>0</v>
      </c>
      <c r="O20" s="890">
        <f t="shared" si="6"/>
        <v>0</v>
      </c>
      <c r="P20" s="542">
        <f t="shared" si="7"/>
        <v>0</v>
      </c>
      <c r="Q20" s="890">
        <f t="shared" si="15"/>
        <v>0</v>
      </c>
      <c r="R20" s="542">
        <f t="shared" si="8"/>
        <v>0</v>
      </c>
      <c r="S20" s="890">
        <f t="shared" si="9"/>
        <v>0</v>
      </c>
      <c r="T20" s="542">
        <f t="shared" si="10"/>
        <v>0</v>
      </c>
      <c r="U20" s="890">
        <f t="shared" si="9"/>
        <v>0</v>
      </c>
      <c r="V20" s="542">
        <f t="shared" si="11"/>
        <v>0</v>
      </c>
      <c r="W20" s="890">
        <f t="shared" si="9"/>
        <v>0</v>
      </c>
      <c r="X20" s="542">
        <f t="shared" si="12"/>
        <v>0</v>
      </c>
      <c r="Y20" s="890">
        <f t="shared" si="9"/>
        <v>0</v>
      </c>
      <c r="Z20" s="542">
        <f t="shared" si="13"/>
        <v>0</v>
      </c>
    </row>
    <row r="21" spans="1:26" ht="17.45" customHeight="1">
      <c r="A21" s="214">
        <f t="shared" si="14"/>
        <v>10</v>
      </c>
      <c r="B21" s="1006" t="s">
        <v>920</v>
      </c>
      <c r="C21" s="1142">
        <v>1288335</v>
      </c>
      <c r="D21" s="890">
        <f t="shared" si="0"/>
        <v>773001</v>
      </c>
      <c r="E21" s="890">
        <f t="shared" si="1"/>
        <v>515334</v>
      </c>
      <c r="F21" s="1142">
        <v>0</v>
      </c>
      <c r="G21" s="891">
        <v>515334</v>
      </c>
      <c r="H21" s="48">
        <v>0</v>
      </c>
      <c r="I21" s="890">
        <f t="shared" si="2"/>
        <v>0</v>
      </c>
      <c r="J21" s="1008" t="s">
        <v>911</v>
      </c>
      <c r="K21" s="891">
        <v>0</v>
      </c>
      <c r="L21" s="542">
        <f t="shared" si="3"/>
        <v>0</v>
      </c>
      <c r="M21" s="890">
        <f t="shared" si="4"/>
        <v>0</v>
      </c>
      <c r="N21" s="542">
        <f t="shared" si="5"/>
        <v>0</v>
      </c>
      <c r="O21" s="890">
        <f t="shared" si="6"/>
        <v>0</v>
      </c>
      <c r="P21" s="542">
        <f t="shared" si="7"/>
        <v>0</v>
      </c>
      <c r="Q21" s="890">
        <f t="shared" si="15"/>
        <v>0</v>
      </c>
      <c r="R21" s="542">
        <f t="shared" si="8"/>
        <v>0</v>
      </c>
      <c r="S21" s="890">
        <f t="shared" si="9"/>
        <v>0</v>
      </c>
      <c r="T21" s="542">
        <f t="shared" si="10"/>
        <v>0</v>
      </c>
      <c r="U21" s="890">
        <f t="shared" si="9"/>
        <v>0</v>
      </c>
      <c r="V21" s="542">
        <f t="shared" si="11"/>
        <v>0</v>
      </c>
      <c r="W21" s="890">
        <f t="shared" si="9"/>
        <v>0</v>
      </c>
      <c r="X21" s="542">
        <f t="shared" si="12"/>
        <v>0</v>
      </c>
      <c r="Y21" s="890">
        <f t="shared" si="9"/>
        <v>0</v>
      </c>
      <c r="Z21" s="542">
        <f t="shared" si="13"/>
        <v>0</v>
      </c>
    </row>
    <row r="22" spans="1:26" ht="15">
      <c r="A22" s="214">
        <f t="shared" si="14"/>
        <v>11</v>
      </c>
      <c r="B22" s="1006" t="s">
        <v>921</v>
      </c>
      <c r="C22" s="1142">
        <v>-224000</v>
      </c>
      <c r="D22" s="890">
        <f t="shared" si="0"/>
        <v>-134400</v>
      </c>
      <c r="E22" s="890">
        <f t="shared" si="1"/>
        <v>-89600</v>
      </c>
      <c r="F22" s="1142">
        <v>0</v>
      </c>
      <c r="G22" s="891">
        <v>-89600</v>
      </c>
      <c r="H22" s="48">
        <v>0.14549999999999999</v>
      </c>
      <c r="I22" s="890">
        <f t="shared" si="2"/>
        <v>-13036.8</v>
      </c>
      <c r="J22" s="1007" t="s">
        <v>911</v>
      </c>
      <c r="K22" s="891">
        <v>0</v>
      </c>
      <c r="L22" s="542">
        <f t="shared" si="3"/>
        <v>-13036.8</v>
      </c>
      <c r="M22" s="890">
        <f t="shared" si="4"/>
        <v>-1303.6799999999998</v>
      </c>
      <c r="N22" s="542">
        <f t="shared" si="5"/>
        <v>-11733.119999999999</v>
      </c>
      <c r="O22" s="890">
        <f t="shared" si="6"/>
        <v>-1303.6799999999998</v>
      </c>
      <c r="P22" s="542">
        <f t="shared" si="7"/>
        <v>-10429.439999999999</v>
      </c>
      <c r="Q22" s="890">
        <f t="shared" si="15"/>
        <v>-2085.8879999999999</v>
      </c>
      <c r="R22" s="542">
        <f t="shared" si="8"/>
        <v>-8343.5519999999997</v>
      </c>
      <c r="S22" s="890">
        <f t="shared" si="9"/>
        <v>-2085.8879999999999</v>
      </c>
      <c r="T22" s="542">
        <f t="shared" si="10"/>
        <v>-6257.6639999999998</v>
      </c>
      <c r="U22" s="890">
        <f t="shared" si="9"/>
        <v>-2085.8879999999999</v>
      </c>
      <c r="V22" s="542">
        <f t="shared" si="11"/>
        <v>-4171.7759999999998</v>
      </c>
      <c r="W22" s="890">
        <f t="shared" si="9"/>
        <v>-2085.8879999999999</v>
      </c>
      <c r="X22" s="542">
        <f t="shared" si="12"/>
        <v>-2085.8879999999999</v>
      </c>
      <c r="Y22" s="890">
        <f t="shared" si="9"/>
        <v>-2085.8879999999999</v>
      </c>
      <c r="Z22" s="542">
        <f t="shared" si="13"/>
        <v>0</v>
      </c>
    </row>
    <row r="23" spans="1:26" ht="15">
      <c r="A23" s="214">
        <f t="shared" si="14"/>
        <v>12</v>
      </c>
      <c r="B23" s="1006" t="s">
        <v>922</v>
      </c>
      <c r="C23" s="1143">
        <v>245590</v>
      </c>
      <c r="D23" s="916">
        <f t="shared" si="0"/>
        <v>147354</v>
      </c>
      <c r="E23" s="916">
        <f t="shared" si="1"/>
        <v>98236</v>
      </c>
      <c r="F23" s="1143">
        <v>0</v>
      </c>
      <c r="G23" s="915">
        <v>98236</v>
      </c>
      <c r="H23" s="48" t="s">
        <v>923</v>
      </c>
      <c r="I23" s="1143">
        <v>15523</v>
      </c>
      <c r="J23" s="1008" t="s">
        <v>911</v>
      </c>
      <c r="K23" s="915">
        <v>0</v>
      </c>
      <c r="L23" s="1009">
        <f t="shared" si="3"/>
        <v>15523</v>
      </c>
      <c r="M23" s="916">
        <f t="shared" si="4"/>
        <v>1552.3</v>
      </c>
      <c r="N23" s="1009">
        <f t="shared" si="5"/>
        <v>13970.7</v>
      </c>
      <c r="O23" s="916">
        <f t="shared" si="6"/>
        <v>1552.3</v>
      </c>
      <c r="P23" s="1009">
        <f t="shared" si="7"/>
        <v>12418.400000000001</v>
      </c>
      <c r="Q23" s="916">
        <f t="shared" si="15"/>
        <v>2483.6800000000003</v>
      </c>
      <c r="R23" s="1009">
        <f t="shared" si="8"/>
        <v>9934.7200000000012</v>
      </c>
      <c r="S23" s="916">
        <f t="shared" si="9"/>
        <v>2483.6800000000003</v>
      </c>
      <c r="T23" s="1009">
        <f t="shared" si="10"/>
        <v>7451.0400000000009</v>
      </c>
      <c r="U23" s="916">
        <f t="shared" si="9"/>
        <v>2483.6800000000003</v>
      </c>
      <c r="V23" s="1009">
        <f t="shared" si="11"/>
        <v>4967.3600000000006</v>
      </c>
      <c r="W23" s="916">
        <f t="shared" si="9"/>
        <v>2483.6800000000003</v>
      </c>
      <c r="X23" s="1009">
        <f t="shared" si="12"/>
        <v>2483.6800000000003</v>
      </c>
      <c r="Y23" s="916">
        <f t="shared" si="9"/>
        <v>2483.6800000000003</v>
      </c>
      <c r="Z23" s="1009">
        <f t="shared" si="13"/>
        <v>0</v>
      </c>
    </row>
    <row r="24" spans="1:26" ht="15">
      <c r="A24" s="214">
        <f>+A23+1</f>
        <v>13</v>
      </c>
      <c r="B24" s="657" t="s">
        <v>924</v>
      </c>
      <c r="C24" s="872">
        <f>+SUM(C12:C23)</f>
        <v>9760185</v>
      </c>
      <c r="D24" s="872">
        <f>+SUM(D12:D23)</f>
        <v>5856111</v>
      </c>
      <c r="E24" s="872">
        <f>+SUM(E12:E23)</f>
        <v>3904074</v>
      </c>
      <c r="F24" s="872">
        <f>+SUM(F12:F23)</f>
        <v>0</v>
      </c>
      <c r="G24" s="872">
        <f>+SUM(G12:G23)</f>
        <v>3904074</v>
      </c>
      <c r="H24" s="658"/>
      <c r="I24" s="872">
        <f t="shared" ref="I24:Z24" si="16">+SUM(I12:I23)</f>
        <v>493745.2009</v>
      </c>
      <c r="J24" s="872"/>
      <c r="K24" s="872">
        <f t="shared" si="16"/>
        <v>0</v>
      </c>
      <c r="L24" s="872">
        <f t="shared" si="16"/>
        <v>493745.2009</v>
      </c>
      <c r="M24" s="872">
        <f t="shared" si="16"/>
        <v>49374.520089999998</v>
      </c>
      <c r="N24" s="872">
        <f t="shared" si="16"/>
        <v>444370.68081000005</v>
      </c>
      <c r="O24" s="891">
        <f t="shared" si="16"/>
        <v>49374.520089999998</v>
      </c>
      <c r="P24" s="872">
        <f t="shared" si="16"/>
        <v>394996.16071999999</v>
      </c>
      <c r="Q24" s="891">
        <f t="shared" si="16"/>
        <v>78999.23214399998</v>
      </c>
      <c r="R24" s="872">
        <f t="shared" si="16"/>
        <v>315996.92857599992</v>
      </c>
      <c r="S24" s="891">
        <f t="shared" si="16"/>
        <v>78999.23214399998</v>
      </c>
      <c r="T24" s="872">
        <f t="shared" si="16"/>
        <v>236997.69643200003</v>
      </c>
      <c r="U24" s="891">
        <f t="shared" si="16"/>
        <v>78999.23214399998</v>
      </c>
      <c r="V24" s="872">
        <f t="shared" si="16"/>
        <v>157998.46428799996</v>
      </c>
      <c r="W24" s="891">
        <f t="shared" si="16"/>
        <v>78999.23214399998</v>
      </c>
      <c r="X24" s="872">
        <f t="shared" si="16"/>
        <v>78999.23214399998</v>
      </c>
      <c r="Y24" s="891">
        <f t="shared" si="16"/>
        <v>78999.23214399998</v>
      </c>
      <c r="Z24" s="872">
        <f t="shared" si="16"/>
        <v>0</v>
      </c>
    </row>
    <row r="25" spans="1:26" ht="17.25">
      <c r="A25" s="214"/>
      <c r="B25" s="659"/>
      <c r="C25" s="873"/>
      <c r="D25" s="873"/>
      <c r="E25" s="873"/>
      <c r="F25" s="873"/>
      <c r="G25" s="873"/>
      <c r="H25" s="658"/>
      <c r="I25" s="918"/>
      <c r="J25" s="918"/>
      <c r="K25" s="918"/>
      <c r="L25" s="918"/>
      <c r="M25" s="918"/>
      <c r="N25" s="918"/>
      <c r="O25" s="915"/>
      <c r="P25" s="918"/>
      <c r="Q25" s="915"/>
      <c r="R25" s="918"/>
      <c r="S25" s="915"/>
      <c r="T25" s="918"/>
      <c r="U25" s="915"/>
      <c r="V25" s="918"/>
      <c r="W25" s="915"/>
      <c r="X25" s="918"/>
      <c r="Y25" s="915"/>
      <c r="Z25" s="918"/>
    </row>
    <row r="26" spans="1:26" ht="17.25">
      <c r="A26" s="214"/>
      <c r="B26" s="657" t="s">
        <v>925</v>
      </c>
      <c r="C26" s="873"/>
      <c r="D26" s="873"/>
      <c r="E26" s="873"/>
      <c r="F26" s="873"/>
      <c r="G26" s="873"/>
      <c r="H26" s="658"/>
      <c r="I26" s="918"/>
      <c r="J26" s="918"/>
      <c r="K26" s="918"/>
      <c r="L26" s="918"/>
      <c r="M26" s="918"/>
      <c r="N26" s="918"/>
      <c r="O26" s="915"/>
      <c r="P26" s="918"/>
      <c r="Q26" s="915"/>
      <c r="R26" s="918"/>
      <c r="S26" s="915"/>
      <c r="T26" s="918"/>
      <c r="U26" s="915"/>
      <c r="V26" s="918"/>
      <c r="W26" s="915"/>
      <c r="X26" s="918"/>
      <c r="Y26" s="915"/>
      <c r="Z26" s="918"/>
    </row>
    <row r="27" spans="1:26" ht="15">
      <c r="A27" s="214">
        <f>+A24+1</f>
        <v>14</v>
      </c>
      <c r="B27" s="1010" t="s">
        <v>926</v>
      </c>
      <c r="C27" s="1142">
        <v>0</v>
      </c>
      <c r="D27" s="890">
        <f t="shared" ref="D27:D28" si="17">+C27*$I$80</f>
        <v>0</v>
      </c>
      <c r="E27" s="890">
        <f t="shared" ref="E27:E28" si="18">+C27-D27</f>
        <v>0</v>
      </c>
      <c r="F27" s="1142">
        <v>0</v>
      </c>
      <c r="G27" s="890">
        <f t="shared" ref="G27:G28" si="19">+E27+F27</f>
        <v>0</v>
      </c>
      <c r="H27" s="1011">
        <v>0</v>
      </c>
      <c r="I27" s="890">
        <f t="shared" ref="I27" si="20">+G27*H27</f>
        <v>0</v>
      </c>
      <c r="J27" s="955"/>
      <c r="K27" s="872">
        <v>0</v>
      </c>
      <c r="L27" s="542">
        <f>+I27-K27</f>
        <v>0</v>
      </c>
      <c r="M27" s="829">
        <v>0</v>
      </c>
      <c r="N27" s="542">
        <f>+K27-M27</f>
        <v>0</v>
      </c>
      <c r="O27" s="829">
        <v>0</v>
      </c>
      <c r="P27" s="542">
        <f>+M27-O27</f>
        <v>0</v>
      </c>
      <c r="Q27" s="829">
        <v>0</v>
      </c>
      <c r="R27" s="542">
        <f>+O27-Q27</f>
        <v>0</v>
      </c>
      <c r="S27" s="954">
        <v>0</v>
      </c>
      <c r="T27" s="542">
        <f>+Q27-S27</f>
        <v>0</v>
      </c>
      <c r="U27" s="954">
        <v>0</v>
      </c>
      <c r="V27" s="542">
        <f t="shared" ref="V27:V28" si="21">+T27-U27</f>
        <v>0</v>
      </c>
      <c r="W27" s="954">
        <v>0</v>
      </c>
      <c r="X27" s="542">
        <f>+U27-W27</f>
        <v>0</v>
      </c>
      <c r="Y27" s="890">
        <f t="shared" ref="Y27:Y28" si="22">+$P27/5</f>
        <v>0</v>
      </c>
      <c r="Z27" s="542">
        <f>+W27-Y27</f>
        <v>0</v>
      </c>
    </row>
    <row r="28" spans="1:26" ht="15">
      <c r="A28" s="214">
        <f>+A27+1</f>
        <v>15</v>
      </c>
      <c r="B28" s="1010" t="s">
        <v>926</v>
      </c>
      <c r="C28" s="1143">
        <v>0</v>
      </c>
      <c r="D28" s="916">
        <f t="shared" si="17"/>
        <v>0</v>
      </c>
      <c r="E28" s="916">
        <f t="shared" si="18"/>
        <v>0</v>
      </c>
      <c r="F28" s="1143">
        <v>0</v>
      </c>
      <c r="G28" s="916">
        <f t="shared" si="19"/>
        <v>0</v>
      </c>
      <c r="H28" s="1012" t="s">
        <v>923</v>
      </c>
      <c r="I28" s="956">
        <v>0</v>
      </c>
      <c r="J28" s="955"/>
      <c r="K28" s="918">
        <v>0</v>
      </c>
      <c r="L28" s="1009">
        <f>+I28-K28</f>
        <v>0</v>
      </c>
      <c r="M28" s="1013">
        <v>0</v>
      </c>
      <c r="N28" s="1009">
        <f>+K28-M28</f>
        <v>0</v>
      </c>
      <c r="O28" s="1013">
        <v>0</v>
      </c>
      <c r="P28" s="1009">
        <f>+M28-O28</f>
        <v>0</v>
      </c>
      <c r="Q28" s="1013">
        <v>0</v>
      </c>
      <c r="R28" s="1009">
        <f>+O28-Q28</f>
        <v>0</v>
      </c>
      <c r="S28" s="1014">
        <v>0</v>
      </c>
      <c r="T28" s="1009">
        <f>+Q28-S28</f>
        <v>0</v>
      </c>
      <c r="U28" s="1014">
        <v>0</v>
      </c>
      <c r="V28" s="1009">
        <f t="shared" si="21"/>
        <v>0</v>
      </c>
      <c r="W28" s="1014">
        <v>0</v>
      </c>
      <c r="X28" s="1009">
        <f>+U28-W28</f>
        <v>0</v>
      </c>
      <c r="Y28" s="916">
        <f t="shared" si="22"/>
        <v>0</v>
      </c>
      <c r="Z28" s="1009">
        <f>+W28-Y28</f>
        <v>0</v>
      </c>
    </row>
    <row r="29" spans="1:26" ht="15">
      <c r="A29" s="214">
        <f>+A28+1</f>
        <v>16</v>
      </c>
      <c r="B29" s="660" t="s">
        <v>927</v>
      </c>
      <c r="C29" s="872">
        <f>+C27+C28</f>
        <v>0</v>
      </c>
      <c r="D29" s="872">
        <f>+D27+D28</f>
        <v>0</v>
      </c>
      <c r="E29" s="872">
        <f>+E27+E28</f>
        <v>0</v>
      </c>
      <c r="F29" s="872">
        <f>+F27+F28</f>
        <v>0</v>
      </c>
      <c r="G29" s="872">
        <f>+G27+G28</f>
        <v>0</v>
      </c>
      <c r="H29" s="48"/>
      <c r="I29" s="872">
        <f>+I27+I28</f>
        <v>0</v>
      </c>
      <c r="J29" s="872"/>
      <c r="K29" s="872">
        <f t="shared" ref="K29:U29" si="23">+K27+K28</f>
        <v>0</v>
      </c>
      <c r="L29" s="542">
        <f t="shared" si="23"/>
        <v>0</v>
      </c>
      <c r="M29" s="542">
        <f t="shared" si="23"/>
        <v>0</v>
      </c>
      <c r="N29" s="542">
        <f t="shared" si="23"/>
        <v>0</v>
      </c>
      <c r="O29" s="542">
        <f t="shared" si="23"/>
        <v>0</v>
      </c>
      <c r="P29" s="542">
        <f t="shared" si="23"/>
        <v>0</v>
      </c>
      <c r="Q29" s="542">
        <f t="shared" si="23"/>
        <v>0</v>
      </c>
      <c r="R29" s="542">
        <f t="shared" si="23"/>
        <v>0</v>
      </c>
      <c r="S29" s="542">
        <f t="shared" si="23"/>
        <v>0</v>
      </c>
      <c r="T29" s="542">
        <f t="shared" si="23"/>
        <v>0</v>
      </c>
      <c r="U29" s="542">
        <f t="shared" si="23"/>
        <v>0</v>
      </c>
      <c r="V29" s="872">
        <f t="shared" ref="V29" si="24">+SUM(V17:V28)</f>
        <v>204686.44873599996</v>
      </c>
      <c r="W29" s="542">
        <f>+W27+W28</f>
        <v>0</v>
      </c>
      <c r="X29" s="542">
        <f>+X27+X28</f>
        <v>0</v>
      </c>
      <c r="Y29" s="542">
        <f>+Y27+Y28</f>
        <v>0</v>
      </c>
      <c r="Z29" s="542">
        <f>+Z27+Z28</f>
        <v>0</v>
      </c>
    </row>
    <row r="30" spans="1:26" ht="15">
      <c r="A30" s="214"/>
      <c r="B30" s="660"/>
      <c r="C30" s="872"/>
      <c r="D30" s="872"/>
      <c r="E30" s="872"/>
      <c r="F30" s="872"/>
      <c r="G30" s="872"/>
      <c r="H30" s="48"/>
      <c r="I30" s="872"/>
      <c r="J30" s="872"/>
      <c r="K30" s="872"/>
      <c r="L30" s="542"/>
      <c r="M30" s="542"/>
      <c r="N30" s="542"/>
      <c r="O30" s="542"/>
      <c r="P30" s="542"/>
      <c r="Q30" s="542"/>
      <c r="R30" s="542"/>
      <c r="S30" s="542"/>
      <c r="T30" s="542"/>
      <c r="U30" s="542"/>
      <c r="V30" s="542"/>
      <c r="W30" s="542"/>
      <c r="X30" s="542"/>
      <c r="Y30" s="542"/>
      <c r="Z30" s="542"/>
    </row>
    <row r="31" spans="1:26" ht="15">
      <c r="A31" s="214"/>
      <c r="B31" s="660" t="s">
        <v>928</v>
      </c>
      <c r="C31" s="872"/>
      <c r="D31" s="872"/>
      <c r="E31" s="872"/>
      <c r="F31" s="872"/>
      <c r="G31" s="872"/>
      <c r="H31" s="48"/>
      <c r="I31" s="872"/>
      <c r="J31" s="872"/>
      <c r="K31" s="872"/>
      <c r="L31" s="542"/>
      <c r="M31" s="542"/>
      <c r="N31" s="542"/>
      <c r="O31" s="542"/>
      <c r="P31" s="542"/>
      <c r="Q31" s="542"/>
      <c r="R31" s="542"/>
      <c r="S31" s="542"/>
      <c r="T31" s="542"/>
      <c r="U31" s="542"/>
      <c r="V31" s="542"/>
      <c r="W31" s="542"/>
      <c r="X31" s="542"/>
      <c r="Y31" s="542"/>
      <c r="Z31" s="542"/>
    </row>
    <row r="32" spans="1:26" ht="15">
      <c r="A32" s="214">
        <f>+A29+1</f>
        <v>17</v>
      </c>
      <c r="B32" s="1010" t="s">
        <v>926</v>
      </c>
      <c r="C32" s="1142">
        <v>0</v>
      </c>
      <c r="D32" s="890">
        <f t="shared" ref="D32:D35" si="25">+C32*$I$80</f>
        <v>0</v>
      </c>
      <c r="E32" s="890">
        <f t="shared" ref="E32:E35" si="26">+C32-D32</f>
        <v>0</v>
      </c>
      <c r="F32" s="1142">
        <v>0</v>
      </c>
      <c r="G32" s="891">
        <v>0</v>
      </c>
      <c r="H32" s="1011">
        <v>0</v>
      </c>
      <c r="I32" s="890">
        <f t="shared" ref="I32:I34" si="27">+G32*H32</f>
        <v>0</v>
      </c>
      <c r="J32" s="955"/>
      <c r="K32" s="872">
        <v>0</v>
      </c>
      <c r="L32" s="542">
        <f t="shared" ref="L32:L35" si="28">+I32-K32</f>
        <v>0</v>
      </c>
      <c r="M32" s="829">
        <v>0</v>
      </c>
      <c r="N32" s="542">
        <f t="shared" ref="N32:N35" si="29">+L32-M32</f>
        <v>0</v>
      </c>
      <c r="O32" s="829">
        <v>0</v>
      </c>
      <c r="P32" s="542">
        <f t="shared" ref="P32:P35" si="30">+N32-O32</f>
        <v>0</v>
      </c>
      <c r="Q32" s="829">
        <v>0</v>
      </c>
      <c r="R32" s="542">
        <f t="shared" ref="R32:R35" si="31">+P32-Q32</f>
        <v>0</v>
      </c>
      <c r="S32" s="829">
        <v>0</v>
      </c>
      <c r="T32" s="542">
        <f t="shared" ref="T32:T35" si="32">+R32-S32</f>
        <v>0</v>
      </c>
      <c r="U32" s="829">
        <v>0</v>
      </c>
      <c r="V32" s="542">
        <f t="shared" ref="V32:V35" si="33">+T32-U32</f>
        <v>0</v>
      </c>
      <c r="W32" s="829">
        <v>0</v>
      </c>
      <c r="X32" s="542">
        <f t="shared" ref="X32:X35" si="34">+V32-W32</f>
        <v>0</v>
      </c>
      <c r="Y32" s="890">
        <f>+$P32/5</f>
        <v>0</v>
      </c>
      <c r="Z32" s="542">
        <f t="shared" ref="Z32:Z35" si="35">+X32-Y32</f>
        <v>0</v>
      </c>
    </row>
    <row r="33" spans="1:26" ht="15">
      <c r="A33" s="214">
        <f>+A32+1</f>
        <v>18</v>
      </c>
      <c r="B33" s="1010" t="s">
        <v>926</v>
      </c>
      <c r="C33" s="1142">
        <v>0</v>
      </c>
      <c r="D33" s="890">
        <f t="shared" si="25"/>
        <v>0</v>
      </c>
      <c r="E33" s="890">
        <f t="shared" si="26"/>
        <v>0</v>
      </c>
      <c r="F33" s="1142">
        <v>0</v>
      </c>
      <c r="G33" s="891">
        <v>0</v>
      </c>
      <c r="H33" s="1011">
        <v>0</v>
      </c>
      <c r="I33" s="890">
        <f t="shared" si="27"/>
        <v>0</v>
      </c>
      <c r="J33" s="955"/>
      <c r="K33" s="872">
        <v>0</v>
      </c>
      <c r="L33" s="542">
        <f t="shared" si="28"/>
        <v>0</v>
      </c>
      <c r="M33" s="829">
        <v>0</v>
      </c>
      <c r="N33" s="542">
        <f t="shared" si="29"/>
        <v>0</v>
      </c>
      <c r="O33" s="829">
        <v>0</v>
      </c>
      <c r="P33" s="542">
        <f t="shared" si="30"/>
        <v>0</v>
      </c>
      <c r="Q33" s="829">
        <v>0</v>
      </c>
      <c r="R33" s="542">
        <f t="shared" si="31"/>
        <v>0</v>
      </c>
      <c r="S33" s="829">
        <v>0</v>
      </c>
      <c r="T33" s="542">
        <f t="shared" si="32"/>
        <v>0</v>
      </c>
      <c r="U33" s="829">
        <v>0</v>
      </c>
      <c r="V33" s="542">
        <f t="shared" si="33"/>
        <v>0</v>
      </c>
      <c r="W33" s="829">
        <v>0</v>
      </c>
      <c r="X33" s="542">
        <f t="shared" si="34"/>
        <v>0</v>
      </c>
      <c r="Y33" s="890">
        <f t="shared" ref="Y33:Y35" si="36">+$P33/5</f>
        <v>0</v>
      </c>
      <c r="Z33" s="542">
        <f t="shared" si="35"/>
        <v>0</v>
      </c>
    </row>
    <row r="34" spans="1:26" ht="15">
      <c r="A34" s="214">
        <f>+A33+1</f>
        <v>19</v>
      </c>
      <c r="B34" s="1010" t="s">
        <v>926</v>
      </c>
      <c r="C34" s="1142">
        <v>0</v>
      </c>
      <c r="D34" s="890">
        <f t="shared" si="25"/>
        <v>0</v>
      </c>
      <c r="E34" s="890">
        <f t="shared" si="26"/>
        <v>0</v>
      </c>
      <c r="F34" s="1142">
        <v>0</v>
      </c>
      <c r="G34" s="891">
        <v>0</v>
      </c>
      <c r="H34" s="1011">
        <v>0</v>
      </c>
      <c r="I34" s="890">
        <f t="shared" si="27"/>
        <v>0</v>
      </c>
      <c r="J34" s="955"/>
      <c r="K34" s="872">
        <v>0</v>
      </c>
      <c r="L34" s="542">
        <f t="shared" si="28"/>
        <v>0</v>
      </c>
      <c r="M34" s="829">
        <v>0</v>
      </c>
      <c r="N34" s="542">
        <f t="shared" si="29"/>
        <v>0</v>
      </c>
      <c r="O34" s="829">
        <v>0</v>
      </c>
      <c r="P34" s="542">
        <f t="shared" si="30"/>
        <v>0</v>
      </c>
      <c r="Q34" s="829">
        <v>0</v>
      </c>
      <c r="R34" s="542">
        <f t="shared" si="31"/>
        <v>0</v>
      </c>
      <c r="S34" s="829">
        <v>0</v>
      </c>
      <c r="T34" s="542">
        <f t="shared" si="32"/>
        <v>0</v>
      </c>
      <c r="U34" s="829">
        <v>0</v>
      </c>
      <c r="V34" s="542">
        <f t="shared" si="33"/>
        <v>0</v>
      </c>
      <c r="W34" s="829">
        <v>0</v>
      </c>
      <c r="X34" s="542">
        <f t="shared" si="34"/>
        <v>0</v>
      </c>
      <c r="Y34" s="890">
        <f t="shared" si="36"/>
        <v>0</v>
      </c>
      <c r="Z34" s="542">
        <f t="shared" si="35"/>
        <v>0</v>
      </c>
    </row>
    <row r="35" spans="1:26" ht="15">
      <c r="A35" s="214">
        <f>+A34+1</f>
        <v>20</v>
      </c>
      <c r="B35" s="1010" t="s">
        <v>926</v>
      </c>
      <c r="C35" s="1143">
        <v>0</v>
      </c>
      <c r="D35" s="916">
        <f t="shared" si="25"/>
        <v>0</v>
      </c>
      <c r="E35" s="916">
        <f t="shared" si="26"/>
        <v>0</v>
      </c>
      <c r="F35" s="1143">
        <v>0</v>
      </c>
      <c r="G35" s="915">
        <v>0</v>
      </c>
      <c r="H35" s="1012" t="s">
        <v>923</v>
      </c>
      <c r="I35" s="956">
        <v>0</v>
      </c>
      <c r="J35" s="955"/>
      <c r="K35" s="918">
        <v>0</v>
      </c>
      <c r="L35" s="1009">
        <f t="shared" si="28"/>
        <v>0</v>
      </c>
      <c r="M35" s="1013">
        <v>0</v>
      </c>
      <c r="N35" s="1009">
        <f t="shared" si="29"/>
        <v>0</v>
      </c>
      <c r="O35" s="1013">
        <v>0</v>
      </c>
      <c r="P35" s="1009">
        <f t="shared" si="30"/>
        <v>0</v>
      </c>
      <c r="Q35" s="1013">
        <v>0</v>
      </c>
      <c r="R35" s="1009">
        <f t="shared" si="31"/>
        <v>0</v>
      </c>
      <c r="S35" s="1013">
        <v>0</v>
      </c>
      <c r="T35" s="1009">
        <f t="shared" si="32"/>
        <v>0</v>
      </c>
      <c r="U35" s="1013">
        <v>0</v>
      </c>
      <c r="V35" s="1009">
        <f t="shared" si="33"/>
        <v>0</v>
      </c>
      <c r="W35" s="1013">
        <v>0</v>
      </c>
      <c r="X35" s="1009">
        <f t="shared" si="34"/>
        <v>0</v>
      </c>
      <c r="Y35" s="916">
        <f t="shared" si="36"/>
        <v>0</v>
      </c>
      <c r="Z35" s="1009">
        <f t="shared" si="35"/>
        <v>0</v>
      </c>
    </row>
    <row r="36" spans="1:26" ht="15">
      <c r="A36" s="214">
        <f>+A35+1</f>
        <v>21</v>
      </c>
      <c r="B36" s="660" t="s">
        <v>929</v>
      </c>
      <c r="C36" s="872">
        <f>+C34+C35</f>
        <v>0</v>
      </c>
      <c r="D36" s="872">
        <f>+D34+D35</f>
        <v>0</v>
      </c>
      <c r="E36" s="872">
        <f>+SUM(E32:E35)</f>
        <v>0</v>
      </c>
      <c r="F36" s="872">
        <f>+SUM(F32:F35)</f>
        <v>0</v>
      </c>
      <c r="G36" s="872">
        <f>+SUM(G32:G35)</f>
        <v>0</v>
      </c>
      <c r="H36" s="658"/>
      <c r="I36" s="872">
        <f>+SUM(I32:I35)</f>
        <v>0</v>
      </c>
      <c r="J36" s="872"/>
      <c r="K36" s="872">
        <f t="shared" ref="K36:Z36" si="37">+SUM(K32:K35)</f>
        <v>0</v>
      </c>
      <c r="L36" s="872">
        <f t="shared" si="37"/>
        <v>0</v>
      </c>
      <c r="M36" s="872">
        <f t="shared" si="37"/>
        <v>0</v>
      </c>
      <c r="N36" s="872">
        <f t="shared" si="37"/>
        <v>0</v>
      </c>
      <c r="O36" s="872">
        <f t="shared" si="37"/>
        <v>0</v>
      </c>
      <c r="P36" s="872">
        <f t="shared" si="37"/>
        <v>0</v>
      </c>
      <c r="Q36" s="872">
        <f t="shared" si="37"/>
        <v>0</v>
      </c>
      <c r="R36" s="872">
        <f t="shared" si="37"/>
        <v>0</v>
      </c>
      <c r="S36" s="872">
        <f t="shared" si="37"/>
        <v>0</v>
      </c>
      <c r="T36" s="872">
        <f t="shared" si="37"/>
        <v>0</v>
      </c>
      <c r="U36" s="872">
        <f t="shared" si="37"/>
        <v>0</v>
      </c>
      <c r="V36" s="872">
        <f t="shared" si="37"/>
        <v>0</v>
      </c>
      <c r="W36" s="872">
        <f t="shared" si="37"/>
        <v>0</v>
      </c>
      <c r="X36" s="872">
        <f t="shared" si="37"/>
        <v>0</v>
      </c>
      <c r="Y36" s="872">
        <f t="shared" si="37"/>
        <v>0</v>
      </c>
      <c r="Z36" s="872">
        <f t="shared" si="37"/>
        <v>0</v>
      </c>
    </row>
    <row r="37" spans="1:26" ht="15">
      <c r="A37" s="214"/>
      <c r="B37" s="660"/>
      <c r="C37" s="660"/>
      <c r="D37" s="660"/>
      <c r="E37" s="872"/>
      <c r="F37" s="872"/>
      <c r="G37" s="872"/>
      <c r="H37" s="658"/>
      <c r="I37" s="872"/>
      <c r="J37" s="872"/>
      <c r="K37" s="872"/>
      <c r="L37" s="542"/>
      <c r="M37" s="542"/>
      <c r="N37" s="542"/>
      <c r="O37" s="542"/>
      <c r="P37" s="542"/>
      <c r="Q37" s="542"/>
      <c r="R37" s="542"/>
      <c r="S37" s="542"/>
      <c r="T37" s="542"/>
      <c r="U37" s="542"/>
      <c r="V37" s="542"/>
      <c r="W37" s="542"/>
      <c r="X37" s="542"/>
      <c r="Y37" s="542"/>
      <c r="Z37" s="542"/>
    </row>
    <row r="38" spans="1:26" ht="30">
      <c r="A38" s="214">
        <f>+A36+1</f>
        <v>22</v>
      </c>
      <c r="B38" s="660" t="s">
        <v>930</v>
      </c>
      <c r="C38" s="660"/>
      <c r="D38" s="660"/>
      <c r="E38" s="872">
        <f>+E24+E29+E36</f>
        <v>3904074</v>
      </c>
      <c r="F38" s="872"/>
      <c r="G38" s="872">
        <f>+G24+G29+G36</f>
        <v>3904074</v>
      </c>
      <c r="H38" s="658"/>
      <c r="I38" s="872">
        <f>+I24+I29+I36</f>
        <v>493745.2009</v>
      </c>
      <c r="J38" s="872"/>
      <c r="K38" s="872">
        <f>+K24+K29+K36</f>
        <v>0</v>
      </c>
      <c r="L38" s="872">
        <f t="shared" ref="L38:Z38" si="38">+L24+L29+L36</f>
        <v>493745.2009</v>
      </c>
      <c r="M38" s="872">
        <f t="shared" si="38"/>
        <v>49374.520089999998</v>
      </c>
      <c r="N38" s="872">
        <f t="shared" si="38"/>
        <v>444370.68081000005</v>
      </c>
      <c r="O38" s="872">
        <f t="shared" si="38"/>
        <v>49374.520089999998</v>
      </c>
      <c r="P38" s="872">
        <f t="shared" si="38"/>
        <v>394996.16071999999</v>
      </c>
      <c r="Q38" s="872">
        <f t="shared" si="38"/>
        <v>78999.23214399998</v>
      </c>
      <c r="R38" s="872">
        <f t="shared" si="38"/>
        <v>315996.92857599992</v>
      </c>
      <c r="S38" s="872">
        <f t="shared" si="38"/>
        <v>78999.23214399998</v>
      </c>
      <c r="T38" s="872">
        <f t="shared" si="38"/>
        <v>236997.69643200003</v>
      </c>
      <c r="U38" s="872">
        <f t="shared" si="38"/>
        <v>78999.23214399998</v>
      </c>
      <c r="V38" s="872">
        <f t="shared" si="38"/>
        <v>362684.91302399989</v>
      </c>
      <c r="W38" s="872">
        <f t="shared" si="38"/>
        <v>78999.23214399998</v>
      </c>
      <c r="X38" s="872">
        <f t="shared" si="38"/>
        <v>78999.23214399998</v>
      </c>
      <c r="Y38" s="872">
        <f t="shared" si="38"/>
        <v>78999.23214399998</v>
      </c>
      <c r="Z38" s="872">
        <f t="shared" si="38"/>
        <v>0</v>
      </c>
    </row>
    <row r="39" spans="1:26" ht="15">
      <c r="A39" s="214">
        <f>+A38+1</f>
        <v>23</v>
      </c>
      <c r="B39" s="660" t="s">
        <v>931</v>
      </c>
      <c r="C39" s="660"/>
      <c r="D39" s="660"/>
      <c r="E39" s="918">
        <v>0</v>
      </c>
      <c r="F39" s="918"/>
      <c r="G39" s="918">
        <v>1037791.82278481</v>
      </c>
      <c r="H39" s="658"/>
      <c r="I39" s="918">
        <v>131248.72428987341</v>
      </c>
      <c r="J39" s="872"/>
      <c r="K39" s="918"/>
      <c r="L39" s="918">
        <v>131248.72428987341</v>
      </c>
      <c r="M39" s="542"/>
      <c r="N39" s="918">
        <v>118123.85186088608</v>
      </c>
      <c r="O39" s="542"/>
      <c r="P39" s="918">
        <v>104998.97943189873</v>
      </c>
      <c r="Q39" s="542"/>
      <c r="R39" s="918">
        <v>83999.183545518958</v>
      </c>
      <c r="S39" s="542"/>
      <c r="T39" s="918">
        <v>62999.38765913924</v>
      </c>
      <c r="U39" s="542"/>
      <c r="V39" s="918">
        <v>96409.913588658193</v>
      </c>
      <c r="W39" s="542"/>
      <c r="X39" s="918">
        <v>20999.795886379739</v>
      </c>
      <c r="Y39" s="542"/>
      <c r="Z39" s="918">
        <v>0</v>
      </c>
    </row>
    <row r="40" spans="1:26" ht="30">
      <c r="A40" s="214">
        <f>+A39+1</f>
        <v>24</v>
      </c>
      <c r="B40" s="660" t="s">
        <v>932</v>
      </c>
      <c r="C40" s="660"/>
      <c r="D40" s="660"/>
      <c r="E40" s="872">
        <f>+E38+E39</f>
        <v>3904074</v>
      </c>
      <c r="F40" s="918"/>
      <c r="G40" s="872">
        <f>+G38+G39</f>
        <v>4941865.8227848103</v>
      </c>
      <c r="H40" s="658"/>
      <c r="I40" s="872">
        <f>+I38+I39</f>
        <v>624993.92518987344</v>
      </c>
      <c r="J40" s="872"/>
      <c r="K40" s="872"/>
      <c r="L40" s="872">
        <f>+L38+L39</f>
        <v>624993.92518987344</v>
      </c>
      <c r="M40" s="542"/>
      <c r="N40" s="872">
        <f>+N38+N39</f>
        <v>562494.53267088614</v>
      </c>
      <c r="O40" s="542"/>
      <c r="P40" s="872">
        <f>+P38+P39</f>
        <v>499995.14015189873</v>
      </c>
      <c r="Q40" s="542"/>
      <c r="R40" s="872">
        <f>+R38+R39</f>
        <v>399996.11212151888</v>
      </c>
      <c r="S40" s="542"/>
      <c r="T40" s="872">
        <f>+T38+T39</f>
        <v>299997.08409113926</v>
      </c>
      <c r="U40" s="542"/>
      <c r="V40" s="872">
        <f>+V38+V39</f>
        <v>459094.8266126581</v>
      </c>
      <c r="W40" s="542"/>
      <c r="X40" s="872">
        <f>+X38+X39</f>
        <v>99999.028030379719</v>
      </c>
      <c r="Y40" s="542"/>
      <c r="Z40" s="872">
        <f>+Z38+Z39</f>
        <v>0</v>
      </c>
    </row>
    <row r="41" spans="1:26" ht="15">
      <c r="A41" s="214"/>
      <c r="B41" s="660"/>
      <c r="C41" s="660"/>
      <c r="D41" s="660"/>
      <c r="E41" s="872"/>
      <c r="F41" s="872"/>
      <c r="G41" s="872"/>
      <c r="H41" s="658"/>
      <c r="I41" s="872"/>
      <c r="J41" s="872"/>
      <c r="K41" s="872"/>
      <c r="L41" s="542"/>
      <c r="M41" s="542"/>
      <c r="N41" s="542"/>
      <c r="O41" s="542"/>
      <c r="P41" s="542"/>
      <c r="Q41" s="542"/>
      <c r="R41" s="542"/>
      <c r="S41" s="542"/>
      <c r="T41" s="542"/>
      <c r="U41" s="542"/>
      <c r="V41" s="542"/>
      <c r="W41" s="542"/>
      <c r="X41" s="542"/>
      <c r="Y41" s="542"/>
      <c r="Z41" s="542"/>
    </row>
    <row r="42" spans="1:26" ht="15">
      <c r="A42" s="214"/>
      <c r="B42" s="660"/>
      <c r="C42" s="660"/>
      <c r="D42" s="660"/>
      <c r="E42" s="872"/>
      <c r="F42" s="872"/>
      <c r="G42" s="872"/>
      <c r="H42" s="658"/>
      <c r="I42" s="872"/>
      <c r="J42" s="872"/>
      <c r="K42" s="872"/>
      <c r="L42" s="542"/>
      <c r="M42" s="542"/>
      <c r="N42" s="542"/>
      <c r="O42" s="542"/>
      <c r="P42" s="542"/>
      <c r="Q42" s="542"/>
      <c r="R42" s="542"/>
      <c r="S42" s="542"/>
      <c r="T42" s="542"/>
      <c r="U42" s="542"/>
      <c r="V42" s="542"/>
      <c r="W42" s="542"/>
      <c r="X42" s="542"/>
      <c r="Y42" s="542"/>
      <c r="Z42" s="542"/>
    </row>
    <row r="43" spans="1:26" ht="31.5">
      <c r="A43" s="214"/>
      <c r="B43" s="1005" t="s">
        <v>933</v>
      </c>
      <c r="C43" s="1005"/>
      <c r="D43" s="1005"/>
      <c r="E43" s="872"/>
      <c r="F43" s="872"/>
      <c r="G43" s="872"/>
      <c r="H43" s="658"/>
      <c r="I43" s="872"/>
      <c r="J43" s="872"/>
      <c r="K43" s="872"/>
      <c r="L43" s="542"/>
      <c r="M43" s="542"/>
      <c r="N43" s="542"/>
      <c r="O43" s="542"/>
      <c r="P43" s="542"/>
      <c r="Q43" s="542"/>
      <c r="R43" s="542"/>
      <c r="S43" s="542"/>
      <c r="T43" s="542"/>
      <c r="U43" s="542"/>
      <c r="V43" s="542"/>
      <c r="W43" s="542"/>
      <c r="X43" s="542"/>
      <c r="Y43" s="542"/>
      <c r="Z43" s="542"/>
    </row>
    <row r="44" spans="1:26" ht="15">
      <c r="A44" s="214"/>
      <c r="B44" s="660"/>
      <c r="C44" s="660"/>
      <c r="D44" s="660"/>
      <c r="E44" s="872"/>
      <c r="F44" s="872"/>
      <c r="G44" s="872"/>
      <c r="H44" s="658"/>
      <c r="I44" s="872"/>
      <c r="J44" s="872"/>
      <c r="K44" s="872"/>
      <c r="L44" s="542"/>
      <c r="M44" s="542"/>
      <c r="N44" s="542"/>
      <c r="O44" s="542"/>
      <c r="P44" s="542"/>
      <c r="Q44" s="542"/>
      <c r="R44" s="542"/>
      <c r="S44" s="542"/>
      <c r="T44" s="542"/>
      <c r="U44" s="542"/>
      <c r="V44" s="542"/>
      <c r="W44" s="542"/>
      <c r="X44" s="542"/>
      <c r="Y44" s="542"/>
      <c r="Z44" s="542"/>
    </row>
    <row r="45" spans="1:26" ht="17.25">
      <c r="A45" s="214"/>
      <c r="B45" s="657" t="s">
        <v>909</v>
      </c>
      <c r="C45" s="657"/>
      <c r="D45" s="657"/>
      <c r="E45" s="873"/>
      <c r="F45" s="873"/>
      <c r="G45" s="873"/>
      <c r="H45" s="658"/>
      <c r="I45" s="872"/>
      <c r="J45" s="872"/>
      <c r="K45" s="872"/>
      <c r="L45" s="542"/>
      <c r="M45" s="542"/>
      <c r="N45" s="542"/>
      <c r="O45" s="542"/>
      <c r="P45" s="542"/>
      <c r="Q45" s="542"/>
      <c r="R45" s="542"/>
      <c r="S45" s="542"/>
      <c r="T45" s="542"/>
      <c r="U45" s="542"/>
      <c r="V45" s="542"/>
      <c r="W45" s="542"/>
      <c r="X45" s="542"/>
      <c r="Y45" s="542"/>
      <c r="Z45" s="542"/>
    </row>
    <row r="46" spans="1:26" ht="15">
      <c r="A46" s="214">
        <f>+A40+1</f>
        <v>25</v>
      </c>
      <c r="B46" s="1010" t="s">
        <v>926</v>
      </c>
      <c r="C46" s="955">
        <v>0</v>
      </c>
      <c r="D46" s="890">
        <f t="shared" ref="D46:D47" si="39">+C46*$I$80</f>
        <v>0</v>
      </c>
      <c r="E46" s="890">
        <f t="shared" ref="E46:E47" si="40">+C46-D46</f>
        <v>0</v>
      </c>
      <c r="F46" s="955">
        <v>0</v>
      </c>
      <c r="G46" s="955">
        <v>0</v>
      </c>
      <c r="H46" s="1011">
        <v>0</v>
      </c>
      <c r="I46" s="890">
        <f t="shared" ref="I46" si="41">+G46*H46</f>
        <v>0</v>
      </c>
      <c r="J46" s="955"/>
      <c r="K46" s="872">
        <v>0</v>
      </c>
      <c r="L46" s="542">
        <f>+I46-K46</f>
        <v>0</v>
      </c>
      <c r="M46" s="955">
        <v>0</v>
      </c>
      <c r="N46" s="542">
        <f>+L46-M46</f>
        <v>0</v>
      </c>
      <c r="O46" s="955">
        <v>0</v>
      </c>
      <c r="P46" s="542">
        <f>+N46-O46</f>
        <v>0</v>
      </c>
      <c r="Q46" s="955">
        <v>0</v>
      </c>
      <c r="R46" s="542">
        <f>+P46-Q46</f>
        <v>0</v>
      </c>
      <c r="S46" s="955">
        <v>0</v>
      </c>
      <c r="T46" s="542">
        <f>+R46-S46</f>
        <v>0</v>
      </c>
      <c r="U46" s="955">
        <v>0</v>
      </c>
      <c r="V46" s="542">
        <f>+T46-U46</f>
        <v>0</v>
      </c>
      <c r="W46" s="955">
        <v>0</v>
      </c>
      <c r="X46" s="542">
        <f>+V46-W46</f>
        <v>0</v>
      </c>
      <c r="Y46" s="955">
        <v>0</v>
      </c>
      <c r="Z46" s="542">
        <f>+X46-Y46</f>
        <v>0</v>
      </c>
    </row>
    <row r="47" spans="1:26" ht="15">
      <c r="A47" s="214">
        <f>+A46+1</f>
        <v>26</v>
      </c>
      <c r="B47" s="1010" t="s">
        <v>926</v>
      </c>
      <c r="C47" s="956">
        <v>0</v>
      </c>
      <c r="D47" s="916">
        <f t="shared" si="39"/>
        <v>0</v>
      </c>
      <c r="E47" s="916">
        <f t="shared" si="40"/>
        <v>0</v>
      </c>
      <c r="F47" s="956">
        <v>0</v>
      </c>
      <c r="G47" s="956">
        <v>0</v>
      </c>
      <c r="H47" s="1012" t="s">
        <v>923</v>
      </c>
      <c r="I47" s="956">
        <v>0</v>
      </c>
      <c r="J47" s="955"/>
      <c r="K47" s="918">
        <v>0</v>
      </c>
      <c r="L47" s="1009">
        <f>+I47-K47</f>
        <v>0</v>
      </c>
      <c r="M47" s="956">
        <v>0</v>
      </c>
      <c r="N47" s="1009">
        <f>+L47-M47</f>
        <v>0</v>
      </c>
      <c r="O47" s="956">
        <v>0</v>
      </c>
      <c r="P47" s="1009">
        <f>+N47-O47</f>
        <v>0</v>
      </c>
      <c r="Q47" s="956">
        <v>0</v>
      </c>
      <c r="R47" s="1009">
        <f>+P47-Q47</f>
        <v>0</v>
      </c>
      <c r="S47" s="956">
        <v>0</v>
      </c>
      <c r="T47" s="1009">
        <f>+R47-S47</f>
        <v>0</v>
      </c>
      <c r="U47" s="956">
        <v>0</v>
      </c>
      <c r="V47" s="1009">
        <f>+T47-U47</f>
        <v>0</v>
      </c>
      <c r="W47" s="956">
        <v>0</v>
      </c>
      <c r="X47" s="1009">
        <f>+V47-W47</f>
        <v>0</v>
      </c>
      <c r="Y47" s="956">
        <v>0</v>
      </c>
      <c r="Z47" s="1009">
        <f>+X47-Y47</f>
        <v>0</v>
      </c>
    </row>
    <row r="48" spans="1:26" ht="15">
      <c r="A48" s="214">
        <f>+A47+1</f>
        <v>27</v>
      </c>
      <c r="B48" s="660" t="s">
        <v>934</v>
      </c>
      <c r="C48" s="872">
        <f>+C46+C47</f>
        <v>0</v>
      </c>
      <c r="D48" s="872">
        <f>+D46+D47</f>
        <v>0</v>
      </c>
      <c r="E48" s="872">
        <f>+E46+E47</f>
        <v>0</v>
      </c>
      <c r="F48" s="872">
        <f>+F46+F47</f>
        <v>0</v>
      </c>
      <c r="G48" s="872">
        <f>+G46+G47</f>
        <v>0</v>
      </c>
      <c r="H48" s="658"/>
      <c r="I48" s="872">
        <v>0</v>
      </c>
      <c r="J48" s="872"/>
      <c r="K48" s="872">
        <v>0</v>
      </c>
      <c r="L48" s="872">
        <v>0</v>
      </c>
      <c r="M48" s="872">
        <v>0</v>
      </c>
      <c r="N48" s="872">
        <v>0</v>
      </c>
      <c r="O48" s="872">
        <v>0</v>
      </c>
      <c r="P48" s="872">
        <v>0</v>
      </c>
      <c r="Q48" s="872">
        <v>0</v>
      </c>
      <c r="R48" s="872">
        <v>0</v>
      </c>
      <c r="S48" s="872">
        <v>0</v>
      </c>
      <c r="T48" s="872">
        <v>0</v>
      </c>
      <c r="U48" s="872">
        <v>0</v>
      </c>
      <c r="V48" s="872">
        <v>0</v>
      </c>
      <c r="W48" s="872">
        <v>0</v>
      </c>
      <c r="X48" s="872">
        <v>0</v>
      </c>
      <c r="Y48" s="872">
        <v>0</v>
      </c>
      <c r="Z48" s="872">
        <v>0</v>
      </c>
    </row>
    <row r="49" spans="1:26" ht="15">
      <c r="A49" s="214"/>
      <c r="B49" s="660"/>
      <c r="C49" s="872"/>
      <c r="D49" s="872"/>
      <c r="E49" s="872"/>
      <c r="F49" s="872"/>
      <c r="G49" s="872"/>
      <c r="H49" s="658"/>
      <c r="I49" s="872"/>
      <c r="J49" s="872"/>
      <c r="K49" s="872"/>
      <c r="L49" s="542"/>
      <c r="M49" s="542"/>
      <c r="N49" s="542"/>
      <c r="O49" s="542"/>
      <c r="P49" s="542"/>
      <c r="Q49" s="542"/>
      <c r="R49" s="542"/>
      <c r="S49" s="542"/>
      <c r="T49" s="542"/>
      <c r="U49" s="542"/>
      <c r="V49" s="542"/>
      <c r="W49" s="542"/>
      <c r="X49" s="542"/>
      <c r="Y49" s="542"/>
      <c r="Z49" s="542"/>
    </row>
    <row r="50" spans="1:26" ht="15">
      <c r="A50" s="214"/>
      <c r="B50" s="657" t="s">
        <v>925</v>
      </c>
      <c r="C50" s="872"/>
      <c r="D50" s="872"/>
      <c r="E50" s="872"/>
      <c r="F50" s="872"/>
      <c r="G50" s="872"/>
      <c r="H50" s="658"/>
      <c r="I50" s="872"/>
      <c r="J50" s="872"/>
      <c r="K50" s="872"/>
      <c r="L50" s="542"/>
      <c r="M50" s="542"/>
      <c r="N50" s="542"/>
      <c r="O50" s="542"/>
      <c r="P50" s="542"/>
      <c r="Q50" s="542"/>
      <c r="R50" s="542"/>
      <c r="S50" s="542"/>
      <c r="T50" s="542"/>
      <c r="U50" s="542"/>
      <c r="V50" s="542"/>
      <c r="W50" s="542"/>
      <c r="X50" s="542"/>
      <c r="Y50" s="542"/>
      <c r="Z50" s="542"/>
    </row>
    <row r="51" spans="1:26" ht="15">
      <c r="A51" s="214">
        <f>+A48+1</f>
        <v>28</v>
      </c>
      <c r="B51" s="1015" t="s">
        <v>935</v>
      </c>
      <c r="C51" s="1142">
        <v>-174316942.5</v>
      </c>
      <c r="D51" s="890">
        <f t="shared" ref="D51:D52" si="42">+C51*$I$80</f>
        <v>-104590165.5</v>
      </c>
      <c r="E51" s="890">
        <f t="shared" ref="E51:E52" si="43">+C51-D51</f>
        <v>-69726777</v>
      </c>
      <c r="F51" s="955">
        <v>0</v>
      </c>
      <c r="G51" s="1142">
        <v>-69726777</v>
      </c>
      <c r="H51" s="48">
        <v>0.30148496415831438</v>
      </c>
      <c r="I51" s="890">
        <f t="shared" ref="I51" si="44">+G51*H51</f>
        <v>-21021574.864719778</v>
      </c>
      <c r="J51" s="1008" t="s">
        <v>239</v>
      </c>
      <c r="K51" s="891">
        <v>0</v>
      </c>
      <c r="L51" s="542">
        <f t="shared" ref="L51:L52" si="45">+I51-K51</f>
        <v>-21021574.864719778</v>
      </c>
      <c r="M51" s="1144">
        <v>-1589075</v>
      </c>
      <c r="N51" s="542">
        <f t="shared" ref="N51:N52" si="46">+L51-M51</f>
        <v>-19432499.864719778</v>
      </c>
      <c r="O51" s="1144">
        <v>-555449</v>
      </c>
      <c r="P51" s="542">
        <f t="shared" ref="P51:P52" si="47">+N51-O51</f>
        <v>-18877050.864719778</v>
      </c>
      <c r="Q51" s="1144">
        <v>-626469</v>
      </c>
      <c r="R51" s="542">
        <f t="shared" ref="R51:R52" si="48">+P51-Q51</f>
        <v>-18250581.864719778</v>
      </c>
      <c r="S51" s="955">
        <v>0</v>
      </c>
      <c r="T51" s="542">
        <f t="shared" ref="T51:T52" si="49">+R51-S51</f>
        <v>-18250581.864719778</v>
      </c>
      <c r="U51" s="955">
        <v>0</v>
      </c>
      <c r="V51" s="542">
        <f t="shared" ref="V51:V52" si="50">+T51-U51</f>
        <v>-18250581.864719778</v>
      </c>
      <c r="W51" s="955">
        <v>0</v>
      </c>
      <c r="X51" s="542">
        <f t="shared" ref="X51:X52" si="51">+V51-W51</f>
        <v>-18250581.864719778</v>
      </c>
      <c r="Y51" s="955">
        <v>0</v>
      </c>
      <c r="Z51" s="542">
        <f t="shared" ref="Z51:Z52" si="52">+X51-Y51</f>
        <v>-18250581.864719778</v>
      </c>
    </row>
    <row r="52" spans="1:26" ht="15">
      <c r="A52" s="214">
        <f>+A51+1</f>
        <v>29</v>
      </c>
      <c r="B52" s="1015" t="s">
        <v>936</v>
      </c>
      <c r="C52" s="1143">
        <v>-84074115.473193392</v>
      </c>
      <c r="D52" s="916">
        <f t="shared" si="42"/>
        <v>-50444469.283916034</v>
      </c>
      <c r="E52" s="916">
        <f t="shared" si="43"/>
        <v>-33629646.189277358</v>
      </c>
      <c r="F52" s="956">
        <v>0</v>
      </c>
      <c r="G52" s="1143">
        <v>-33629646.189277358</v>
      </c>
      <c r="H52" s="48" t="s">
        <v>923</v>
      </c>
      <c r="I52" s="1145">
        <v>-10130697</v>
      </c>
      <c r="J52" s="1016" t="s">
        <v>937</v>
      </c>
      <c r="K52" s="917">
        <v>0</v>
      </c>
      <c r="L52" s="1009">
        <f t="shared" si="45"/>
        <v>-10130697</v>
      </c>
      <c r="M52" s="1009">
        <f>+I52/10</f>
        <v>-1013069.7</v>
      </c>
      <c r="N52" s="1009">
        <f t="shared" si="46"/>
        <v>-9117627.3000000007</v>
      </c>
      <c r="O52" s="1009">
        <f>+I52/10</f>
        <v>-1013069.7</v>
      </c>
      <c r="P52" s="1009">
        <f t="shared" si="47"/>
        <v>-8104557.6000000006</v>
      </c>
      <c r="Q52" s="1009">
        <f>+P52/5</f>
        <v>-1620911.52</v>
      </c>
      <c r="R52" s="1009">
        <f t="shared" si="48"/>
        <v>-6483646.0800000001</v>
      </c>
      <c r="S52" s="916">
        <f t="shared" ref="S52:Y52" si="53">+$P52/5</f>
        <v>-1620911.52</v>
      </c>
      <c r="T52" s="1009">
        <f t="shared" si="49"/>
        <v>-4862734.5600000005</v>
      </c>
      <c r="U52" s="916">
        <f t="shared" si="53"/>
        <v>-1620911.52</v>
      </c>
      <c r="V52" s="1009">
        <f t="shared" si="50"/>
        <v>-3241823.0400000005</v>
      </c>
      <c r="W52" s="916">
        <f t="shared" si="53"/>
        <v>-1620911.52</v>
      </c>
      <c r="X52" s="1009">
        <f t="shared" si="51"/>
        <v>-1620911.5200000005</v>
      </c>
      <c r="Y52" s="916">
        <f t="shared" si="53"/>
        <v>-1620911.52</v>
      </c>
      <c r="Z52" s="1009">
        <f t="shared" si="52"/>
        <v>0</v>
      </c>
    </row>
    <row r="53" spans="1:26" ht="17.25">
      <c r="A53" s="214">
        <f>+A52+1</f>
        <v>30</v>
      </c>
      <c r="B53" s="660" t="s">
        <v>927</v>
      </c>
      <c r="C53" s="873">
        <f>+SUM(C51:C52)</f>
        <v>-258391057.97319341</v>
      </c>
      <c r="D53" s="872">
        <f>+D51+D52</f>
        <v>-155034634.78391603</v>
      </c>
      <c r="E53" s="872">
        <f>+SUM(E51:E52)</f>
        <v>-103356423.18927735</v>
      </c>
      <c r="F53" s="872">
        <f>+SUM(F51:F52)</f>
        <v>0</v>
      </c>
      <c r="G53" s="872">
        <f>+SUM(G51:G52)</f>
        <v>-103356423.18927735</v>
      </c>
      <c r="H53" s="658"/>
      <c r="I53" s="1017">
        <f t="shared" ref="I53:Z53" si="54">+SUM(I51:I52)</f>
        <v>-31152271.864719778</v>
      </c>
      <c r="J53" s="1017"/>
      <c r="K53" s="1017">
        <f t="shared" si="54"/>
        <v>0</v>
      </c>
      <c r="L53" s="1017">
        <f t="shared" si="54"/>
        <v>-31152271.864719778</v>
      </c>
      <c r="M53" s="1017">
        <f t="shared" si="54"/>
        <v>-2602144.7000000002</v>
      </c>
      <c r="N53" s="1017">
        <f t="shared" si="54"/>
        <v>-28550127.164719779</v>
      </c>
      <c r="O53" s="1018">
        <f t="shared" si="54"/>
        <v>-1568518.7</v>
      </c>
      <c r="P53" s="1017">
        <f t="shared" si="54"/>
        <v>-26981608.46471978</v>
      </c>
      <c r="Q53" s="1018">
        <f t="shared" si="54"/>
        <v>-2247380.52</v>
      </c>
      <c r="R53" s="1017">
        <f t="shared" si="54"/>
        <v>-24734227.944719777</v>
      </c>
      <c r="S53" s="1018">
        <f t="shared" si="54"/>
        <v>-1620911.52</v>
      </c>
      <c r="T53" s="1017">
        <f t="shared" si="54"/>
        <v>-23113316.424719781</v>
      </c>
      <c r="U53" s="1018">
        <f t="shared" si="54"/>
        <v>-1620911.52</v>
      </c>
      <c r="V53" s="1017">
        <f t="shared" si="54"/>
        <v>-21492404.904719777</v>
      </c>
      <c r="W53" s="1018">
        <f t="shared" si="54"/>
        <v>-1620911.52</v>
      </c>
      <c r="X53" s="1017">
        <f t="shared" si="54"/>
        <v>-19871493.384719778</v>
      </c>
      <c r="Y53" s="1018">
        <f t="shared" si="54"/>
        <v>-1620911.52</v>
      </c>
      <c r="Z53" s="1017">
        <f t="shared" si="54"/>
        <v>-18250581.864719778</v>
      </c>
    </row>
    <row r="54" spans="1:26" ht="15">
      <c r="A54" s="214"/>
      <c r="B54" s="660"/>
      <c r="C54" s="872"/>
      <c r="D54" s="872"/>
      <c r="E54" s="872"/>
      <c r="F54" s="872"/>
      <c r="G54" s="872"/>
      <c r="H54" s="658"/>
      <c r="I54" s="872"/>
      <c r="J54" s="872"/>
      <c r="K54" s="872"/>
      <c r="L54" s="542"/>
      <c r="M54" s="542"/>
      <c r="N54" s="542"/>
      <c r="O54" s="542"/>
      <c r="P54" s="542"/>
      <c r="Q54" s="542"/>
      <c r="R54" s="542"/>
      <c r="S54" s="542"/>
      <c r="T54" s="542"/>
      <c r="U54" s="542"/>
      <c r="V54" s="542"/>
      <c r="W54" s="542"/>
      <c r="X54" s="542"/>
      <c r="Y54" s="542"/>
      <c r="Z54" s="542"/>
    </row>
    <row r="55" spans="1:26" ht="15">
      <c r="A55" s="214"/>
      <c r="B55" s="660" t="s">
        <v>928</v>
      </c>
      <c r="C55" s="872"/>
      <c r="D55" s="872"/>
      <c r="E55" s="872"/>
      <c r="F55" s="872"/>
      <c r="G55" s="872"/>
      <c r="H55" s="658"/>
      <c r="I55" s="872"/>
      <c r="J55" s="872"/>
      <c r="K55" s="872"/>
      <c r="L55" s="542"/>
      <c r="M55" s="542"/>
      <c r="N55" s="542"/>
      <c r="O55" s="542"/>
      <c r="P55" s="542"/>
      <c r="Q55" s="542"/>
      <c r="R55" s="542"/>
      <c r="S55" s="542"/>
      <c r="T55" s="542"/>
      <c r="U55" s="542"/>
      <c r="V55" s="542"/>
      <c r="W55" s="542"/>
      <c r="X55" s="542"/>
      <c r="Y55" s="542"/>
      <c r="Z55" s="542"/>
    </row>
    <row r="56" spans="1:26" ht="15">
      <c r="A56" s="214">
        <f>+A53+1</f>
        <v>31</v>
      </c>
      <c r="B56" s="1015" t="s">
        <v>319</v>
      </c>
      <c r="C56" s="1142">
        <v>-5722360</v>
      </c>
      <c r="D56" s="890">
        <f t="shared" ref="D56:D61" si="55">+C56*$I$80</f>
        <v>-3433416</v>
      </c>
      <c r="E56" s="890">
        <f t="shared" ref="E56:E61" si="56">+C56-D56</f>
        <v>-2288944</v>
      </c>
      <c r="F56" s="955">
        <v>0</v>
      </c>
      <c r="G56" s="1142">
        <v>-2288944</v>
      </c>
      <c r="H56" s="48">
        <v>0.30148000000000003</v>
      </c>
      <c r="I56" s="890">
        <f t="shared" ref="I56:I60" si="57">+G56*H56</f>
        <v>-690070.83712000004</v>
      </c>
      <c r="J56" s="1008" t="s">
        <v>911</v>
      </c>
      <c r="K56" s="891">
        <v>0</v>
      </c>
      <c r="L56" s="542">
        <f t="shared" ref="L56:L61" si="58">+I56-K56</f>
        <v>-690070.83712000004</v>
      </c>
      <c r="M56" s="542">
        <f>+I56/10</f>
        <v>-69007.083712000007</v>
      </c>
      <c r="N56" s="542">
        <f t="shared" ref="N56:N61" si="59">+L56-M56</f>
        <v>-621063.75340799999</v>
      </c>
      <c r="O56" s="542">
        <f>+I56/10</f>
        <v>-69007.083712000007</v>
      </c>
      <c r="P56" s="542">
        <f t="shared" ref="P56:P61" si="60">+N56-O56</f>
        <v>-552056.66969599994</v>
      </c>
      <c r="Q56" s="542">
        <f>+P56/5</f>
        <v>-110411.33393919999</v>
      </c>
      <c r="R56" s="542">
        <f t="shared" ref="R56:R61" si="61">+P56-Q56</f>
        <v>-441645.33575679996</v>
      </c>
      <c r="S56" s="890">
        <f t="shared" ref="S56:Y61" si="62">+$P56/5</f>
        <v>-110411.33393919999</v>
      </c>
      <c r="T56" s="542">
        <f t="shared" ref="T56:T61" si="63">+R56-S56</f>
        <v>-331234.00181759999</v>
      </c>
      <c r="U56" s="890">
        <f t="shared" si="62"/>
        <v>-110411.33393919999</v>
      </c>
      <c r="V56" s="542">
        <f t="shared" ref="V56:V61" si="64">+T56-U56</f>
        <v>-220822.66787840001</v>
      </c>
      <c r="W56" s="890">
        <f t="shared" si="62"/>
        <v>-110411.33393919999</v>
      </c>
      <c r="X56" s="542">
        <f t="shared" ref="X56:X61" si="65">+V56-W56</f>
        <v>-110411.33393920002</v>
      </c>
      <c r="Y56" s="890">
        <f t="shared" si="62"/>
        <v>-110411.33393919999</v>
      </c>
      <c r="Z56" s="542">
        <f t="shared" ref="Z56:Z61" si="66">+X56-Y56</f>
        <v>0</v>
      </c>
    </row>
    <row r="57" spans="1:26" ht="15">
      <c r="A57" s="214">
        <f>+A56+1</f>
        <v>32</v>
      </c>
      <c r="B57" s="1015" t="s">
        <v>938</v>
      </c>
      <c r="C57" s="1142">
        <v>-2442970</v>
      </c>
      <c r="D57" s="890">
        <f t="shared" si="55"/>
        <v>-1465782</v>
      </c>
      <c r="E57" s="890">
        <f t="shared" si="56"/>
        <v>-977188</v>
      </c>
      <c r="F57" s="955">
        <v>0</v>
      </c>
      <c r="G57" s="1142">
        <v>-977188</v>
      </c>
      <c r="H57" s="48">
        <v>0.14549999999999999</v>
      </c>
      <c r="I57" s="890">
        <f t="shared" si="57"/>
        <v>-142180.85399999999</v>
      </c>
      <c r="J57" s="1008" t="s">
        <v>911</v>
      </c>
      <c r="K57" s="891">
        <v>0</v>
      </c>
      <c r="L57" s="542">
        <f t="shared" si="58"/>
        <v>-142180.85399999999</v>
      </c>
      <c r="M57" s="542">
        <f t="shared" ref="M57:M61" si="67">+I57/10</f>
        <v>-14218.0854</v>
      </c>
      <c r="N57" s="542">
        <f t="shared" si="59"/>
        <v>-127962.7686</v>
      </c>
      <c r="O57" s="542">
        <f t="shared" ref="O57:O61" si="68">+I57/10</f>
        <v>-14218.0854</v>
      </c>
      <c r="P57" s="542">
        <f t="shared" si="60"/>
        <v>-113744.6832</v>
      </c>
      <c r="Q57" s="542">
        <f t="shared" ref="Q57:Q61" si="69">+P57/5</f>
        <v>-22748.93664</v>
      </c>
      <c r="R57" s="542">
        <f t="shared" si="61"/>
        <v>-90995.74656</v>
      </c>
      <c r="S57" s="890">
        <f t="shared" si="62"/>
        <v>-22748.93664</v>
      </c>
      <c r="T57" s="542">
        <f t="shared" si="63"/>
        <v>-68246.80992</v>
      </c>
      <c r="U57" s="890">
        <f t="shared" si="62"/>
        <v>-22748.93664</v>
      </c>
      <c r="V57" s="542">
        <f t="shared" si="64"/>
        <v>-45497.87328</v>
      </c>
      <c r="W57" s="890">
        <f t="shared" si="62"/>
        <v>-22748.93664</v>
      </c>
      <c r="X57" s="542">
        <f t="shared" si="65"/>
        <v>-22748.93664</v>
      </c>
      <c r="Y57" s="890">
        <f t="shared" si="62"/>
        <v>-22748.93664</v>
      </c>
      <c r="Z57" s="542">
        <f t="shared" si="66"/>
        <v>0</v>
      </c>
    </row>
    <row r="58" spans="1:26" ht="15">
      <c r="A58" s="214">
        <f t="shared" ref="A58:A61" si="70">+A57+1</f>
        <v>33</v>
      </c>
      <c r="B58" s="1015" t="s">
        <v>939</v>
      </c>
      <c r="C58" s="1142">
        <v>-26686865</v>
      </c>
      <c r="D58" s="890">
        <f t="shared" si="55"/>
        <v>-16012119</v>
      </c>
      <c r="E58" s="890">
        <f t="shared" si="56"/>
        <v>-10674746</v>
      </c>
      <c r="F58" s="955">
        <v>0</v>
      </c>
      <c r="G58" s="1142">
        <v>-10674746</v>
      </c>
      <c r="H58" s="48">
        <v>0.14549999999999999</v>
      </c>
      <c r="I58" s="890">
        <f t="shared" si="57"/>
        <v>-1553175.5429999998</v>
      </c>
      <c r="J58" s="1008" t="s">
        <v>911</v>
      </c>
      <c r="K58" s="891">
        <v>0</v>
      </c>
      <c r="L58" s="542">
        <f t="shared" si="58"/>
        <v>-1553175.5429999998</v>
      </c>
      <c r="M58" s="542">
        <f t="shared" si="67"/>
        <v>-155317.55429999999</v>
      </c>
      <c r="N58" s="542">
        <f t="shared" si="59"/>
        <v>-1397857.9886999999</v>
      </c>
      <c r="O58" s="542">
        <f t="shared" si="68"/>
        <v>-155317.55429999999</v>
      </c>
      <c r="P58" s="542">
        <f t="shared" si="60"/>
        <v>-1242540.4343999999</v>
      </c>
      <c r="Q58" s="542">
        <f t="shared" si="69"/>
        <v>-248508.08687999999</v>
      </c>
      <c r="R58" s="542">
        <f t="shared" si="61"/>
        <v>-994032.34751999995</v>
      </c>
      <c r="S58" s="890">
        <f t="shared" si="62"/>
        <v>-248508.08687999999</v>
      </c>
      <c r="T58" s="542">
        <f t="shared" si="63"/>
        <v>-745524.26063999999</v>
      </c>
      <c r="U58" s="890">
        <f t="shared" si="62"/>
        <v>-248508.08687999999</v>
      </c>
      <c r="V58" s="542">
        <f t="shared" si="64"/>
        <v>-497016.17376000003</v>
      </c>
      <c r="W58" s="890">
        <f t="shared" si="62"/>
        <v>-248508.08687999999</v>
      </c>
      <c r="X58" s="542">
        <f t="shared" si="65"/>
        <v>-248508.08688000005</v>
      </c>
      <c r="Y58" s="890">
        <f t="shared" si="62"/>
        <v>-248508.08687999999</v>
      </c>
      <c r="Z58" s="542">
        <f t="shared" si="66"/>
        <v>0</v>
      </c>
    </row>
    <row r="59" spans="1:26" ht="15">
      <c r="A59" s="214">
        <f t="shared" si="70"/>
        <v>34</v>
      </c>
      <c r="B59" s="1015" t="s">
        <v>327</v>
      </c>
      <c r="C59" s="1142">
        <v>-17226040</v>
      </c>
      <c r="D59" s="890">
        <f t="shared" si="55"/>
        <v>-10335624</v>
      </c>
      <c r="E59" s="890">
        <f t="shared" si="56"/>
        <v>-6890416</v>
      </c>
      <c r="F59" s="955">
        <v>0</v>
      </c>
      <c r="G59" s="1142">
        <v>-6890416</v>
      </c>
      <c r="H59" s="48">
        <v>0.14549999999999999</v>
      </c>
      <c r="I59" s="890">
        <f t="shared" si="57"/>
        <v>-1002555.5279999999</v>
      </c>
      <c r="J59" s="1008" t="s">
        <v>911</v>
      </c>
      <c r="K59" s="891">
        <v>0</v>
      </c>
      <c r="L59" s="542">
        <f t="shared" si="58"/>
        <v>-1002555.5279999999</v>
      </c>
      <c r="M59" s="542">
        <f t="shared" si="67"/>
        <v>-100255.55279999999</v>
      </c>
      <c r="N59" s="542">
        <f t="shared" si="59"/>
        <v>-902299.97519999999</v>
      </c>
      <c r="O59" s="542">
        <f t="shared" si="68"/>
        <v>-100255.55279999999</v>
      </c>
      <c r="P59" s="542">
        <f t="shared" si="60"/>
        <v>-802044.42240000004</v>
      </c>
      <c r="Q59" s="542">
        <f t="shared" si="69"/>
        <v>-160408.88448000001</v>
      </c>
      <c r="R59" s="542">
        <f t="shared" si="61"/>
        <v>-641635.53792000003</v>
      </c>
      <c r="S59" s="890">
        <f t="shared" si="62"/>
        <v>-160408.88448000001</v>
      </c>
      <c r="T59" s="542">
        <f t="shared" si="63"/>
        <v>-481226.65344000002</v>
      </c>
      <c r="U59" s="890">
        <f t="shared" si="62"/>
        <v>-160408.88448000001</v>
      </c>
      <c r="V59" s="542">
        <f t="shared" si="64"/>
        <v>-320817.76896000002</v>
      </c>
      <c r="W59" s="890">
        <f t="shared" si="62"/>
        <v>-160408.88448000001</v>
      </c>
      <c r="X59" s="542">
        <f t="shared" si="65"/>
        <v>-160408.88448000001</v>
      </c>
      <c r="Y59" s="890">
        <f t="shared" si="62"/>
        <v>-160408.88448000001</v>
      </c>
      <c r="Z59" s="542">
        <f t="shared" si="66"/>
        <v>0</v>
      </c>
    </row>
    <row r="60" spans="1:26" ht="15">
      <c r="A60" s="214">
        <f t="shared" si="70"/>
        <v>35</v>
      </c>
      <c r="B60" s="1015" t="s">
        <v>328</v>
      </c>
      <c r="C60" s="1142">
        <v>681172.5</v>
      </c>
      <c r="D60" s="890">
        <f t="shared" si="55"/>
        <v>408703.5</v>
      </c>
      <c r="E60" s="890">
        <f t="shared" si="56"/>
        <v>272469</v>
      </c>
      <c r="F60" s="955">
        <v>0</v>
      </c>
      <c r="G60" s="1142">
        <v>272469</v>
      </c>
      <c r="H60" s="48">
        <v>0.14549999999999999</v>
      </c>
      <c r="I60" s="890">
        <f t="shared" si="57"/>
        <v>39644.239499999996</v>
      </c>
      <c r="J60" s="1008" t="s">
        <v>911</v>
      </c>
      <c r="K60" s="891">
        <v>0</v>
      </c>
      <c r="L60" s="542">
        <f t="shared" si="58"/>
        <v>39644.239499999996</v>
      </c>
      <c r="M60" s="542">
        <f t="shared" si="67"/>
        <v>3964.4239499999994</v>
      </c>
      <c r="N60" s="542">
        <f t="shared" si="59"/>
        <v>35679.815549999999</v>
      </c>
      <c r="O60" s="542">
        <f t="shared" si="68"/>
        <v>3964.4239499999994</v>
      </c>
      <c r="P60" s="542">
        <f t="shared" si="60"/>
        <v>31715.391599999999</v>
      </c>
      <c r="Q60" s="542">
        <f t="shared" si="69"/>
        <v>6343.0783199999996</v>
      </c>
      <c r="R60" s="542">
        <f t="shared" si="61"/>
        <v>25372.313279999998</v>
      </c>
      <c r="S60" s="890">
        <f t="shared" si="62"/>
        <v>6343.0783199999996</v>
      </c>
      <c r="T60" s="542">
        <f t="shared" si="63"/>
        <v>19029.234959999998</v>
      </c>
      <c r="U60" s="890">
        <f t="shared" si="62"/>
        <v>6343.0783199999996</v>
      </c>
      <c r="V60" s="542">
        <f t="shared" si="64"/>
        <v>12686.156639999997</v>
      </c>
      <c r="W60" s="890">
        <f t="shared" si="62"/>
        <v>6343.0783199999996</v>
      </c>
      <c r="X60" s="542">
        <f t="shared" si="65"/>
        <v>6343.0783199999978</v>
      </c>
      <c r="Y60" s="890">
        <f t="shared" si="62"/>
        <v>6343.0783199999996</v>
      </c>
      <c r="Z60" s="542">
        <f t="shared" si="66"/>
        <v>0</v>
      </c>
    </row>
    <row r="61" spans="1:26" ht="15">
      <c r="A61" s="214">
        <f t="shared" si="70"/>
        <v>36</v>
      </c>
      <c r="B61" s="1015" t="s">
        <v>297</v>
      </c>
      <c r="C61" s="1143">
        <v>1347942.5</v>
      </c>
      <c r="D61" s="916">
        <f t="shared" si="55"/>
        <v>808765.5</v>
      </c>
      <c r="E61" s="916">
        <f t="shared" si="56"/>
        <v>539177</v>
      </c>
      <c r="F61" s="956">
        <v>0</v>
      </c>
      <c r="G61" s="1143">
        <v>539177</v>
      </c>
      <c r="H61" s="48" t="s">
        <v>923</v>
      </c>
      <c r="I61" s="1143">
        <v>-1055740</v>
      </c>
      <c r="J61" s="1008" t="s">
        <v>911</v>
      </c>
      <c r="K61" s="915">
        <v>0</v>
      </c>
      <c r="L61" s="1009">
        <f t="shared" si="58"/>
        <v>-1055740</v>
      </c>
      <c r="M61" s="1009">
        <f t="shared" si="67"/>
        <v>-105574</v>
      </c>
      <c r="N61" s="1009">
        <f t="shared" si="59"/>
        <v>-950166</v>
      </c>
      <c r="O61" s="1009">
        <f t="shared" si="68"/>
        <v>-105574</v>
      </c>
      <c r="P61" s="1009">
        <f t="shared" si="60"/>
        <v>-844592</v>
      </c>
      <c r="Q61" s="1009">
        <f t="shared" si="69"/>
        <v>-168918.39999999999</v>
      </c>
      <c r="R61" s="1009">
        <f t="shared" si="61"/>
        <v>-675673.59999999998</v>
      </c>
      <c r="S61" s="916">
        <f t="shared" si="62"/>
        <v>-168918.39999999999</v>
      </c>
      <c r="T61" s="1009">
        <f t="shared" si="63"/>
        <v>-506755.19999999995</v>
      </c>
      <c r="U61" s="916">
        <f t="shared" si="62"/>
        <v>-168918.39999999999</v>
      </c>
      <c r="V61" s="1009">
        <f t="shared" si="64"/>
        <v>-337836.79999999993</v>
      </c>
      <c r="W61" s="916">
        <f t="shared" si="62"/>
        <v>-168918.39999999999</v>
      </c>
      <c r="X61" s="1009">
        <f t="shared" si="65"/>
        <v>-168918.39999999994</v>
      </c>
      <c r="Y61" s="916">
        <f t="shared" si="62"/>
        <v>-168918.39999999999</v>
      </c>
      <c r="Z61" s="1009">
        <f t="shared" si="66"/>
        <v>0</v>
      </c>
    </row>
    <row r="62" spans="1:26" ht="17.25">
      <c r="A62" s="214">
        <f>+A61+1</f>
        <v>37</v>
      </c>
      <c r="B62" s="214" t="s">
        <v>940</v>
      </c>
      <c r="C62" s="873">
        <f>+SUM(C56:C61)</f>
        <v>-50049120</v>
      </c>
      <c r="D62" s="872">
        <f>+SUM(D50:D61)</f>
        <v>-340098741.56783205</v>
      </c>
      <c r="E62" s="872">
        <f>+SUM(E56:E61)</f>
        <v>-20019648</v>
      </c>
      <c r="F62" s="872">
        <f>+SUM(F56:F61)</f>
        <v>0</v>
      </c>
      <c r="G62" s="872">
        <f>+SUM(G56:G61)</f>
        <v>-20019648</v>
      </c>
      <c r="H62" s="658"/>
      <c r="I62" s="872">
        <f t="shared" ref="I62:Z62" si="71">+SUM(I56:I61)</f>
        <v>-4404078.5226199999</v>
      </c>
      <c r="J62" s="872"/>
      <c r="K62" s="872">
        <f t="shared" si="71"/>
        <v>0</v>
      </c>
      <c r="L62" s="872">
        <f t="shared" si="71"/>
        <v>-4404078.5226199999</v>
      </c>
      <c r="M62" s="872">
        <f t="shared" si="71"/>
        <v>-440407.85226199997</v>
      </c>
      <c r="N62" s="872">
        <f t="shared" si="71"/>
        <v>-3963670.6703579999</v>
      </c>
      <c r="O62" s="891">
        <f t="shared" si="71"/>
        <v>-440407.85226199997</v>
      </c>
      <c r="P62" s="872">
        <f t="shared" si="71"/>
        <v>-3523262.8180959998</v>
      </c>
      <c r="Q62" s="891">
        <f t="shared" si="71"/>
        <v>-704652.56361920002</v>
      </c>
      <c r="R62" s="872">
        <f t="shared" si="71"/>
        <v>-2818610.2544768001</v>
      </c>
      <c r="S62" s="891">
        <f t="shared" si="71"/>
        <v>-704652.56361920002</v>
      </c>
      <c r="T62" s="872">
        <f t="shared" si="71"/>
        <v>-2113957.6908576</v>
      </c>
      <c r="U62" s="891">
        <f t="shared" si="71"/>
        <v>-704652.56361920002</v>
      </c>
      <c r="V62" s="872">
        <f t="shared" si="71"/>
        <v>-1409305.1272384003</v>
      </c>
      <c r="W62" s="891">
        <f t="shared" si="71"/>
        <v>-704652.56361920002</v>
      </c>
      <c r="X62" s="872">
        <f t="shared" si="71"/>
        <v>-704652.56361920002</v>
      </c>
      <c r="Y62" s="891">
        <f t="shared" si="71"/>
        <v>-704652.56361920002</v>
      </c>
      <c r="Z62" s="872">
        <f t="shared" si="71"/>
        <v>0</v>
      </c>
    </row>
    <row r="63" spans="1:26" ht="17.25">
      <c r="A63" s="214"/>
      <c r="B63" s="214"/>
      <c r="C63" s="214"/>
      <c r="D63" s="214"/>
      <c r="E63" s="873"/>
      <c r="F63" s="873"/>
      <c r="G63" s="873"/>
      <c r="H63" s="658"/>
      <c r="I63" s="873"/>
      <c r="J63" s="873"/>
      <c r="K63" s="873"/>
      <c r="L63" s="873"/>
      <c r="M63" s="873"/>
      <c r="N63" s="873"/>
      <c r="O63" s="874"/>
      <c r="P63" s="873"/>
      <c r="Q63" s="874"/>
      <c r="R63" s="873"/>
      <c r="S63" s="874"/>
      <c r="T63" s="873"/>
      <c r="U63" s="874"/>
      <c r="V63" s="873"/>
      <c r="W63" s="874"/>
      <c r="X63" s="873"/>
      <c r="Y63" s="874"/>
      <c r="Z63" s="873"/>
    </row>
    <row r="64" spans="1:26" ht="32.25">
      <c r="A64" s="214">
        <f>+A62+1</f>
        <v>38</v>
      </c>
      <c r="B64" s="660" t="s">
        <v>930</v>
      </c>
      <c r="C64" s="660"/>
      <c r="D64" s="660"/>
      <c r="E64" s="872">
        <f>+E48+E53+E62</f>
        <v>-123376071.18927735</v>
      </c>
      <c r="F64" s="872"/>
      <c r="G64" s="872">
        <f>+G48+G53+G62</f>
        <v>-123376071.18927735</v>
      </c>
      <c r="H64" s="658"/>
      <c r="I64" s="872">
        <f>+I48+I53+I62</f>
        <v>-35556350.387339778</v>
      </c>
      <c r="J64" s="873"/>
      <c r="K64" s="872">
        <f>+K48+K53+K62</f>
        <v>0</v>
      </c>
      <c r="L64" s="872">
        <f>+L48+L53+L62</f>
        <v>-35556350.387339778</v>
      </c>
      <c r="M64" s="872">
        <f>+M48+M53+M62</f>
        <v>-3042552.5522620003</v>
      </c>
      <c r="N64" s="872">
        <f t="shared" ref="N64:Z64" si="72">+N48+N53+N62</f>
        <v>-32513797.835077778</v>
      </c>
      <c r="O64" s="872">
        <f t="shared" si="72"/>
        <v>-2008926.5522619998</v>
      </c>
      <c r="P64" s="872">
        <f t="shared" si="72"/>
        <v>-30504871.28281578</v>
      </c>
      <c r="Q64" s="872">
        <f t="shared" si="72"/>
        <v>-2952033.0836192002</v>
      </c>
      <c r="R64" s="872">
        <f t="shared" si="72"/>
        <v>-27552838.199196577</v>
      </c>
      <c r="S64" s="872">
        <f t="shared" si="72"/>
        <v>-2325564.0836192002</v>
      </c>
      <c r="T64" s="872">
        <f t="shared" si="72"/>
        <v>-25227274.115577381</v>
      </c>
      <c r="U64" s="872">
        <f t="shared" si="72"/>
        <v>-2325564.0836192002</v>
      </c>
      <c r="V64" s="872">
        <f t="shared" si="72"/>
        <v>-22901710.031958178</v>
      </c>
      <c r="W64" s="872">
        <f t="shared" si="72"/>
        <v>-2325564.0836192002</v>
      </c>
      <c r="X64" s="872">
        <f t="shared" si="72"/>
        <v>-20576145.948338978</v>
      </c>
      <c r="Y64" s="872">
        <f t="shared" si="72"/>
        <v>-2325564.0836192002</v>
      </c>
      <c r="Z64" s="872">
        <f t="shared" si="72"/>
        <v>-18250581.864719778</v>
      </c>
    </row>
    <row r="65" spans="1:27" ht="15">
      <c r="A65" s="214">
        <f>+A64+1</f>
        <v>39</v>
      </c>
      <c r="B65" s="660" t="s">
        <v>931</v>
      </c>
      <c r="C65" s="660"/>
      <c r="D65" s="660"/>
      <c r="E65" s="918">
        <v>0.26582278481012656</v>
      </c>
      <c r="F65" s="918"/>
      <c r="G65" s="918">
        <v>-31917281.164556958</v>
      </c>
      <c r="H65" s="658"/>
      <c r="I65" s="918">
        <v>-9186715.9257485475</v>
      </c>
      <c r="J65" s="872"/>
      <c r="K65" s="872"/>
      <c r="L65" s="918">
        <v>-9186715.9257485475</v>
      </c>
      <c r="M65" s="542"/>
      <c r="N65" s="918">
        <v>-8404433.3485649787</v>
      </c>
      <c r="O65" s="542"/>
      <c r="P65" s="918">
        <v>-7651869.4066739334</v>
      </c>
      <c r="Q65" s="542"/>
      <c r="R65" s="918">
        <v>-7076077.0300156642</v>
      </c>
      <c r="S65" s="542"/>
      <c r="T65" s="918">
        <v>-6500284.6533573978</v>
      </c>
      <c r="U65" s="542"/>
      <c r="V65" s="918">
        <v>-5924492.2766991286</v>
      </c>
      <c r="W65" s="542"/>
      <c r="X65" s="918">
        <v>-5348699.9000408603</v>
      </c>
      <c r="Y65" s="542"/>
      <c r="Z65" s="918">
        <v>-4772907.523382592</v>
      </c>
      <c r="AA65" s="923"/>
    </row>
    <row r="66" spans="1:27" ht="30">
      <c r="A66" s="214">
        <f>+A65+1</f>
        <v>40</v>
      </c>
      <c r="B66" s="660" t="s">
        <v>941</v>
      </c>
      <c r="C66" s="660"/>
      <c r="D66" s="660"/>
      <c r="E66" s="1019">
        <f>+E64+E65</f>
        <v>-123376070.92345457</v>
      </c>
      <c r="F66" s="1002"/>
      <c r="G66" s="1019">
        <f>+G64+G65</f>
        <v>-155293352.3538343</v>
      </c>
      <c r="H66" s="1020"/>
      <c r="I66" s="1019">
        <f>+I64+I65</f>
        <v>-44743066.313088328</v>
      </c>
      <c r="J66" s="1002"/>
      <c r="K66" s="1002"/>
      <c r="L66" s="1019">
        <f>+L64+L65</f>
        <v>-44743066.313088328</v>
      </c>
      <c r="M66" s="1002"/>
      <c r="N66" s="1019">
        <f>+N64+N65</f>
        <v>-40918231.18364276</v>
      </c>
      <c r="O66" s="53"/>
      <c r="P66" s="1019">
        <f>+P64+P65</f>
        <v>-38156740.689489715</v>
      </c>
      <c r="Q66" s="53"/>
      <c r="R66" s="1019">
        <f>+R64+R65</f>
        <v>-34628915.229212239</v>
      </c>
      <c r="S66" s="53"/>
      <c r="T66" s="1019">
        <f>+T64+T65</f>
        <v>-31727558.768934779</v>
      </c>
      <c r="U66" s="53"/>
      <c r="V66" s="1019">
        <f>+V64+V65</f>
        <v>-28826202.308657307</v>
      </c>
      <c r="W66" s="53"/>
      <c r="X66" s="1019">
        <f>+X64+X65</f>
        <v>-25924845.848379839</v>
      </c>
      <c r="Y66" s="53"/>
      <c r="Z66" s="1019">
        <f>+Z64+Z65</f>
        <v>-23023489.388102371</v>
      </c>
      <c r="AA66" s="923"/>
    </row>
    <row r="67" spans="1:27" ht="15">
      <c r="A67" s="214"/>
      <c r="B67" s="660"/>
      <c r="C67" s="660"/>
      <c r="D67" s="660"/>
      <c r="E67" s="1002"/>
      <c r="F67" s="1002"/>
      <c r="G67" s="1002"/>
      <c r="H67" s="658"/>
      <c r="I67" s="1002"/>
      <c r="J67" s="1002"/>
      <c r="K67" s="1002"/>
      <c r="L67" s="1002"/>
      <c r="M67" s="1002"/>
      <c r="N67" s="1002"/>
      <c r="O67" s="53"/>
      <c r="P67" s="1002"/>
      <c r="Q67" s="53"/>
      <c r="R67" s="1002"/>
      <c r="S67" s="53"/>
      <c r="T67" s="1002"/>
      <c r="U67" s="53"/>
      <c r="V67" s="1002"/>
      <c r="W67" s="53"/>
      <c r="X67" s="1002"/>
      <c r="Y67" s="53"/>
      <c r="Z67" s="1002"/>
      <c r="AA67" s="923"/>
    </row>
    <row r="68" spans="1:27" ht="15">
      <c r="A68" s="214">
        <f>+A66+1</f>
        <v>41</v>
      </c>
      <c r="B68" s="660" t="s">
        <v>438</v>
      </c>
      <c r="C68" s="660"/>
      <c r="D68" s="660"/>
      <c r="E68" s="1002">
        <f>+E40+E66</f>
        <v>-119471996.92345457</v>
      </c>
      <c r="F68" s="1002"/>
      <c r="G68" s="1002">
        <f>+G40+G66</f>
        <v>-150351486.53104949</v>
      </c>
      <c r="H68" s="658"/>
      <c r="I68" s="1002">
        <f>+I40+I66</f>
        <v>-44118072.387898453</v>
      </c>
      <c r="J68" s="1002"/>
      <c r="K68" s="1002"/>
      <c r="L68" s="1002">
        <f>+L40+L66</f>
        <v>-44118072.387898453</v>
      </c>
      <c r="M68" s="1002"/>
      <c r="N68" s="1002">
        <f>+N40+N66</f>
        <v>-40355736.650971875</v>
      </c>
      <c r="O68" s="53"/>
      <c r="P68" s="1002">
        <f>+P40+P66</f>
        <v>-37656745.549337819</v>
      </c>
      <c r="Q68" s="53"/>
      <c r="R68" s="1002">
        <f>+R40+R66</f>
        <v>-34228919.117090717</v>
      </c>
      <c r="S68" s="53"/>
      <c r="T68" s="1002">
        <f>+T40+T66</f>
        <v>-31427561.684843641</v>
      </c>
      <c r="U68" s="53"/>
      <c r="V68" s="1002">
        <f>+V40+V66</f>
        <v>-28367107.482044648</v>
      </c>
      <c r="W68" s="53"/>
      <c r="X68" s="1002">
        <f>+X40+X66</f>
        <v>-25824846.820349459</v>
      </c>
      <c r="Y68" s="53"/>
      <c r="Z68" s="1002">
        <f>+Z40+Z66</f>
        <v>-23023489.388102371</v>
      </c>
      <c r="AA68" s="923"/>
    </row>
    <row r="69" spans="1:27" ht="15">
      <c r="A69" s="214"/>
      <c r="B69" s="660"/>
      <c r="C69" s="660"/>
      <c r="D69" s="660"/>
      <c r="E69" s="1002"/>
      <c r="F69" s="1002"/>
      <c r="G69" s="1002"/>
      <c r="H69" s="658"/>
      <c r="I69" s="1002"/>
      <c r="J69" s="1002"/>
      <c r="K69" s="1002"/>
      <c r="L69" s="1002"/>
      <c r="M69" s="1002"/>
      <c r="N69" s="1002"/>
      <c r="O69" s="53"/>
      <c r="P69" s="1002"/>
      <c r="Q69" s="1002"/>
      <c r="R69" s="1002"/>
      <c r="S69" s="868"/>
      <c r="T69" s="868"/>
      <c r="U69" s="868"/>
      <c r="V69" s="868"/>
      <c r="W69" s="868"/>
      <c r="X69" s="868"/>
      <c r="Y69" s="923"/>
      <c r="Z69" s="923"/>
      <c r="AA69" s="923"/>
    </row>
    <row r="70" spans="1:27" ht="15">
      <c r="A70" s="214">
        <f>+A68+1</f>
        <v>42</v>
      </c>
      <c r="B70" s="214" t="s">
        <v>942</v>
      </c>
      <c r="C70" s="214"/>
      <c r="D70" s="214"/>
      <c r="E70" s="214"/>
      <c r="F70" s="214"/>
      <c r="G70" s="214"/>
      <c r="H70" s="214"/>
      <c r="I70" s="214"/>
      <c r="J70" s="214"/>
      <c r="K70" s="214"/>
      <c r="L70" s="214"/>
      <c r="M70" s="542">
        <f>+M38+M64</f>
        <v>-2993178.0321720005</v>
      </c>
      <c r="N70" s="214"/>
      <c r="O70" s="542">
        <f>+O38+O64</f>
        <v>-1959552.0321719998</v>
      </c>
      <c r="P70" s="214"/>
      <c r="Q70" s="542">
        <f>+Q38+Q64</f>
        <v>-2873033.8514752002</v>
      </c>
      <c r="R70" s="923"/>
      <c r="S70" s="542">
        <f>+S38+S64</f>
        <v>-2246564.8514752002</v>
      </c>
      <c r="T70" s="923"/>
      <c r="U70" s="542">
        <f>+U38+U64</f>
        <v>-2246564.8514752002</v>
      </c>
      <c r="V70" s="923"/>
      <c r="W70" s="542">
        <f>+W38+W64</f>
        <v>-2246564.8514752002</v>
      </c>
      <c r="X70" s="923"/>
      <c r="Y70" s="542">
        <f>+Y38+Y64</f>
        <v>-2246564.8514752002</v>
      </c>
      <c r="Z70" s="923"/>
      <c r="AA70" s="542"/>
    </row>
    <row r="71" spans="1:27" ht="15">
      <c r="A71" s="214"/>
      <c r="B71" s="214"/>
      <c r="C71" s="214"/>
      <c r="D71" s="214"/>
      <c r="E71" s="214"/>
      <c r="F71" s="214"/>
      <c r="G71" s="214"/>
      <c r="H71" s="214"/>
      <c r="I71" s="214"/>
      <c r="J71" s="214"/>
      <c r="K71" s="214"/>
      <c r="L71" s="214"/>
      <c r="M71" s="214"/>
      <c r="N71" s="214"/>
      <c r="O71" s="214"/>
      <c r="P71" s="542"/>
      <c r="Q71" s="923"/>
      <c r="R71" s="923"/>
      <c r="S71" s="923"/>
      <c r="T71" s="923"/>
      <c r="U71" s="923"/>
      <c r="V71" s="923"/>
      <c r="W71" s="923"/>
      <c r="X71" s="923"/>
      <c r="Y71" s="923"/>
      <c r="Z71" s="923"/>
      <c r="AA71" s="923"/>
    </row>
    <row r="72" spans="1:27" ht="15">
      <c r="A72" s="214"/>
      <c r="B72" s="1210" t="s">
        <v>943</v>
      </c>
      <c r="C72" s="1210"/>
      <c r="D72" s="1210"/>
      <c r="E72" s="1210"/>
      <c r="F72" s="1210"/>
      <c r="G72" s="1210"/>
      <c r="H72" s="1210"/>
      <c r="I72" s="1210"/>
      <c r="J72" s="1210"/>
      <c r="K72" s="1210"/>
      <c r="L72" s="1210"/>
      <c r="M72" s="214"/>
      <c r="N72" s="214"/>
      <c r="O72" s="214"/>
      <c r="P72" s="214"/>
      <c r="Q72" s="923"/>
      <c r="R72" s="923"/>
      <c r="S72" s="923"/>
      <c r="T72" s="923"/>
      <c r="U72" s="923"/>
      <c r="V72" s="923"/>
      <c r="W72" s="923"/>
      <c r="X72" s="923"/>
      <c r="Y72" s="923"/>
      <c r="Z72" s="923"/>
      <c r="AA72" s="923"/>
    </row>
    <row r="73" spans="1:27" ht="15">
      <c r="A73" s="214"/>
      <c r="B73" s="214" t="s">
        <v>944</v>
      </c>
      <c r="C73" s="214"/>
      <c r="D73" s="214"/>
      <c r="E73" s="214"/>
      <c r="F73" s="214"/>
      <c r="G73" s="214"/>
      <c r="H73" s="214"/>
      <c r="I73" s="214"/>
      <c r="J73" s="214"/>
      <c r="K73" s="214"/>
      <c r="L73" s="214"/>
      <c r="M73" s="214"/>
      <c r="N73" s="214"/>
      <c r="O73" s="214"/>
      <c r="P73" s="214"/>
      <c r="Q73" s="923"/>
      <c r="R73" s="923"/>
      <c r="S73" s="923"/>
      <c r="T73" s="923"/>
      <c r="U73" s="923"/>
      <c r="V73" s="923"/>
      <c r="W73" s="923"/>
      <c r="X73" s="923"/>
      <c r="Y73" s="923"/>
      <c r="Z73" s="923"/>
      <c r="AA73" s="923"/>
    </row>
    <row r="74" spans="1:27" ht="15">
      <c r="A74" s="214"/>
      <c r="B74" s="1210" t="s">
        <v>945</v>
      </c>
      <c r="C74" s="1210"/>
      <c r="D74" s="1210"/>
      <c r="E74" s="1210"/>
      <c r="F74" s="1210"/>
      <c r="G74" s="1210"/>
      <c r="H74" s="1210"/>
      <c r="I74" s="1210"/>
      <c r="J74" s="1210"/>
      <c r="K74" s="1210"/>
      <c r="L74" s="1210"/>
      <c r="M74" s="214"/>
      <c r="N74" s="214"/>
      <c r="O74" s="214"/>
      <c r="P74" s="214"/>
      <c r="Q74" s="923"/>
      <c r="R74" s="923"/>
      <c r="S74" s="923"/>
      <c r="T74" s="923"/>
      <c r="U74" s="923"/>
      <c r="V74" s="923"/>
      <c r="W74" s="923"/>
      <c r="X74" s="923"/>
      <c r="Y74" s="923"/>
      <c r="Z74" s="923"/>
      <c r="AA74" s="923"/>
    </row>
    <row r="75" spans="1:27" ht="15">
      <c r="A75" s="214"/>
      <c r="B75" s="214" t="s">
        <v>946</v>
      </c>
      <c r="C75" s="214"/>
      <c r="D75" s="214"/>
      <c r="E75" s="214"/>
      <c r="F75" s="214"/>
      <c r="G75" s="214"/>
      <c r="H75" s="214"/>
      <c r="I75" s="214"/>
      <c r="J75" s="214"/>
      <c r="K75" s="214"/>
      <c r="L75" s="214"/>
      <c r="M75" s="214"/>
      <c r="N75" s="214"/>
      <c r="O75" s="214"/>
      <c r="P75" s="214"/>
      <c r="Q75" s="923"/>
      <c r="R75" s="923"/>
      <c r="S75" s="923"/>
      <c r="T75" s="923"/>
      <c r="U75" s="923"/>
      <c r="V75" s="923"/>
      <c r="W75" s="923"/>
      <c r="X75" s="923"/>
      <c r="Y75" s="923"/>
      <c r="Z75" s="923"/>
      <c r="AA75" s="923"/>
    </row>
    <row r="76" spans="1:27" ht="15">
      <c r="A76" s="214"/>
      <c r="B76" s="214" t="s">
        <v>947</v>
      </c>
      <c r="C76" s="214"/>
      <c r="D76" s="214"/>
      <c r="E76" s="214"/>
      <c r="F76" s="214"/>
      <c r="G76" s="214"/>
      <c r="H76" s="214"/>
      <c r="I76" s="214"/>
      <c r="J76" s="214"/>
      <c r="K76" s="214"/>
      <c r="L76" s="214"/>
      <c r="M76" s="214"/>
      <c r="N76" s="214"/>
      <c r="O76" s="214"/>
      <c r="P76" s="214"/>
      <c r="Q76" s="923"/>
      <c r="R76" s="923"/>
      <c r="S76" s="923"/>
      <c r="T76" s="923"/>
      <c r="U76" s="923"/>
      <c r="V76" s="923"/>
      <c r="W76" s="923"/>
      <c r="X76" s="923"/>
      <c r="Y76" s="923"/>
      <c r="Z76" s="923"/>
      <c r="AA76" s="923"/>
    </row>
    <row r="77" spans="1:27" ht="15">
      <c r="A77" s="214"/>
      <c r="B77" s="214" t="s">
        <v>948</v>
      </c>
      <c r="C77" s="214"/>
      <c r="D77" s="214"/>
      <c r="E77" s="214"/>
      <c r="F77" s="214"/>
      <c r="G77" s="214"/>
      <c r="H77" s="214"/>
      <c r="I77" s="214"/>
      <c r="J77" s="214"/>
      <c r="K77" s="214"/>
      <c r="L77" s="214"/>
      <c r="M77" s="214"/>
      <c r="N77" s="214"/>
      <c r="O77" s="214"/>
      <c r="P77" s="214"/>
      <c r="Q77" s="923"/>
      <c r="R77" s="923"/>
      <c r="S77" s="923"/>
      <c r="T77" s="923"/>
      <c r="U77" s="923"/>
      <c r="V77" s="923"/>
      <c r="W77" s="923"/>
      <c r="X77" s="923"/>
      <c r="Y77" s="923"/>
      <c r="Z77" s="923"/>
      <c r="AA77" s="923"/>
    </row>
    <row r="78" spans="1:27" ht="15">
      <c r="A78" s="214"/>
      <c r="B78" s="214"/>
      <c r="C78" s="214"/>
      <c r="D78" s="214"/>
      <c r="E78" s="214" t="s">
        <v>949</v>
      </c>
      <c r="F78" s="214"/>
      <c r="G78" s="214"/>
      <c r="H78" s="214"/>
      <c r="I78" s="690">
        <v>0.21</v>
      </c>
      <c r="J78" s="690"/>
      <c r="K78" s="214"/>
      <c r="L78" s="214"/>
      <c r="M78" s="214"/>
      <c r="N78" s="214"/>
      <c r="O78" s="214"/>
      <c r="P78" s="214"/>
      <c r="Q78" s="923"/>
      <c r="R78" s="923"/>
      <c r="S78" s="923"/>
      <c r="T78" s="923"/>
      <c r="U78" s="923"/>
      <c r="V78" s="923"/>
      <c r="W78" s="923"/>
      <c r="X78" s="923"/>
      <c r="Y78" s="923"/>
      <c r="Z78" s="923"/>
      <c r="AA78" s="923"/>
    </row>
    <row r="79" spans="1:27" ht="15">
      <c r="A79" s="214"/>
      <c r="B79" s="214"/>
      <c r="C79" s="214"/>
      <c r="D79" s="214"/>
      <c r="E79" s="214" t="s">
        <v>950</v>
      </c>
      <c r="F79" s="214"/>
      <c r="G79" s="214"/>
      <c r="H79" s="214"/>
      <c r="I79" s="690">
        <v>0.35</v>
      </c>
      <c r="J79" s="690"/>
      <c r="K79" s="214"/>
      <c r="L79" s="214"/>
      <c r="M79" s="214"/>
      <c r="N79" s="214"/>
      <c r="O79" s="214"/>
      <c r="P79" s="214"/>
      <c r="Q79" s="923"/>
      <c r="R79" s="923"/>
      <c r="S79" s="923"/>
      <c r="T79" s="923"/>
      <c r="U79" s="923"/>
      <c r="V79" s="923"/>
      <c r="W79" s="923"/>
      <c r="X79" s="923"/>
      <c r="Y79" s="923"/>
      <c r="Z79" s="923"/>
      <c r="AA79" s="923"/>
    </row>
    <row r="80" spans="1:27" ht="15">
      <c r="A80" s="214"/>
      <c r="B80" s="214"/>
      <c r="C80" s="214"/>
      <c r="D80" s="214"/>
      <c r="E80" s="214" t="s">
        <v>951</v>
      </c>
      <c r="F80" s="214"/>
      <c r="G80" s="214"/>
      <c r="H80" s="214"/>
      <c r="I80" s="690">
        <f>+I78/I79</f>
        <v>0.6</v>
      </c>
      <c r="J80" s="690"/>
      <c r="K80" s="214"/>
      <c r="L80" s="214"/>
      <c r="M80" s="214"/>
      <c r="N80" s="214"/>
      <c r="O80" s="214"/>
      <c r="P80" s="214"/>
      <c r="Q80" s="923"/>
      <c r="R80" s="923"/>
      <c r="S80" s="923"/>
      <c r="T80" s="923"/>
      <c r="U80" s="923"/>
      <c r="V80" s="923"/>
      <c r="W80" s="923"/>
      <c r="X80" s="923"/>
      <c r="Y80" s="923"/>
      <c r="Z80" s="923"/>
      <c r="AA80" s="923"/>
    </row>
    <row r="81" spans="1:26" ht="15">
      <c r="A81" s="214"/>
      <c r="B81" s="214"/>
      <c r="C81" s="214"/>
      <c r="D81" s="214"/>
      <c r="E81" s="214"/>
      <c r="F81" s="214"/>
      <c r="G81" s="214"/>
      <c r="H81" s="214"/>
      <c r="I81" s="214"/>
      <c r="J81" s="214"/>
      <c r="K81" s="214"/>
      <c r="L81" s="214"/>
      <c r="M81" s="214"/>
      <c r="N81" s="214"/>
      <c r="O81" s="214"/>
      <c r="P81" s="214"/>
      <c r="Q81" s="923"/>
      <c r="R81" s="923"/>
      <c r="S81" s="923"/>
      <c r="T81" s="923"/>
      <c r="U81" s="923"/>
      <c r="V81" s="923"/>
      <c r="W81" s="923"/>
      <c r="X81" s="923"/>
      <c r="Y81" s="923"/>
      <c r="Z81" s="923"/>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20" sqref="F20"/>
    </sheetView>
  </sheetViews>
  <sheetFormatPr defaultRowHeight="12.75"/>
  <cols>
    <col min="1" max="1" width="3.28515625" style="681"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A1" s="923"/>
      <c r="B1" s="1212" t="str">
        <f>+'9 - Excess ADIT'!I2</f>
        <v>Dayton Power and Light</v>
      </c>
      <c r="C1" s="1212"/>
      <c r="D1" s="1212"/>
      <c r="E1" s="1212"/>
      <c r="F1" s="1212"/>
      <c r="G1" s="1212"/>
      <c r="H1" s="1212"/>
      <c r="I1" s="1212"/>
      <c r="J1" s="1212"/>
      <c r="K1" s="1212"/>
      <c r="L1" s="1212"/>
      <c r="M1" s="1212"/>
      <c r="N1" s="923"/>
      <c r="O1" s="923"/>
      <c r="P1" s="923"/>
      <c r="Q1" s="923"/>
      <c r="R1" s="923"/>
      <c r="S1" s="923"/>
      <c r="T1" s="923"/>
      <c r="U1" s="923"/>
      <c r="V1" s="923"/>
      <c r="W1" s="923"/>
    </row>
    <row r="2" spans="1:23" ht="18" customHeight="1">
      <c r="A2" s="923"/>
      <c r="B2" s="1212" t="str">
        <f>+'9 - Excess ADIT'!I3</f>
        <v xml:space="preserve">ATTACHMENT H-15A </v>
      </c>
      <c r="C2" s="1212"/>
      <c r="D2" s="1212"/>
      <c r="E2" s="1212"/>
      <c r="F2" s="1212"/>
      <c r="G2" s="1212"/>
      <c r="H2" s="1212"/>
      <c r="I2" s="1212"/>
      <c r="J2" s="1212"/>
      <c r="K2" s="1212"/>
      <c r="L2" s="1212"/>
      <c r="M2" s="1212"/>
      <c r="N2" s="923"/>
      <c r="O2" s="923"/>
      <c r="P2" s="923"/>
      <c r="Q2" s="885"/>
      <c r="R2" s="923"/>
      <c r="S2" s="923"/>
      <c r="T2" s="923"/>
      <c r="U2" s="923"/>
      <c r="V2" s="923"/>
      <c r="W2" s="923"/>
    </row>
    <row r="3" spans="1:23" ht="18">
      <c r="A3" s="923"/>
      <c r="B3" s="1212" t="s">
        <v>952</v>
      </c>
      <c r="C3" s="1212"/>
      <c r="D3" s="1212"/>
      <c r="E3" s="1212"/>
      <c r="F3" s="1212"/>
      <c r="G3" s="1212"/>
      <c r="H3" s="1212"/>
      <c r="I3" s="1212"/>
      <c r="J3" s="1212"/>
      <c r="K3" s="1212"/>
      <c r="L3" s="1212"/>
      <c r="M3" s="1212"/>
      <c r="N3" s="1075"/>
      <c r="O3" s="1075"/>
      <c r="P3" s="923"/>
      <c r="Q3" s="923"/>
      <c r="R3" s="923"/>
      <c r="S3" s="923"/>
      <c r="T3" s="923"/>
      <c r="U3" s="923"/>
      <c r="V3" s="923"/>
      <c r="W3" s="923"/>
    </row>
    <row r="4" spans="1:23" s="682" customFormat="1" ht="18">
      <c r="A4" s="923"/>
      <c r="B4" s="1212" t="s">
        <v>824</v>
      </c>
      <c r="C4" s="1212"/>
      <c r="D4" s="1212"/>
      <c r="E4" s="1212"/>
      <c r="F4" s="1212"/>
      <c r="G4" s="1212"/>
      <c r="H4" s="1212"/>
      <c r="I4" s="1212"/>
      <c r="J4" s="1212"/>
      <c r="K4" s="1212"/>
      <c r="L4" s="1212"/>
      <c r="M4" s="1212"/>
      <c r="N4" s="1075"/>
      <c r="O4" s="1075"/>
      <c r="P4" s="923"/>
      <c r="Q4" s="923"/>
      <c r="R4" s="923"/>
      <c r="S4" s="923"/>
      <c r="T4" s="923"/>
      <c r="U4" s="923"/>
      <c r="V4" s="923"/>
      <c r="W4" s="923"/>
    </row>
    <row r="5" spans="1:23" s="923" customFormat="1" ht="18">
      <c r="H5" s="661"/>
      <c r="I5" s="1075"/>
      <c r="J5" s="1075"/>
      <c r="K5" s="1075"/>
      <c r="L5" s="1075"/>
      <c r="M5" s="1075"/>
      <c r="N5" s="1075"/>
      <c r="O5" s="1075"/>
    </row>
    <row r="6" spans="1:23" s="682" customFormat="1" ht="18">
      <c r="A6" s="923"/>
      <c r="B6" s="529" t="s">
        <v>417</v>
      </c>
      <c r="C6" s="923"/>
      <c r="D6" s="923"/>
      <c r="E6" s="923"/>
      <c r="F6" s="923"/>
      <c r="G6" s="923"/>
      <c r="H6" s="923"/>
      <c r="I6" s="1075"/>
      <c r="J6" s="1075"/>
      <c r="K6" s="1075"/>
      <c r="L6" s="1075"/>
      <c r="M6" s="1075"/>
      <c r="N6" s="1075"/>
      <c r="O6" s="1075"/>
      <c r="P6" s="923"/>
      <c r="Q6" s="923"/>
      <c r="R6" s="923"/>
      <c r="S6" s="923"/>
      <c r="T6" s="923"/>
      <c r="U6" s="923"/>
      <c r="V6" s="923"/>
      <c r="W6" s="923"/>
    </row>
    <row r="7" spans="1:23" ht="13.5" thickBot="1">
      <c r="A7" s="923"/>
      <c r="B7" s="923"/>
      <c r="C7" s="923"/>
      <c r="D7" s="923"/>
      <c r="E7" s="923"/>
      <c r="F7" s="923"/>
      <c r="G7" s="923"/>
      <c r="H7" s="923"/>
      <c r="I7" s="923"/>
      <c r="J7" s="923"/>
      <c r="K7" s="923"/>
      <c r="L7" s="923"/>
      <c r="M7" s="923"/>
      <c r="N7" s="923"/>
      <c r="O7" s="923"/>
      <c r="P7" s="923"/>
      <c r="Q7" s="923"/>
      <c r="R7" s="923"/>
      <c r="S7" s="923"/>
      <c r="T7" s="923"/>
      <c r="U7" s="923"/>
      <c r="V7" s="923"/>
      <c r="W7" s="923"/>
    </row>
    <row r="8" spans="1:23" ht="13.5" thickBot="1">
      <c r="A8" s="923"/>
      <c r="B8" s="559" t="s">
        <v>953</v>
      </c>
      <c r="C8" s="559"/>
      <c r="D8" s="559"/>
      <c r="E8" s="559"/>
      <c r="F8" s="559"/>
      <c r="G8" s="559"/>
      <c r="H8" s="559"/>
      <c r="I8" s="559"/>
      <c r="J8" s="559"/>
      <c r="K8" s="559"/>
      <c r="L8" s="559"/>
      <c r="M8" s="559"/>
      <c r="N8" s="923"/>
      <c r="O8" s="923"/>
      <c r="P8" s="923"/>
      <c r="Q8" s="923"/>
      <c r="R8" s="923"/>
      <c r="S8" s="923"/>
      <c r="T8" s="923"/>
      <c r="U8" s="985"/>
      <c r="V8" s="989" t="s">
        <v>954</v>
      </c>
      <c r="W8" s="990" t="s">
        <v>955</v>
      </c>
    </row>
    <row r="9" spans="1:23" ht="13.5" thickBot="1">
      <c r="A9" s="923"/>
      <c r="B9" s="559"/>
      <c r="C9" s="559"/>
      <c r="D9" s="559"/>
      <c r="E9" s="559"/>
      <c r="F9" s="984" t="s">
        <v>507</v>
      </c>
      <c r="G9" s="981" t="s">
        <v>508</v>
      </c>
      <c r="H9" s="981" t="s">
        <v>509</v>
      </c>
      <c r="I9" s="981" t="s">
        <v>510</v>
      </c>
      <c r="J9" s="981" t="s">
        <v>511</v>
      </c>
      <c r="K9" s="981" t="s">
        <v>379</v>
      </c>
      <c r="L9" s="981" t="s">
        <v>512</v>
      </c>
      <c r="M9" s="981" t="s">
        <v>513</v>
      </c>
      <c r="N9" s="981" t="s">
        <v>514</v>
      </c>
      <c r="O9" s="981" t="s">
        <v>515</v>
      </c>
      <c r="P9" s="981" t="s">
        <v>516</v>
      </c>
      <c r="Q9" s="981" t="s">
        <v>517</v>
      </c>
      <c r="R9" s="981" t="s">
        <v>518</v>
      </c>
      <c r="S9" s="982" t="s">
        <v>519</v>
      </c>
      <c r="T9" s="983"/>
      <c r="U9" s="986" t="s">
        <v>274</v>
      </c>
      <c r="V9" s="987" t="s">
        <v>437</v>
      </c>
      <c r="W9" s="988" t="s">
        <v>437</v>
      </c>
    </row>
    <row r="10" spans="1:23">
      <c r="A10" s="923"/>
      <c r="B10" s="683" t="s">
        <v>956</v>
      </c>
      <c r="C10" s="559"/>
      <c r="D10" s="559"/>
      <c r="E10" s="559"/>
      <c r="F10" s="559"/>
      <c r="G10" s="559"/>
      <c r="H10" s="559"/>
      <c r="I10" s="559"/>
      <c r="J10" s="559"/>
      <c r="K10" s="559"/>
      <c r="L10" s="559"/>
      <c r="M10" s="559"/>
      <c r="N10" s="923"/>
      <c r="O10" s="923"/>
      <c r="P10" s="923"/>
      <c r="Q10" s="923"/>
      <c r="R10" s="923"/>
      <c r="S10" s="923"/>
      <c r="T10" s="923"/>
      <c r="U10" s="923"/>
      <c r="V10" s="1021">
        <f>+'Appendix A'!H16</f>
        <v>0.15894128950099584</v>
      </c>
      <c r="W10" s="1021">
        <f>+'Appendix A'!H24</f>
        <v>0.21445500502225501</v>
      </c>
    </row>
    <row r="11" spans="1:23">
      <c r="A11" s="923"/>
      <c r="B11" s="559"/>
      <c r="C11" s="559"/>
      <c r="D11" s="559"/>
      <c r="E11" s="559"/>
      <c r="F11" s="559"/>
      <c r="G11" s="559"/>
      <c r="H11" s="559"/>
      <c r="I11" s="559"/>
      <c r="J11" s="559"/>
      <c r="K11" s="559"/>
      <c r="L11" s="559"/>
      <c r="M11" s="559"/>
      <c r="N11" s="923"/>
      <c r="O11" s="923"/>
      <c r="P11" s="923"/>
      <c r="Q11" s="923"/>
      <c r="R11" s="923"/>
      <c r="S11" s="923"/>
      <c r="T11" s="923"/>
      <c r="U11" s="923"/>
      <c r="V11" s="923"/>
      <c r="W11" s="923"/>
    </row>
    <row r="12" spans="1:23">
      <c r="A12" s="923">
        <v>1</v>
      </c>
      <c r="B12" s="559" t="s">
        <v>957</v>
      </c>
      <c r="C12" s="559"/>
      <c r="D12" s="559"/>
      <c r="E12" s="559"/>
      <c r="F12" s="1146">
        <v>-2886765</v>
      </c>
      <c r="G12" s="1146">
        <v>-1393420</v>
      </c>
      <c r="H12" s="1146">
        <v>-990541</v>
      </c>
      <c r="I12" s="1146">
        <v>-1012233</v>
      </c>
      <c r="J12" s="1146">
        <v>-1497841</v>
      </c>
      <c r="K12" s="1146">
        <v>-1903272</v>
      </c>
      <c r="L12" s="1146">
        <v>-2347209</v>
      </c>
      <c r="M12" s="1146">
        <v>-857734</v>
      </c>
      <c r="N12" s="1146">
        <v>-1198926</v>
      </c>
      <c r="O12" s="1146">
        <v>-1506645</v>
      </c>
      <c r="P12" s="1146">
        <v>-1903758</v>
      </c>
      <c r="Q12" s="1146">
        <v>-2203532</v>
      </c>
      <c r="R12" s="1146">
        <v>-718965</v>
      </c>
      <c r="S12" s="1146">
        <v>-1570834</v>
      </c>
      <c r="T12" s="868"/>
      <c r="U12" s="868">
        <f>+S12</f>
        <v>-1570834</v>
      </c>
      <c r="V12" s="868"/>
      <c r="W12" s="868"/>
    </row>
    <row r="13" spans="1:23">
      <c r="A13" s="923"/>
      <c r="B13" s="559"/>
      <c r="C13" s="559"/>
      <c r="D13" s="559"/>
      <c r="E13" s="559"/>
      <c r="F13" s="1025"/>
      <c r="G13" s="1025"/>
      <c r="H13" s="1025"/>
      <c r="I13" s="1025"/>
      <c r="J13" s="1025"/>
      <c r="K13" s="1025"/>
      <c r="L13" s="1026"/>
      <c r="M13" s="1026"/>
      <c r="N13" s="1027"/>
      <c r="O13" s="1027"/>
      <c r="P13" s="1027"/>
      <c r="Q13" s="1027"/>
      <c r="R13" s="1027"/>
      <c r="S13" s="1026"/>
      <c r="T13" s="868"/>
      <c r="U13" s="868"/>
      <c r="V13" s="868"/>
      <c r="W13" s="868"/>
    </row>
    <row r="14" spans="1:23">
      <c r="A14" s="923">
        <f>+A12+1</f>
        <v>2</v>
      </c>
      <c r="B14" s="559" t="s">
        <v>958</v>
      </c>
      <c r="C14" s="559"/>
      <c r="D14" s="559"/>
      <c r="E14" s="559"/>
      <c r="F14" s="1146">
        <v>-12102023</v>
      </c>
      <c r="G14" s="1146">
        <v>-12540794</v>
      </c>
      <c r="H14" s="1146">
        <v>-13458451</v>
      </c>
      <c r="I14" s="1146">
        <v>-8231610</v>
      </c>
      <c r="J14" s="1146">
        <v>-8177677</v>
      </c>
      <c r="K14" s="1146">
        <v>-8879484</v>
      </c>
      <c r="L14" s="1146">
        <v>-9878534</v>
      </c>
      <c r="M14" s="1146">
        <v>-10728842</v>
      </c>
      <c r="N14" s="1146">
        <v>-10760185</v>
      </c>
      <c r="O14" s="1146">
        <v>-11430194</v>
      </c>
      <c r="P14" s="1146">
        <v>-12208218</v>
      </c>
      <c r="Q14" s="1146">
        <v>-11781619</v>
      </c>
      <c r="R14" s="1146">
        <v>-12424615</v>
      </c>
      <c r="S14" s="1146">
        <v>-10969404</v>
      </c>
      <c r="T14" s="868"/>
      <c r="U14" s="868"/>
      <c r="V14" s="868">
        <f>+S14*V10</f>
        <v>-1743491.2168173818</v>
      </c>
      <c r="W14" s="868"/>
    </row>
    <row r="15" spans="1:23">
      <c r="A15" s="923"/>
      <c r="B15" s="559"/>
      <c r="C15" s="559"/>
      <c r="D15" s="559"/>
      <c r="E15" s="559"/>
      <c r="F15" s="1025"/>
      <c r="G15" s="1025"/>
      <c r="H15" s="1025"/>
      <c r="I15" s="1025"/>
      <c r="J15" s="1025"/>
      <c r="K15" s="1025"/>
      <c r="L15" s="1026"/>
      <c r="M15" s="1026"/>
      <c r="N15" s="1027"/>
      <c r="O15" s="1027"/>
      <c r="P15" s="1027"/>
      <c r="Q15" s="1027"/>
      <c r="R15" s="1027"/>
      <c r="S15" s="1026"/>
      <c r="T15" s="868"/>
      <c r="U15" s="868"/>
      <c r="V15" s="868"/>
      <c r="W15" s="868"/>
    </row>
    <row r="16" spans="1:23">
      <c r="A16" s="923">
        <f>+A14+1</f>
        <v>3</v>
      </c>
      <c r="B16" s="559" t="s">
        <v>959</v>
      </c>
      <c r="C16" s="559"/>
      <c r="D16" s="559"/>
      <c r="E16" s="559"/>
      <c r="F16" s="1146">
        <v>0</v>
      </c>
      <c r="G16" s="1146">
        <v>-977546</v>
      </c>
      <c r="H16" s="1146">
        <v>64</v>
      </c>
      <c r="I16" s="1146">
        <v>-968253</v>
      </c>
      <c r="J16" s="1146">
        <v>-688489</v>
      </c>
      <c r="K16" s="1146">
        <v>7103</v>
      </c>
      <c r="L16" s="1146">
        <v>-722320</v>
      </c>
      <c r="M16" s="1146">
        <v>-771052</v>
      </c>
      <c r="N16" s="1146">
        <v>-1811366</v>
      </c>
      <c r="O16" s="1146">
        <v>-630308</v>
      </c>
      <c r="P16" s="1146">
        <v>7680</v>
      </c>
      <c r="Q16" s="1146">
        <v>-2022507</v>
      </c>
      <c r="R16" s="1146">
        <v>0</v>
      </c>
      <c r="S16" s="1146">
        <v>-659769</v>
      </c>
      <c r="T16" s="868"/>
      <c r="U16" s="868">
        <f>+S16</f>
        <v>-659769</v>
      </c>
      <c r="V16" s="868"/>
      <c r="W16" s="868"/>
    </row>
    <row r="17" spans="1:23">
      <c r="A17" s="923"/>
      <c r="B17" s="559"/>
      <c r="C17" s="559"/>
      <c r="D17" s="559"/>
      <c r="E17" s="559"/>
      <c r="F17" s="1025"/>
      <c r="G17" s="1025"/>
      <c r="H17" s="1025"/>
      <c r="I17" s="1025"/>
      <c r="J17" s="1025"/>
      <c r="K17" s="1025"/>
      <c r="L17" s="1026"/>
      <c r="M17" s="1026"/>
      <c r="N17" s="1027"/>
      <c r="O17" s="1027"/>
      <c r="P17" s="1027"/>
      <c r="Q17" s="1027"/>
      <c r="R17" s="1027"/>
      <c r="S17" s="1026"/>
      <c r="T17" s="868"/>
      <c r="U17" s="868"/>
      <c r="V17" s="868"/>
      <c r="W17" s="868"/>
    </row>
    <row r="18" spans="1:23">
      <c r="A18" s="923">
        <f>+A16+1</f>
        <v>4</v>
      </c>
      <c r="B18" s="559" t="s">
        <v>297</v>
      </c>
      <c r="C18" s="559"/>
      <c r="D18" s="559"/>
      <c r="E18" s="559"/>
      <c r="F18" s="1147">
        <v>-4738492</v>
      </c>
      <c r="G18" s="1147">
        <v>-5957385</v>
      </c>
      <c r="H18" s="1147">
        <v>-5781873</v>
      </c>
      <c r="I18" s="1147">
        <v>-3996258</v>
      </c>
      <c r="J18" s="1147">
        <v>-3588883</v>
      </c>
      <c r="K18" s="1147">
        <v>-3677840</v>
      </c>
      <c r="L18" s="1147">
        <v>-4523738</v>
      </c>
      <c r="M18" s="1147">
        <v>-4640431</v>
      </c>
      <c r="N18" s="1147">
        <v>-4623348</v>
      </c>
      <c r="O18" s="1147">
        <v>-4469166</v>
      </c>
      <c r="P18" s="1147">
        <v>-4954101</v>
      </c>
      <c r="Q18" s="1147">
        <v>-5128666</v>
      </c>
      <c r="R18" s="1147">
        <v>-7065378</v>
      </c>
      <c r="S18" s="1147">
        <v>-4857351</v>
      </c>
      <c r="T18" s="868"/>
      <c r="U18" s="868">
        <f>+S18</f>
        <v>-4857351</v>
      </c>
      <c r="V18" s="868"/>
      <c r="W18" s="868"/>
    </row>
    <row r="19" spans="1:23">
      <c r="A19" s="923"/>
      <c r="B19" s="559"/>
      <c r="C19" s="559"/>
      <c r="D19" s="559"/>
      <c r="E19" s="559"/>
      <c r="F19" s="864"/>
      <c r="G19" s="864"/>
      <c r="H19" s="864"/>
      <c r="I19" s="864"/>
      <c r="J19" s="864"/>
      <c r="K19" s="864"/>
      <c r="L19" s="864"/>
      <c r="M19" s="864"/>
      <c r="N19" s="923"/>
      <c r="O19" s="923"/>
      <c r="P19" s="923"/>
      <c r="Q19" s="923"/>
      <c r="R19" s="923"/>
      <c r="S19" s="868"/>
      <c r="T19" s="868"/>
      <c r="U19" s="868"/>
      <c r="V19" s="868"/>
      <c r="W19" s="868"/>
    </row>
    <row r="20" spans="1:23">
      <c r="A20" s="923">
        <f>+A18+1</f>
        <v>5</v>
      </c>
      <c r="B20" s="559" t="s">
        <v>69</v>
      </c>
      <c r="C20" s="559"/>
      <c r="D20" s="559"/>
      <c r="E20" s="559"/>
      <c r="F20" s="864">
        <f>+SUM(F12:F18)</f>
        <v>-19727280</v>
      </c>
      <c r="G20" s="864">
        <f t="shared" ref="G20:R20" si="0">+SUM(G12:G18)</f>
        <v>-20869145</v>
      </c>
      <c r="H20" s="864">
        <f t="shared" si="0"/>
        <v>-20230801</v>
      </c>
      <c r="I20" s="864">
        <f t="shared" si="0"/>
        <v>-14208354</v>
      </c>
      <c r="J20" s="864">
        <f t="shared" si="0"/>
        <v>-13952890</v>
      </c>
      <c r="K20" s="864">
        <f t="shared" si="0"/>
        <v>-14453493</v>
      </c>
      <c r="L20" s="864">
        <f t="shared" si="0"/>
        <v>-17471801</v>
      </c>
      <c r="M20" s="864">
        <f t="shared" si="0"/>
        <v>-16998059</v>
      </c>
      <c r="N20" s="864">
        <f t="shared" si="0"/>
        <v>-18393825</v>
      </c>
      <c r="O20" s="864">
        <f t="shared" si="0"/>
        <v>-18036313</v>
      </c>
      <c r="P20" s="864">
        <f t="shared" si="0"/>
        <v>-19058397</v>
      </c>
      <c r="Q20" s="864">
        <f t="shared" si="0"/>
        <v>-21136324</v>
      </c>
      <c r="R20" s="864">
        <f t="shared" si="0"/>
        <v>-20208958</v>
      </c>
      <c r="S20" s="875">
        <f>+SUM(F20:R20)/13</f>
        <v>-18057356.923076924</v>
      </c>
      <c r="T20" s="868"/>
      <c r="U20" s="864">
        <f t="shared" ref="U20:W20" si="1">+SUM(U12:U18)</f>
        <v>-7087954</v>
      </c>
      <c r="V20" s="864">
        <f t="shared" si="1"/>
        <v>-1743491.2168173818</v>
      </c>
      <c r="W20" s="864">
        <f t="shared" si="1"/>
        <v>0</v>
      </c>
    </row>
    <row r="21" spans="1:23">
      <c r="A21" s="923"/>
      <c r="B21" s="559"/>
      <c r="C21" s="559"/>
      <c r="D21" s="559"/>
      <c r="E21" s="559"/>
      <c r="F21" s="559"/>
      <c r="G21" s="559"/>
      <c r="H21" s="559"/>
      <c r="I21" s="559"/>
      <c r="J21" s="559"/>
      <c r="K21" s="559"/>
      <c r="L21" s="559"/>
      <c r="M21" s="559"/>
      <c r="N21" s="923"/>
      <c r="O21" s="923"/>
      <c r="P21" s="923"/>
      <c r="Q21" s="923"/>
      <c r="R21" s="923"/>
      <c r="S21" s="868"/>
      <c r="T21" s="868"/>
      <c r="U21" s="868"/>
      <c r="V21" s="868"/>
      <c r="W21" s="868"/>
    </row>
    <row r="22" spans="1:23">
      <c r="A22" s="923">
        <f>+A20+1</f>
        <v>6</v>
      </c>
      <c r="B22" s="559" t="s">
        <v>960</v>
      </c>
      <c r="C22" s="559"/>
      <c r="D22" s="559"/>
      <c r="E22" s="559"/>
      <c r="F22" s="700"/>
      <c r="G22" s="700"/>
      <c r="H22" s="700"/>
      <c r="I22" s="700"/>
      <c r="J22" s="700"/>
      <c r="K22" s="700"/>
      <c r="L22" s="559"/>
      <c r="M22" s="559"/>
      <c r="N22" s="923"/>
      <c r="O22" s="923"/>
      <c r="P22" s="923"/>
      <c r="Q22" s="923"/>
      <c r="R22" s="923"/>
      <c r="S22" s="868"/>
      <c r="T22" s="868"/>
      <c r="U22" s="868"/>
      <c r="V22" s="868"/>
      <c r="W22" s="868">
        <f>+W20+V20</f>
        <v>-1743491.2168173818</v>
      </c>
    </row>
    <row r="23" spans="1:23">
      <c r="A23" s="923"/>
      <c r="B23" s="559"/>
      <c r="C23" s="559"/>
      <c r="D23" s="559"/>
      <c r="E23" s="559"/>
      <c r="F23" s="991"/>
      <c r="G23" s="992"/>
      <c r="H23" s="991"/>
      <c r="I23" s="734"/>
      <c r="J23" s="559"/>
      <c r="K23" s="559"/>
      <c r="L23" s="559"/>
      <c r="M23" s="559"/>
      <c r="N23" s="923"/>
      <c r="O23" s="923"/>
      <c r="P23" s="923"/>
      <c r="Q23" s="923"/>
      <c r="R23" s="923"/>
      <c r="S23" s="923"/>
      <c r="T23" s="923"/>
      <c r="U23" s="923"/>
      <c r="V23" s="923"/>
      <c r="W23" s="923"/>
    </row>
    <row r="24" spans="1:23">
      <c r="A24" s="923"/>
      <c r="B24" s="559"/>
      <c r="C24" s="559"/>
      <c r="D24" s="559"/>
      <c r="E24" s="559"/>
      <c r="F24" s="864"/>
      <c r="G24" s="864"/>
      <c r="H24" s="864"/>
      <c r="I24" s="864"/>
      <c r="J24" s="864"/>
      <c r="K24" s="864"/>
      <c r="L24" s="864"/>
      <c r="M24" s="871"/>
      <c r="N24" s="923"/>
      <c r="O24" s="923"/>
      <c r="P24" s="923"/>
      <c r="Q24" s="923"/>
      <c r="R24" s="923"/>
      <c r="S24" s="923"/>
      <c r="T24" s="923"/>
      <c r="U24" s="923"/>
      <c r="V24" s="923"/>
      <c r="W24" s="923"/>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J16" sqref="J16"/>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1214" t="str">
        <f>+'9 - Excess ADIT'!I2</f>
        <v>Dayton Power and Light</v>
      </c>
      <c r="B1" s="1214"/>
      <c r="C1" s="1214"/>
      <c r="D1" s="1214"/>
      <c r="E1" s="1214"/>
      <c r="F1" s="1214"/>
      <c r="G1" s="1214"/>
      <c r="H1" s="923"/>
      <c r="I1" s="923"/>
    </row>
    <row r="2" spans="1:9" ht="18">
      <c r="A2" s="1215" t="str">
        <f>+'9 - Excess ADIT'!I3</f>
        <v xml:space="preserve">ATTACHMENT H-15A </v>
      </c>
      <c r="B2" s="1215"/>
      <c r="C2" s="1215"/>
      <c r="D2" s="1215"/>
      <c r="E2" s="1215"/>
      <c r="F2" s="1215"/>
      <c r="G2" s="1215"/>
      <c r="H2" s="923"/>
      <c r="I2" s="923"/>
    </row>
    <row r="3" spans="1:9" ht="18">
      <c r="A3" s="1216" t="s">
        <v>961</v>
      </c>
      <c r="B3" s="1216"/>
      <c r="C3" s="1216"/>
      <c r="D3" s="1216"/>
      <c r="E3" s="1216"/>
      <c r="F3" s="1216"/>
      <c r="G3" s="1216"/>
      <c r="H3" s="923"/>
      <c r="I3" s="923"/>
    </row>
    <row r="4" spans="1:9" ht="59.45" customHeight="1">
      <c r="A4" s="241"/>
      <c r="B4" s="214"/>
      <c r="C4" s="214"/>
      <c r="D4" s="214"/>
      <c r="E4" s="214"/>
      <c r="F4" s="763"/>
      <c r="G4" s="757"/>
      <c r="H4" s="923"/>
      <c r="I4" s="878"/>
    </row>
    <row r="5" spans="1:9" ht="15.75">
      <c r="A5" s="241"/>
      <c r="B5" s="214"/>
      <c r="C5" s="214"/>
      <c r="D5" s="214"/>
      <c r="E5" s="214"/>
      <c r="F5" s="214"/>
      <c r="G5" s="757"/>
      <c r="H5" s="923"/>
      <c r="I5" s="923"/>
    </row>
    <row r="6" spans="1:9" ht="15.75">
      <c r="A6" s="241"/>
      <c r="B6" s="214" t="s">
        <v>417</v>
      </c>
      <c r="C6" s="214"/>
      <c r="D6" s="214"/>
      <c r="E6" s="214"/>
      <c r="F6" s="214"/>
      <c r="G6" s="757"/>
      <c r="H6" s="923"/>
      <c r="I6" s="923"/>
    </row>
    <row r="7" spans="1:9" ht="15.75">
      <c r="A7" s="762"/>
      <c r="B7" s="761"/>
      <c r="C7" s="762"/>
      <c r="D7" s="760" t="s">
        <v>341</v>
      </c>
      <c r="E7" s="762"/>
      <c r="F7" s="760" t="s">
        <v>342</v>
      </c>
      <c r="G7" s="765"/>
      <c r="H7" s="923"/>
      <c r="I7" s="923"/>
    </row>
    <row r="8" spans="1:9" ht="15.75">
      <c r="A8" s="214"/>
      <c r="B8" s="214"/>
      <c r="C8" s="214"/>
      <c r="D8" s="214"/>
      <c r="E8" s="214"/>
      <c r="F8" s="611" t="s">
        <v>962</v>
      </c>
      <c r="G8" s="756"/>
      <c r="H8" s="923"/>
      <c r="I8" s="923"/>
    </row>
    <row r="9" spans="1:9" ht="15.75">
      <c r="A9" s="214"/>
      <c r="B9" s="214"/>
      <c r="C9" s="214"/>
      <c r="D9" s="611" t="s">
        <v>963</v>
      </c>
      <c r="E9" s="214"/>
      <c r="F9" s="759"/>
      <c r="G9" s="757"/>
      <c r="H9" s="923"/>
      <c r="I9" s="923"/>
    </row>
    <row r="10" spans="1:9" ht="15.75">
      <c r="A10" s="611" t="s">
        <v>883</v>
      </c>
      <c r="B10" s="214"/>
      <c r="C10" s="214"/>
      <c r="D10" s="611" t="s">
        <v>964</v>
      </c>
      <c r="E10" s="214"/>
      <c r="F10" s="611" t="s">
        <v>963</v>
      </c>
      <c r="G10" s="757"/>
      <c r="H10" s="923"/>
      <c r="I10" s="923"/>
    </row>
    <row r="11" spans="1:9" ht="15.75">
      <c r="A11" s="640" t="s">
        <v>965</v>
      </c>
      <c r="B11" s="605" t="s">
        <v>825</v>
      </c>
      <c r="C11" s="640" t="s">
        <v>966</v>
      </c>
      <c r="D11" s="640" t="s">
        <v>967</v>
      </c>
      <c r="E11" s="214"/>
      <c r="F11" s="640" t="s">
        <v>968</v>
      </c>
      <c r="G11" s="757"/>
      <c r="H11" s="923"/>
      <c r="I11" s="923"/>
    </row>
    <row r="12" spans="1:9" ht="15.75">
      <c r="A12" s="214"/>
      <c r="B12" s="214"/>
      <c r="C12" s="214"/>
      <c r="D12" s="214"/>
      <c r="E12" s="214"/>
      <c r="F12" s="640"/>
      <c r="G12" s="757"/>
      <c r="H12" s="923"/>
      <c r="I12" s="923"/>
    </row>
    <row r="13" spans="1:9" ht="15.75">
      <c r="A13" s="758">
        <v>1</v>
      </c>
      <c r="B13" s="755" t="s">
        <v>969</v>
      </c>
      <c r="C13" s="772"/>
      <c r="D13" s="9"/>
      <c r="E13" s="9"/>
      <c r="F13" s="754"/>
      <c r="G13" s="757"/>
      <c r="H13" s="923"/>
      <c r="I13" s="923"/>
    </row>
    <row r="14" spans="1:9" ht="15.75">
      <c r="A14" s="758">
        <f>+A13+1</f>
        <v>2</v>
      </c>
      <c r="B14" s="214" t="s">
        <v>970</v>
      </c>
      <c r="C14" s="772"/>
      <c r="D14" s="9"/>
      <c r="E14" s="9"/>
      <c r="F14" s="876">
        <v>0</v>
      </c>
      <c r="G14" s="757"/>
      <c r="H14" s="923"/>
      <c r="I14" s="923"/>
    </row>
    <row r="15" spans="1:9" ht="15.75">
      <c r="A15" s="758"/>
      <c r="B15" s="214"/>
      <c r="C15" s="214"/>
      <c r="D15" s="9"/>
      <c r="E15" s="9"/>
      <c r="F15" s="811"/>
      <c r="G15" s="757"/>
      <c r="H15" s="923"/>
      <c r="I15" s="923"/>
    </row>
    <row r="16" spans="1:9" ht="15.75">
      <c r="A16" s="758">
        <f>+A14+1</f>
        <v>3</v>
      </c>
      <c r="B16" s="766" t="s">
        <v>971</v>
      </c>
      <c r="C16" s="772"/>
      <c r="D16" s="773"/>
      <c r="E16" s="9"/>
      <c r="F16" s="812">
        <v>0</v>
      </c>
      <c r="G16" s="757"/>
      <c r="H16" s="923"/>
      <c r="I16" s="923"/>
    </row>
    <row r="17" spans="1:7" ht="15.75">
      <c r="A17" s="758">
        <f t="shared" ref="A17:A27" si="0">+A16+1</f>
        <v>4</v>
      </c>
      <c r="B17" s="766" t="s">
        <v>972</v>
      </c>
      <c r="C17" s="772"/>
      <c r="D17" s="773"/>
      <c r="E17" s="9"/>
      <c r="F17" s="876">
        <v>0</v>
      </c>
      <c r="G17" s="757"/>
    </row>
    <row r="18" spans="1:7" ht="15.75">
      <c r="A18" s="758"/>
      <c r="B18" s="214"/>
      <c r="C18" s="214"/>
      <c r="D18" s="559"/>
      <c r="E18" s="9"/>
      <c r="F18" s="811"/>
      <c r="G18" s="757"/>
    </row>
    <row r="19" spans="1:7" ht="15.75">
      <c r="A19" s="758">
        <f>+A17+1</f>
        <v>5</v>
      </c>
      <c r="B19" s="214" t="s">
        <v>973</v>
      </c>
      <c r="C19" s="214" t="str">
        <f>"(Line "&amp;A16&amp;" + Line "&amp;A17&amp;")"</f>
        <v>(Line 3 + Line 4)</v>
      </c>
      <c r="D19" s="559"/>
      <c r="E19" s="9"/>
      <c r="F19" s="877">
        <f>+F16+F17</f>
        <v>0</v>
      </c>
      <c r="G19" s="757"/>
    </row>
    <row r="20" spans="1:7" ht="15.75">
      <c r="A20" s="758"/>
      <c r="B20" s="214"/>
      <c r="C20" s="214"/>
      <c r="D20" s="9"/>
      <c r="E20" s="9"/>
      <c r="F20" s="811"/>
      <c r="G20" s="757"/>
    </row>
    <row r="21" spans="1:7" ht="15.75">
      <c r="A21" s="758">
        <f>+A19+1</f>
        <v>6</v>
      </c>
      <c r="B21" s="214" t="s">
        <v>974</v>
      </c>
      <c r="C21" s="214" t="str">
        <f>"(Line "&amp;A14&amp;" + Line "&amp;A19&amp;")"</f>
        <v>(Line 2 + Line 5)</v>
      </c>
      <c r="D21" s="9"/>
      <c r="E21" s="9"/>
      <c r="F21" s="811">
        <f>+F14+F19</f>
        <v>0</v>
      </c>
      <c r="G21" s="757"/>
    </row>
    <row r="22" spans="1:7" ht="15.75">
      <c r="A22" s="758"/>
      <c r="B22" s="214"/>
      <c r="C22" s="214"/>
      <c r="D22" s="9"/>
      <c r="E22" s="9"/>
      <c r="F22" s="811"/>
      <c r="G22" s="757"/>
    </row>
    <row r="23" spans="1:7" ht="15.75">
      <c r="A23" s="758">
        <f>+A21+1</f>
        <v>7</v>
      </c>
      <c r="B23" s="214" t="s">
        <v>973</v>
      </c>
      <c r="C23" s="214" t="str">
        <f>"(Line "&amp;A19&amp;")"</f>
        <v>(Line 5)</v>
      </c>
      <c r="D23" s="9"/>
      <c r="E23" s="9"/>
      <c r="F23" s="811">
        <f>+F19</f>
        <v>0</v>
      </c>
      <c r="G23" s="757"/>
    </row>
    <row r="24" spans="1:7" ht="15.75">
      <c r="A24" s="758"/>
      <c r="B24" s="214"/>
      <c r="C24" s="214"/>
      <c r="D24" s="214"/>
      <c r="E24" s="214"/>
      <c r="F24" s="214"/>
      <c r="G24" s="757"/>
    </row>
    <row r="25" spans="1:7" ht="15.75">
      <c r="A25" s="758">
        <f>+A23+1</f>
        <v>8</v>
      </c>
      <c r="B25" s="214" t="s">
        <v>975</v>
      </c>
      <c r="C25" s="214" t="s">
        <v>802</v>
      </c>
      <c r="D25" s="214"/>
      <c r="E25" s="214"/>
      <c r="F25" s="753">
        <v>0</v>
      </c>
      <c r="G25" s="757"/>
    </row>
    <row r="26" spans="1:7" ht="15.75">
      <c r="A26" s="758">
        <f t="shared" si="0"/>
        <v>9</v>
      </c>
      <c r="B26" s="214" t="s">
        <v>976</v>
      </c>
      <c r="C26" s="214" t="s">
        <v>977</v>
      </c>
      <c r="D26" s="214"/>
      <c r="E26" s="214"/>
      <c r="F26" s="812">
        <v>0</v>
      </c>
      <c r="G26" s="757"/>
    </row>
    <row r="27" spans="1:7" ht="15.75">
      <c r="A27" s="758">
        <f t="shared" si="0"/>
        <v>10</v>
      </c>
      <c r="B27" s="214" t="s">
        <v>978</v>
      </c>
      <c r="C27" s="214" t="s">
        <v>979</v>
      </c>
      <c r="D27" s="214"/>
      <c r="E27" s="214"/>
      <c r="F27" s="877">
        <f>+F23*F25*F26</f>
        <v>0</v>
      </c>
      <c r="G27" s="757"/>
    </row>
    <row r="28" spans="1:7" ht="15.75">
      <c r="A28" s="758"/>
      <c r="B28" s="214"/>
      <c r="C28" s="214"/>
      <c r="D28" s="214"/>
      <c r="E28" s="214"/>
      <c r="F28" s="542"/>
      <c r="G28" s="757"/>
    </row>
    <row r="29" spans="1:7" ht="15.75">
      <c r="A29" s="758">
        <f>+A27+1</f>
        <v>11</v>
      </c>
      <c r="B29" s="214" t="s">
        <v>980</v>
      </c>
      <c r="C29" s="214" t="s">
        <v>981</v>
      </c>
      <c r="D29" s="214"/>
      <c r="E29" s="214"/>
      <c r="F29" s="811">
        <f>+F23+F27</f>
        <v>0</v>
      </c>
      <c r="G29" s="757"/>
    </row>
    <row r="30" spans="1:7" ht="15.75">
      <c r="A30" s="758"/>
      <c r="B30" s="214"/>
      <c r="C30" s="214"/>
      <c r="D30" s="214"/>
      <c r="E30" s="214"/>
      <c r="F30" s="214"/>
      <c r="G30" s="757"/>
    </row>
    <row r="31" spans="1:7" ht="15.75">
      <c r="A31" s="214"/>
      <c r="B31" s="214"/>
      <c r="C31" s="214"/>
      <c r="D31" s="214"/>
      <c r="E31" s="214"/>
      <c r="F31" s="214"/>
      <c r="G31" s="757"/>
    </row>
    <row r="32" spans="1:7" ht="15.75">
      <c r="A32" s="735" t="s">
        <v>982</v>
      </c>
      <c r="B32" s="214"/>
      <c r="C32" s="214"/>
      <c r="D32" s="214"/>
      <c r="E32" s="214"/>
      <c r="F32" s="214"/>
      <c r="G32" s="757"/>
    </row>
    <row r="33" spans="1:7" ht="43.9" customHeight="1">
      <c r="A33" s="752" t="s">
        <v>209</v>
      </c>
      <c r="B33" s="1213" t="s">
        <v>983</v>
      </c>
      <c r="C33" s="1213"/>
      <c r="D33" s="1213"/>
      <c r="E33" s="1213"/>
      <c r="F33" s="1213"/>
      <c r="G33" s="764"/>
    </row>
    <row r="34" spans="1:7" ht="54" customHeight="1">
      <c r="A34" s="752" t="s">
        <v>211</v>
      </c>
      <c r="B34" s="1213" t="s">
        <v>984</v>
      </c>
      <c r="C34" s="1213"/>
      <c r="D34" s="1213"/>
      <c r="E34" s="1213"/>
      <c r="F34" s="1213"/>
      <c r="G34" s="764"/>
    </row>
    <row r="35" spans="1:7">
      <c r="A35" s="559"/>
      <c r="B35" s="559"/>
      <c r="C35" s="559"/>
      <c r="D35" s="559"/>
      <c r="E35" s="559"/>
      <c r="F35" s="559"/>
      <c r="G35" s="923"/>
    </row>
    <row r="36" spans="1:7">
      <c r="A36" s="559"/>
      <c r="B36" s="559"/>
      <c r="C36" s="559"/>
      <c r="D36" s="559"/>
      <c r="E36" s="559"/>
      <c r="F36" s="559"/>
      <c r="G36" s="923"/>
    </row>
    <row r="37" spans="1:7">
      <c r="A37" s="559"/>
      <c r="B37" s="559"/>
      <c r="C37" s="559"/>
      <c r="D37" s="559"/>
      <c r="E37" s="559"/>
      <c r="F37" s="559"/>
      <c r="G37" s="923"/>
    </row>
    <row r="38" spans="1:7">
      <c r="A38" s="559"/>
      <c r="B38" s="559"/>
      <c r="C38" s="559"/>
      <c r="D38" s="559"/>
      <c r="E38" s="559"/>
      <c r="F38" s="559"/>
      <c r="G38" s="923"/>
    </row>
    <row r="39" spans="1:7">
      <c r="A39" s="559"/>
      <c r="B39" s="559"/>
      <c r="C39" s="559"/>
      <c r="D39" s="559"/>
      <c r="E39" s="559"/>
      <c r="F39" s="559"/>
      <c r="G39" s="923"/>
    </row>
    <row r="40" spans="1:7">
      <c r="A40" s="559"/>
      <c r="B40" s="559"/>
      <c r="C40" s="559"/>
      <c r="D40" s="559"/>
      <c r="E40" s="559"/>
      <c r="F40" s="559"/>
      <c r="G40" s="923"/>
    </row>
    <row r="41" spans="1:7">
      <c r="A41" s="559"/>
      <c r="B41" s="559"/>
      <c r="C41" s="559"/>
      <c r="D41" s="559"/>
      <c r="E41" s="559"/>
      <c r="F41" s="559"/>
      <c r="G41" s="923"/>
    </row>
    <row r="42" spans="1:7">
      <c r="A42" s="559"/>
      <c r="B42" s="559"/>
      <c r="C42" s="559"/>
      <c r="D42" s="559"/>
      <c r="E42" s="559"/>
      <c r="F42" s="559"/>
      <c r="G42" s="923"/>
    </row>
    <row r="43" spans="1:7">
      <c r="A43" s="559"/>
      <c r="B43" s="559"/>
      <c r="C43" s="559"/>
      <c r="D43" s="559"/>
      <c r="E43" s="559"/>
      <c r="F43" s="559"/>
      <c r="G43" s="923"/>
    </row>
    <row r="44" spans="1:7">
      <c r="A44" s="559"/>
      <c r="B44" s="559"/>
      <c r="C44" s="559"/>
      <c r="D44" s="559"/>
      <c r="E44" s="559"/>
      <c r="F44" s="559"/>
      <c r="G44" s="923"/>
    </row>
    <row r="45" spans="1:7">
      <c r="A45" s="559"/>
      <c r="B45" s="559"/>
      <c r="C45" s="559"/>
      <c r="D45" s="559"/>
      <c r="E45" s="559"/>
      <c r="F45" s="559"/>
      <c r="G45" s="923"/>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O18" sqref="O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A1" s="923"/>
      <c r="B1" s="923"/>
      <c r="C1" s="923"/>
      <c r="D1" s="923"/>
      <c r="E1" s="923"/>
      <c r="F1" s="570" t="s">
        <v>0</v>
      </c>
      <c r="G1" s="923"/>
      <c r="H1" s="923"/>
      <c r="I1" s="923"/>
      <c r="J1" s="923"/>
      <c r="K1" s="923"/>
      <c r="L1" s="559"/>
      <c r="M1" s="923"/>
    </row>
    <row r="2" spans="1:13" ht="18">
      <c r="A2" s="923"/>
      <c r="B2" s="923"/>
      <c r="C2" s="923"/>
      <c r="D2" s="923"/>
      <c r="E2" s="923"/>
      <c r="F2" s="570" t="s">
        <v>985</v>
      </c>
      <c r="G2" s="923"/>
      <c r="H2" s="923"/>
      <c r="I2" s="923"/>
      <c r="J2" s="923"/>
      <c r="K2" s="923"/>
      <c r="L2" s="923"/>
      <c r="M2" s="923"/>
    </row>
    <row r="3" spans="1:13" ht="18">
      <c r="A3" s="923"/>
      <c r="B3" s="923"/>
      <c r="C3" s="923"/>
      <c r="D3" s="923"/>
      <c r="E3" s="923"/>
      <c r="F3" s="570" t="s">
        <v>986</v>
      </c>
      <c r="G3" s="923"/>
      <c r="H3" s="923"/>
      <c r="I3" s="923"/>
      <c r="J3" s="923"/>
      <c r="K3" s="923"/>
      <c r="L3" s="923"/>
      <c r="M3" s="923"/>
    </row>
    <row r="5" spans="1:13">
      <c r="A5" s="559"/>
      <c r="B5" s="923"/>
      <c r="C5" s="923"/>
      <c r="D5" s="923"/>
      <c r="E5" s="923"/>
      <c r="F5" s="923"/>
      <c r="G5" s="923"/>
      <c r="H5" s="923"/>
      <c r="I5" s="923"/>
      <c r="J5" s="923"/>
      <c r="K5" s="923"/>
      <c r="L5" s="923"/>
      <c r="M5" s="923"/>
    </row>
    <row r="6" spans="1:13" ht="15">
      <c r="A6" s="214" t="s">
        <v>883</v>
      </c>
      <c r="B6" s="214"/>
      <c r="C6" s="214"/>
      <c r="D6" s="214"/>
      <c r="E6" s="214"/>
      <c r="F6" s="214"/>
      <c r="G6" s="214"/>
      <c r="H6" s="214"/>
      <c r="I6" s="214"/>
      <c r="J6" s="214"/>
      <c r="K6" s="214"/>
      <c r="L6" s="611" t="s">
        <v>987</v>
      </c>
      <c r="M6" s="611" t="s">
        <v>988</v>
      </c>
    </row>
    <row r="7" spans="1:13" ht="15">
      <c r="A7" s="214"/>
      <c r="B7" s="214" t="s">
        <v>807</v>
      </c>
      <c r="C7" s="214"/>
      <c r="D7" s="214"/>
      <c r="E7" s="214"/>
      <c r="F7" s="214"/>
      <c r="G7" s="214"/>
      <c r="H7" s="214"/>
      <c r="I7" s="214"/>
      <c r="J7" s="214"/>
      <c r="K7" s="214"/>
      <c r="L7" s="640" t="s">
        <v>989</v>
      </c>
      <c r="M7" s="640" t="s">
        <v>990</v>
      </c>
    </row>
    <row r="8" spans="1:13" ht="15">
      <c r="A8" s="611">
        <v>1</v>
      </c>
      <c r="B8" s="214"/>
      <c r="C8" s="214" t="s">
        <v>991</v>
      </c>
      <c r="D8" s="214"/>
      <c r="E8" s="214"/>
      <c r="F8" s="214"/>
      <c r="G8" s="214"/>
      <c r="H8" s="214"/>
      <c r="I8" s="214"/>
      <c r="J8" s="1148">
        <v>17639</v>
      </c>
      <c r="K8" s="214"/>
      <c r="L8" s="611" t="s">
        <v>992</v>
      </c>
      <c r="M8" s="214">
        <v>561.1</v>
      </c>
    </row>
    <row r="9" spans="1:13" ht="15">
      <c r="A9" s="611"/>
      <c r="B9" s="214"/>
      <c r="C9" s="214"/>
      <c r="D9" s="214"/>
      <c r="E9" s="214"/>
      <c r="F9" s="214"/>
      <c r="G9" s="214"/>
      <c r="H9" s="214"/>
      <c r="I9" s="214"/>
      <c r="J9" s="542"/>
      <c r="K9" s="214"/>
      <c r="L9" s="611"/>
      <c r="M9" s="214"/>
    </row>
    <row r="10" spans="1:13" ht="15">
      <c r="A10" s="611">
        <f>+A8+1</f>
        <v>2</v>
      </c>
      <c r="B10" s="214"/>
      <c r="C10" s="214" t="s">
        <v>993</v>
      </c>
      <c r="D10" s="214"/>
      <c r="E10" s="214"/>
      <c r="F10" s="214"/>
      <c r="G10" s="214"/>
      <c r="H10" s="214"/>
      <c r="I10" s="214"/>
      <c r="J10" s="1144">
        <v>1009357</v>
      </c>
      <c r="K10" s="214"/>
      <c r="L10" s="611" t="s">
        <v>994</v>
      </c>
      <c r="M10" s="214">
        <v>561.20000000000005</v>
      </c>
    </row>
    <row r="11" spans="1:13" ht="15">
      <c r="A11" s="611"/>
      <c r="B11" s="214"/>
      <c r="C11" s="214"/>
      <c r="D11" s="214"/>
      <c r="E11" s="214"/>
      <c r="F11" s="214"/>
      <c r="G11" s="214"/>
      <c r="H11" s="214"/>
      <c r="I11" s="214"/>
      <c r="J11" s="542"/>
      <c r="K11" s="214"/>
      <c r="L11" s="611"/>
      <c r="M11" s="214"/>
    </row>
    <row r="12" spans="1:13" ht="15">
      <c r="A12" s="611">
        <f>+A10+1</f>
        <v>3</v>
      </c>
      <c r="B12" s="214"/>
      <c r="C12" s="214" t="s">
        <v>995</v>
      </c>
      <c r="D12" s="214"/>
      <c r="E12" s="214"/>
      <c r="F12" s="214"/>
      <c r="G12" s="214"/>
      <c r="H12" s="214"/>
      <c r="I12" s="214"/>
      <c r="J12" s="1144">
        <v>0</v>
      </c>
      <c r="K12" s="214"/>
      <c r="L12" s="611" t="s">
        <v>996</v>
      </c>
      <c r="M12" s="214">
        <v>561.29999999999995</v>
      </c>
    </row>
    <row r="13" spans="1:13" s="888" customFormat="1" ht="15">
      <c r="A13" s="611"/>
      <c r="B13" s="214"/>
      <c r="C13" s="214"/>
      <c r="D13" s="214"/>
      <c r="E13" s="214"/>
      <c r="F13" s="214"/>
      <c r="G13" s="214"/>
      <c r="H13" s="214"/>
      <c r="I13" s="214"/>
      <c r="J13" s="1023"/>
      <c r="K13" s="214"/>
      <c r="L13" s="611"/>
      <c r="M13" s="214"/>
    </row>
    <row r="14" spans="1:13" ht="15">
      <c r="A14" s="611">
        <f>+A12+1</f>
        <v>4</v>
      </c>
      <c r="B14" s="214"/>
      <c r="C14" s="214" t="s">
        <v>997</v>
      </c>
      <c r="D14" s="214"/>
      <c r="E14" s="214"/>
      <c r="F14" s="214"/>
      <c r="G14" s="214"/>
      <c r="H14" s="214"/>
      <c r="I14" s="214"/>
      <c r="J14" s="1153">
        <v>-92967.54</v>
      </c>
      <c r="K14" s="214"/>
      <c r="L14" s="611" t="s">
        <v>998</v>
      </c>
      <c r="M14" s="214"/>
    </row>
    <row r="15" spans="1:13" s="888" customFormat="1" ht="15">
      <c r="A15" s="611"/>
      <c r="B15" s="214"/>
      <c r="C15" s="214"/>
      <c r="D15" s="214"/>
      <c r="E15" s="214"/>
      <c r="F15" s="214"/>
      <c r="G15" s="214"/>
      <c r="H15" s="214"/>
      <c r="I15" s="214"/>
      <c r="J15" s="214"/>
      <c r="K15" s="214"/>
      <c r="L15" s="611"/>
      <c r="M15" s="214"/>
    </row>
    <row r="16" spans="1:13" ht="28.9" customHeight="1">
      <c r="A16" s="611">
        <f>+A14+1</f>
        <v>5</v>
      </c>
      <c r="B16" s="214"/>
      <c r="C16" s="214" t="s">
        <v>69</v>
      </c>
      <c r="D16" s="214"/>
      <c r="E16" s="214"/>
      <c r="F16" s="214"/>
      <c r="G16" s="214"/>
      <c r="H16" s="214"/>
      <c r="I16" s="214"/>
      <c r="J16" s="542">
        <f>+SUM(J8:J14)</f>
        <v>934028.46</v>
      </c>
      <c r="K16" s="214"/>
      <c r="L16" s="957" t="str">
        <f>"(Line "&amp;A8&amp;" + Line "&amp;A10&amp;" + Line "&amp;A12&amp;" + Line "&amp;A14&amp;")"</f>
        <v>(Line 1 + Line 2 + Line 3 + Line 4)</v>
      </c>
      <c r="M16" s="214"/>
    </row>
    <row r="17" spans="1:13" ht="15">
      <c r="A17" s="611"/>
      <c r="B17" s="214"/>
      <c r="C17" s="214"/>
      <c r="D17" s="214"/>
      <c r="E17" s="214"/>
      <c r="F17" s="214"/>
      <c r="G17" s="214"/>
      <c r="H17" s="214"/>
      <c r="I17" s="214"/>
      <c r="J17" s="542"/>
      <c r="K17" s="214"/>
      <c r="L17" s="611"/>
      <c r="M17" s="214"/>
    </row>
    <row r="18" spans="1:13" ht="105">
      <c r="A18" s="611">
        <f>+A16+1</f>
        <v>6</v>
      </c>
      <c r="B18" s="214" t="s">
        <v>999</v>
      </c>
      <c r="C18" s="214"/>
      <c r="D18" s="214"/>
      <c r="E18" s="214"/>
      <c r="F18" s="214"/>
      <c r="G18" s="214"/>
      <c r="H18" s="214"/>
      <c r="I18" s="214"/>
      <c r="J18" s="1144">
        <v>13873833</v>
      </c>
      <c r="K18" s="214"/>
      <c r="L18" s="957" t="s">
        <v>1019</v>
      </c>
      <c r="M18" s="214"/>
    </row>
    <row r="19" spans="1:13" ht="15">
      <c r="A19" s="611"/>
      <c r="B19" s="214"/>
      <c r="C19" s="214"/>
      <c r="D19" s="214"/>
      <c r="E19" s="214"/>
      <c r="F19" s="214"/>
      <c r="G19" s="214"/>
      <c r="H19" s="214"/>
      <c r="I19" s="214"/>
      <c r="J19" s="214"/>
      <c r="K19" s="214"/>
      <c r="L19" s="611"/>
      <c r="M19" s="214"/>
    </row>
    <row r="20" spans="1:13" ht="15">
      <c r="A20" s="611">
        <f>+A18+1</f>
        <v>7</v>
      </c>
      <c r="B20" s="214" t="s">
        <v>1000</v>
      </c>
      <c r="C20" s="214"/>
      <c r="D20" s="214"/>
      <c r="E20" s="214"/>
      <c r="F20" s="214"/>
      <c r="G20" s="214"/>
      <c r="H20" s="214"/>
      <c r="I20" s="214"/>
      <c r="J20" s="1091">
        <f>+J16/J18</f>
        <v>6.732302889907929E-2</v>
      </c>
      <c r="K20" s="214"/>
      <c r="L20" s="611" t="str">
        <f>"(Line "&amp;A16&amp;" / Line "&amp;A18&amp;")"</f>
        <v>(Line 5 / Line 6)</v>
      </c>
      <c r="M20" s="214"/>
    </row>
    <row r="21" spans="1:13" ht="15">
      <c r="A21" s="611"/>
      <c r="B21" s="214"/>
      <c r="C21" s="214"/>
      <c r="D21" s="214"/>
      <c r="E21" s="214"/>
      <c r="F21" s="214"/>
      <c r="G21" s="214"/>
      <c r="H21" s="214"/>
      <c r="I21" s="214"/>
      <c r="J21" s="214"/>
      <c r="K21" s="214"/>
      <c r="L21" s="214"/>
      <c r="M21" s="214"/>
    </row>
    <row r="22" spans="1:13">
      <c r="A22" s="606"/>
      <c r="B22" s="923"/>
      <c r="C22" s="923"/>
      <c r="D22" s="923"/>
      <c r="E22" s="923"/>
      <c r="F22" s="923"/>
      <c r="G22" s="923"/>
      <c r="H22" s="923"/>
      <c r="I22" s="923"/>
      <c r="J22" s="923"/>
      <c r="K22" s="923"/>
      <c r="L22" s="923"/>
      <c r="M22" s="923"/>
    </row>
    <row r="23" spans="1:13">
      <c r="A23" s="606"/>
      <c r="B23" s="923"/>
      <c r="C23" s="923"/>
      <c r="D23" s="923"/>
      <c r="E23" s="923"/>
      <c r="F23" s="923"/>
      <c r="G23" s="923"/>
      <c r="H23" s="923"/>
      <c r="I23" s="923"/>
      <c r="J23" s="923"/>
      <c r="K23" s="923"/>
      <c r="L23" s="923"/>
      <c r="M23" s="923"/>
    </row>
    <row r="24" spans="1:13">
      <c r="A24" s="606"/>
      <c r="B24" s="923"/>
      <c r="C24" s="923"/>
      <c r="D24" s="923"/>
      <c r="E24" s="923"/>
      <c r="F24" s="923"/>
      <c r="G24" s="923"/>
      <c r="H24" s="923"/>
      <c r="I24" s="923"/>
      <c r="J24" s="923"/>
      <c r="K24" s="923"/>
      <c r="L24" s="923"/>
      <c r="M24" s="923"/>
    </row>
    <row r="25" spans="1:13">
      <c r="A25" s="606"/>
      <c r="B25" s="923"/>
      <c r="C25" s="923"/>
      <c r="D25" s="923"/>
      <c r="E25" s="923"/>
      <c r="F25" s="923"/>
      <c r="G25" s="923"/>
      <c r="H25" s="923"/>
      <c r="I25" s="923"/>
      <c r="J25" s="923"/>
      <c r="K25" s="923"/>
      <c r="L25" s="923"/>
      <c r="M25" s="923"/>
    </row>
    <row r="26" spans="1:13">
      <c r="A26" s="606"/>
      <c r="B26" s="923"/>
      <c r="C26" s="923"/>
      <c r="D26" s="923"/>
      <c r="E26" s="923"/>
      <c r="F26" s="923"/>
      <c r="G26" s="923"/>
      <c r="H26" s="923"/>
      <c r="I26" s="923"/>
      <c r="J26" s="923"/>
      <c r="K26" s="923"/>
      <c r="L26" s="923"/>
      <c r="M26" s="923"/>
    </row>
    <row r="27" spans="1:13">
      <c r="A27" s="606"/>
      <c r="B27" s="923"/>
      <c r="C27" s="923"/>
      <c r="D27" s="923"/>
      <c r="E27" s="923"/>
      <c r="F27" s="923"/>
      <c r="G27" s="923"/>
      <c r="H27" s="923"/>
      <c r="I27" s="923"/>
      <c r="J27" s="923"/>
      <c r="K27" s="923"/>
      <c r="L27" s="923"/>
      <c r="M27" s="923"/>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8"/>
  <sheetViews>
    <sheetView showGridLines="0" zoomScale="55" zoomScaleNormal="55" workbookViewId="0">
      <selection activeCell="B86" sqref="B86"/>
    </sheetView>
  </sheetViews>
  <sheetFormatPr defaultColWidth="18.7109375" defaultRowHeight="15"/>
  <cols>
    <col min="1" max="1" width="5.5703125" style="214" customWidth="1"/>
    <col min="2" max="2" width="65.7109375" style="241" customWidth="1"/>
    <col min="3" max="3" width="60.5703125" style="214" bestFit="1" customWidth="1"/>
    <col min="4" max="4" width="22.7109375" style="214" customWidth="1"/>
    <col min="5" max="5" width="28.7109375" style="214" customWidth="1"/>
    <col min="6" max="6" width="24.28515625" style="214" customWidth="1"/>
    <col min="7" max="7" width="24" style="214" bestFit="1" customWidth="1"/>
    <col min="8" max="8" width="24" style="214" customWidth="1"/>
    <col min="9" max="9" width="124.7109375" style="214" customWidth="1"/>
    <col min="10" max="16384" width="18.7109375" style="214"/>
  </cols>
  <sheetData>
    <row r="1" spans="1:9" ht="18">
      <c r="B1" s="1164" t="str">
        <f>+'Appendix A'!A3</f>
        <v>Dayton Power and Light</v>
      </c>
      <c r="C1" s="1164"/>
      <c r="D1" s="1164"/>
      <c r="E1" s="1164"/>
      <c r="F1" s="1164"/>
      <c r="G1" s="1164"/>
      <c r="H1" s="1164"/>
      <c r="I1" s="1164"/>
    </row>
    <row r="2" spans="1:9" ht="18">
      <c r="B2" s="1165" t="s">
        <v>1</v>
      </c>
      <c r="C2" s="1165"/>
      <c r="D2" s="1165"/>
      <c r="E2" s="1165"/>
      <c r="F2" s="1165"/>
      <c r="G2" s="1165"/>
      <c r="H2" s="1165"/>
      <c r="I2" s="1165"/>
    </row>
    <row r="3" spans="1:9" s="213" customFormat="1" ht="18">
      <c r="B3" s="1165" t="s">
        <v>256</v>
      </c>
      <c r="C3" s="1165"/>
      <c r="D3" s="1165"/>
      <c r="E3" s="1165"/>
      <c r="F3" s="1165"/>
      <c r="G3" s="1165"/>
      <c r="H3" s="1165"/>
      <c r="I3" s="1165"/>
    </row>
    <row r="4" spans="1:9">
      <c r="B4" s="222"/>
      <c r="C4" s="220"/>
      <c r="D4" s="220"/>
      <c r="E4" s="220"/>
      <c r="F4" s="220"/>
      <c r="G4" s="220"/>
      <c r="H4" s="220"/>
      <c r="I4" s="220"/>
    </row>
    <row r="5" spans="1:9" ht="18">
      <c r="B5" s="892"/>
      <c r="C5" s="4"/>
      <c r="D5" s="221" t="s">
        <v>257</v>
      </c>
      <c r="E5" s="221"/>
      <c r="F5" s="218"/>
      <c r="G5" s="221"/>
      <c r="H5" s="221"/>
      <c r="I5" s="878"/>
    </row>
    <row r="6" spans="1:9" ht="18">
      <c r="B6" s="222"/>
      <c r="C6" s="218"/>
      <c r="D6" s="221" t="s">
        <v>58</v>
      </c>
      <c r="E6" s="221" t="s">
        <v>258</v>
      </c>
      <c r="F6" s="221" t="s">
        <v>259</v>
      </c>
      <c r="G6" s="663"/>
      <c r="H6" s="221" t="s">
        <v>69</v>
      </c>
      <c r="I6" s="879"/>
    </row>
    <row r="7" spans="1:9" ht="18">
      <c r="B7" s="222"/>
      <c r="C7" s="218"/>
      <c r="D7" s="221" t="s">
        <v>260</v>
      </c>
      <c r="E7" s="221" t="s">
        <v>260</v>
      </c>
      <c r="F7" s="221" t="s">
        <v>260</v>
      </c>
      <c r="G7" s="663"/>
      <c r="H7" s="221" t="s">
        <v>261</v>
      </c>
      <c r="I7" s="879"/>
    </row>
    <row r="8" spans="1:9" s="547" customFormat="1" ht="25.5">
      <c r="B8" s="546"/>
      <c r="C8" s="543"/>
      <c r="D8" s="543"/>
      <c r="E8" s="543"/>
      <c r="F8" s="543"/>
      <c r="H8" s="543"/>
      <c r="I8" s="543"/>
    </row>
    <row r="9" spans="1:9" ht="15.75">
      <c r="A9" s="611">
        <v>1</v>
      </c>
      <c r="B9" s="222"/>
      <c r="C9" s="227" t="s">
        <v>262</v>
      </c>
      <c r="D9" s="224">
        <f>+E45</f>
        <v>0</v>
      </c>
      <c r="E9" s="224">
        <f>+F45</f>
        <v>431994</v>
      </c>
      <c r="F9" s="224">
        <f>+G45</f>
        <v>2318990</v>
      </c>
      <c r="G9" s="548"/>
      <c r="H9" s="224"/>
      <c r="I9" s="610" t="str">
        <f>"(Line "&amp;A45&amp;")"</f>
        <v>(Line 26)</v>
      </c>
    </row>
    <row r="10" spans="1:9" ht="15.75">
      <c r="A10" s="611">
        <f>+A9+1</f>
        <v>2</v>
      </c>
      <c r="B10" s="222"/>
      <c r="C10" s="227" t="s">
        <v>263</v>
      </c>
      <c r="D10" s="224">
        <f>+E64</f>
        <v>-2996030.95</v>
      </c>
      <c r="E10" s="224">
        <f t="shared" ref="E10:F10" si="0">+F64</f>
        <v>0</v>
      </c>
      <c r="F10" s="224">
        <f t="shared" si="0"/>
        <v>0</v>
      </c>
      <c r="G10" s="224"/>
      <c r="H10" s="224"/>
      <c r="I10" s="610" t="str">
        <f>"(Line "&amp;A64&amp;")"</f>
        <v>(Line 29)</v>
      </c>
    </row>
    <row r="11" spans="1:9" ht="15.75">
      <c r="A11" s="611">
        <f>+A10+1</f>
        <v>3</v>
      </c>
      <c r="B11" s="222"/>
      <c r="C11" s="227" t="s">
        <v>264</v>
      </c>
      <c r="D11" s="678">
        <f>+E92</f>
        <v>0</v>
      </c>
      <c r="E11" s="678">
        <f t="shared" ref="E11:F11" si="1">+F92</f>
        <v>0</v>
      </c>
      <c r="F11" s="678">
        <f t="shared" si="1"/>
        <v>-5565344</v>
      </c>
      <c r="G11" s="678"/>
      <c r="H11" s="224"/>
      <c r="I11" s="610" t="str">
        <f>"(Line "&amp;A92&amp;")"</f>
        <v>(Line 38)</v>
      </c>
    </row>
    <row r="12" spans="1:9" ht="15.75">
      <c r="A12" s="611">
        <f t="shared" ref="A12:A17" si="2">+A11+1</f>
        <v>4</v>
      </c>
      <c r="B12" s="222"/>
      <c r="C12" s="227" t="s">
        <v>92</v>
      </c>
      <c r="D12" s="224">
        <f>+SUM(D9:D11)</f>
        <v>-2996030.95</v>
      </c>
      <c r="E12" s="224">
        <f t="shared" ref="E12:F12" si="3">+SUM(E9:E11)</f>
        <v>431994</v>
      </c>
      <c r="F12" s="224">
        <f t="shared" si="3"/>
        <v>-3246354</v>
      </c>
      <c r="G12" s="224"/>
      <c r="H12" s="224"/>
      <c r="I12" s="610" t="str">
        <f>"(Line "&amp;A9&amp;" + Line "&amp;A10&amp;" + Line "&amp;A11&amp;")"</f>
        <v>(Line 1 + Line 2 + Line 3)</v>
      </c>
    </row>
    <row r="13" spans="1:9" ht="15.75">
      <c r="A13" s="611">
        <f t="shared" si="2"/>
        <v>5</v>
      </c>
      <c r="B13" s="222"/>
      <c r="C13" s="227" t="s">
        <v>14</v>
      </c>
      <c r="D13" s="218"/>
      <c r="E13" s="218"/>
      <c r="F13" s="689">
        <f>'Appendix A'!H16</f>
        <v>0.15894128950099584</v>
      </c>
      <c r="H13" s="218"/>
      <c r="I13" s="28" t="str">
        <f>"(Appendix A, Line "&amp;'Appendix A'!A16&amp;")"</f>
        <v>(Appendix A, Line 5)</v>
      </c>
    </row>
    <row r="14" spans="1:9" ht="15.75">
      <c r="A14" s="611">
        <f t="shared" si="2"/>
        <v>6</v>
      </c>
      <c r="B14" s="222"/>
      <c r="C14" s="227" t="s">
        <v>22</v>
      </c>
      <c r="D14" s="218"/>
      <c r="E14" s="689">
        <f>'Appendix A'!H27</f>
        <v>0.22530875362306943</v>
      </c>
      <c r="F14" s="218"/>
      <c r="H14" s="218"/>
      <c r="I14" s="28" t="str">
        <f>"(Appendix A, Line "&amp;'Appendix A'!A27&amp;")"</f>
        <v>(Appendix A, Line 12)</v>
      </c>
    </row>
    <row r="15" spans="1:9" ht="15.75">
      <c r="A15" s="611">
        <f>+A14+1</f>
        <v>7</v>
      </c>
      <c r="B15" s="222"/>
      <c r="C15" s="227" t="s">
        <v>265</v>
      </c>
      <c r="D15" s="224">
        <f>+D12</f>
        <v>-2996030.95</v>
      </c>
      <c r="E15" s="224">
        <f>+E14*E12</f>
        <v>97332.02971264426</v>
      </c>
      <c r="F15" s="224">
        <f>+F13*F12</f>
        <v>-515979.69093671587</v>
      </c>
      <c r="G15" s="224"/>
      <c r="H15" s="225">
        <f>SUM(D15:F15)</f>
        <v>-3414678.6112240716</v>
      </c>
      <c r="I15" s="610" t="str">
        <f>"(Line "&amp;A12&amp;" * Line "&amp;A13&amp;" or Line "&amp;A14&amp;")"</f>
        <v>(Line 4 * Line 5 or Line 6)</v>
      </c>
    </row>
    <row r="16" spans="1:9" ht="15.75">
      <c r="A16" s="611">
        <f t="shared" si="2"/>
        <v>8</v>
      </c>
      <c r="B16" s="222"/>
      <c r="C16" s="227" t="s">
        <v>266</v>
      </c>
      <c r="D16" s="224">
        <f>+'1C - ADIT Prior Year'!D15</f>
        <v>-39606905.674874634</v>
      </c>
      <c r="E16" s="224">
        <f>+'1C - ADIT Prior Year'!E15</f>
        <v>97332.02971264426</v>
      </c>
      <c r="F16" s="224">
        <f>+'1C - ADIT Prior Year'!F15</f>
        <v>-515979.69093671587</v>
      </c>
      <c r="G16" s="224"/>
      <c r="H16" s="225">
        <f t="shared" ref="H16:H17" si="4">SUM(D16:F16)</f>
        <v>-40025553.336098701</v>
      </c>
      <c r="I16" s="610" t="str">
        <f>"(Attachment 1C - ADIT Prior Year, Line "&amp;A15&amp;")"</f>
        <v>(Attachment 1C - ADIT Prior Year, Line 7)</v>
      </c>
    </row>
    <row r="17" spans="1:21" ht="15.75">
      <c r="A17" s="611">
        <f t="shared" si="2"/>
        <v>9</v>
      </c>
      <c r="B17" s="222"/>
      <c r="C17" s="227" t="s">
        <v>267</v>
      </c>
      <c r="D17" s="224">
        <f>(D15+D16)/2</f>
        <v>-21301468.312437318</v>
      </c>
      <c r="E17" s="224">
        <f>(E15+E16)/2</f>
        <v>97332.02971264426</v>
      </c>
      <c r="F17" s="224">
        <f>(F15+F16)/2</f>
        <v>-515979.69093671587</v>
      </c>
      <c r="G17" s="224"/>
      <c r="H17" s="225">
        <f t="shared" si="4"/>
        <v>-21720115.973661389</v>
      </c>
      <c r="I17" s="610" t="str">
        <f>"(Average of Line "&amp;A15&amp;" + Line "&amp;A16&amp;")"</f>
        <v>(Average of Line 7 + Line 8)</v>
      </c>
      <c r="J17" s="542"/>
    </row>
    <row r="18" spans="1:21" ht="15.75">
      <c r="A18" s="611">
        <f>+A17+1</f>
        <v>10</v>
      </c>
      <c r="B18" s="222"/>
      <c r="C18" s="661" t="s">
        <v>268</v>
      </c>
      <c r="D18" s="789">
        <f>+'1B - ADIT Proration'!J24</f>
        <v>-37664916.177003622</v>
      </c>
      <c r="E18" s="789">
        <f>+'1B - ADIT Proration'!N24</f>
        <v>0</v>
      </c>
      <c r="F18" s="789">
        <f>+'1B - ADIT Proration'!R24</f>
        <v>0</v>
      </c>
      <c r="G18" s="548"/>
      <c r="H18" s="970">
        <f>+D18+E18+F18</f>
        <v>-37664916.177003622</v>
      </c>
      <c r="I18" s="513" t="str">
        <f>"(Attachment 1B, Line "&amp;'1B - ADIT Proration'!A24&amp;")"</f>
        <v>(Attachment 1B, Line 14)</v>
      </c>
    </row>
    <row r="19" spans="1:21" ht="15.75">
      <c r="A19" s="611">
        <f>+A18+1</f>
        <v>11</v>
      </c>
      <c r="B19" s="222"/>
      <c r="C19" s="790" t="s">
        <v>269</v>
      </c>
      <c r="D19" s="548">
        <f>+D17+D18</f>
        <v>-58966384.48944094</v>
      </c>
      <c r="E19" s="548">
        <f>+E17+E18</f>
        <v>97332.02971264426</v>
      </c>
      <c r="F19" s="548">
        <f>+F17+F18</f>
        <v>-515979.69093671587</v>
      </c>
      <c r="G19" s="788"/>
      <c r="H19" s="788">
        <f>+H17+H18</f>
        <v>-59385032.150665015</v>
      </c>
      <c r="I19" s="513" t="str">
        <f>"(Line "&amp;A17&amp;" + Line "&amp;A18&amp;")"</f>
        <v>(Line 9 + Line 10)</v>
      </c>
    </row>
    <row r="20" spans="1:21" ht="15.75">
      <c r="B20" s="222"/>
      <c r="C20" s="223"/>
      <c r="D20" s="224"/>
      <c r="E20" s="224"/>
      <c r="F20" s="224"/>
      <c r="G20" s="225"/>
      <c r="H20" s="225"/>
      <c r="I20" s="226"/>
    </row>
    <row r="21" spans="1:21" ht="15.75">
      <c r="B21" s="222"/>
      <c r="C21" s="223"/>
      <c r="D21" s="224"/>
      <c r="E21" s="224"/>
      <c r="F21" s="224"/>
      <c r="G21" s="225"/>
      <c r="H21" s="225"/>
      <c r="I21" s="226"/>
    </row>
    <row r="22" spans="1:21" ht="15.75">
      <c r="B22" s="227"/>
      <c r="C22" s="218"/>
      <c r="D22" s="218"/>
      <c r="E22" s="218"/>
      <c r="F22" s="218"/>
      <c r="G22" s="218"/>
      <c r="H22" s="218"/>
      <c r="I22" s="218"/>
    </row>
    <row r="23" spans="1:21">
      <c r="B23" s="218" t="s">
        <v>270</v>
      </c>
      <c r="C23" s="218"/>
      <c r="D23" s="224"/>
      <c r="E23" s="218"/>
      <c r="F23" s="218"/>
      <c r="G23" s="218"/>
      <c r="H23" s="218"/>
    </row>
    <row r="24" spans="1:21">
      <c r="B24" s="218"/>
      <c r="C24" s="218"/>
      <c r="D24" s="218"/>
      <c r="E24" s="218"/>
      <c r="F24" s="218"/>
      <c r="G24" s="218"/>
      <c r="H24" s="218"/>
      <c r="I24" s="218"/>
    </row>
    <row r="25" spans="1:21">
      <c r="B25" s="222" t="s">
        <v>271</v>
      </c>
      <c r="C25" s="218"/>
      <c r="D25" s="218"/>
      <c r="E25" s="218"/>
      <c r="F25" s="218"/>
      <c r="G25" s="218"/>
      <c r="H25" s="218"/>
      <c r="I25" s="218"/>
    </row>
    <row r="26" spans="1:21">
      <c r="B26" s="222" t="s">
        <v>272</v>
      </c>
      <c r="C26" s="218"/>
      <c r="D26" s="218"/>
      <c r="E26" s="218"/>
      <c r="F26" s="218"/>
      <c r="G26" s="218"/>
      <c r="H26" s="218"/>
      <c r="I26" s="218"/>
    </row>
    <row r="27" spans="1:21">
      <c r="B27" s="222"/>
      <c r="C27" s="218"/>
      <c r="D27" s="218"/>
      <c r="E27" s="218"/>
      <c r="F27" s="218"/>
      <c r="G27" s="223"/>
      <c r="H27" s="223"/>
      <c r="I27" s="218"/>
    </row>
    <row r="28" spans="1:21" ht="15.75">
      <c r="B28" s="228" t="s">
        <v>209</v>
      </c>
      <c r="C28" s="1089" t="s">
        <v>211</v>
      </c>
      <c r="D28" s="1089" t="s">
        <v>213</v>
      </c>
      <c r="E28" s="1089" t="s">
        <v>215</v>
      </c>
      <c r="F28" s="1089" t="s">
        <v>217</v>
      </c>
      <c r="G28" s="1089" t="s">
        <v>219</v>
      </c>
      <c r="H28" s="1089"/>
      <c r="I28" s="1089" t="s">
        <v>221</v>
      </c>
    </row>
    <row r="29" spans="1:21">
      <c r="B29" s="229" t="s">
        <v>273</v>
      </c>
      <c r="C29" s="221"/>
      <c r="D29" s="221"/>
      <c r="E29" s="221" t="s">
        <v>58</v>
      </c>
      <c r="F29" s="221" t="s">
        <v>258</v>
      </c>
      <c r="G29" s="221" t="s">
        <v>259</v>
      </c>
      <c r="H29" s="221"/>
    </row>
    <row r="30" spans="1:21" ht="14.45" customHeight="1" thickBot="1">
      <c r="B30" s="222"/>
      <c r="C30" s="221" t="s">
        <v>69</v>
      </c>
      <c r="D30" s="221" t="s">
        <v>274</v>
      </c>
      <c r="E30" s="221" t="s">
        <v>260</v>
      </c>
      <c r="F30" s="221" t="s">
        <v>260</v>
      </c>
      <c r="G30" s="221" t="s">
        <v>260</v>
      </c>
      <c r="H30" s="662"/>
      <c r="I30" s="221" t="s">
        <v>275</v>
      </c>
    </row>
    <row r="31" spans="1:21" ht="28.5" customHeight="1" thickBot="1">
      <c r="A31" s="611">
        <f>+A19+1</f>
        <v>12</v>
      </c>
      <c r="B31" s="528" t="s">
        <v>276</v>
      </c>
      <c r="C31" s="1094">
        <v>418459</v>
      </c>
      <c r="D31" s="1095">
        <v>0</v>
      </c>
      <c r="E31" s="1095">
        <v>0</v>
      </c>
      <c r="F31" s="1095">
        <v>0</v>
      </c>
      <c r="G31" s="1095">
        <f>+C31</f>
        <v>418459</v>
      </c>
      <c r="H31" s="958"/>
      <c r="I31" s="616" t="s">
        <v>277</v>
      </c>
      <c r="Q31" s="545"/>
      <c r="R31" s="545"/>
      <c r="S31" s="545"/>
      <c r="T31" s="545"/>
      <c r="U31" s="545"/>
    </row>
    <row r="32" spans="1:21" ht="28.5" customHeight="1" thickBot="1">
      <c r="A32" s="611">
        <f>+A31+1</f>
        <v>13</v>
      </c>
      <c r="B32" s="530" t="s">
        <v>278</v>
      </c>
      <c r="C32" s="1096">
        <v>2995371</v>
      </c>
      <c r="D32" s="1097">
        <f>+C32</f>
        <v>2995371</v>
      </c>
      <c r="E32" s="1097">
        <v>0</v>
      </c>
      <c r="F32" s="1097">
        <v>0</v>
      </c>
      <c r="G32" s="1095">
        <v>0</v>
      </c>
      <c r="H32" s="959"/>
      <c r="I32" s="616" t="s">
        <v>279</v>
      </c>
      <c r="Q32" s="545"/>
      <c r="R32" s="545"/>
      <c r="S32" s="545"/>
      <c r="T32" s="545"/>
      <c r="U32" s="545"/>
    </row>
    <row r="33" spans="1:21" ht="39.75" customHeight="1">
      <c r="A33" s="611">
        <f t="shared" ref="A33:A44" si="5">+A32+1</f>
        <v>14</v>
      </c>
      <c r="B33" s="530" t="s">
        <v>280</v>
      </c>
      <c r="C33" s="1096">
        <v>1208210</v>
      </c>
      <c r="D33" s="1097">
        <v>0</v>
      </c>
      <c r="E33" s="1097">
        <v>0</v>
      </c>
      <c r="F33" s="1097">
        <v>0</v>
      </c>
      <c r="G33" s="1095">
        <f t="shared" ref="G33" si="6">+C33</f>
        <v>1208210</v>
      </c>
      <c r="H33" s="959"/>
      <c r="I33" s="616" t="s">
        <v>277</v>
      </c>
      <c r="Q33" s="545"/>
      <c r="R33" s="545"/>
      <c r="S33" s="545"/>
      <c r="T33" s="545"/>
      <c r="U33" s="545"/>
    </row>
    <row r="34" spans="1:21" ht="39.75" customHeight="1">
      <c r="A34" s="611">
        <f t="shared" si="5"/>
        <v>15</v>
      </c>
      <c r="B34" s="911" t="s">
        <v>281</v>
      </c>
      <c r="C34" s="1096">
        <v>-1010449</v>
      </c>
      <c r="D34" s="1097">
        <v>0</v>
      </c>
      <c r="E34" s="1097">
        <v>0</v>
      </c>
      <c r="F34" s="1097">
        <f>+C34</f>
        <v>-1010449</v>
      </c>
      <c r="G34" s="1097">
        <v>0</v>
      </c>
      <c r="H34" s="959"/>
      <c r="I34" s="616" t="s">
        <v>282</v>
      </c>
      <c r="Q34" s="545"/>
      <c r="R34" s="545"/>
      <c r="S34" s="545"/>
      <c r="T34" s="545"/>
      <c r="U34" s="545"/>
    </row>
    <row r="35" spans="1:21" ht="39.75" customHeight="1">
      <c r="A35" s="611">
        <f t="shared" si="5"/>
        <v>16</v>
      </c>
      <c r="B35" s="530" t="s">
        <v>283</v>
      </c>
      <c r="C35" s="1096">
        <v>651061</v>
      </c>
      <c r="D35" s="1097">
        <v>0</v>
      </c>
      <c r="E35" s="1097">
        <v>0</v>
      </c>
      <c r="F35" s="1097">
        <v>0</v>
      </c>
      <c r="G35" s="1097">
        <f>+C35</f>
        <v>651061</v>
      </c>
      <c r="H35" s="959"/>
      <c r="I35" s="616" t="s">
        <v>284</v>
      </c>
      <c r="Q35" s="545"/>
      <c r="R35" s="545"/>
      <c r="S35" s="545"/>
      <c r="T35" s="545"/>
      <c r="U35" s="545"/>
    </row>
    <row r="36" spans="1:21" ht="39.75" customHeight="1">
      <c r="A36" s="611">
        <f t="shared" si="5"/>
        <v>17</v>
      </c>
      <c r="B36" s="530" t="s">
        <v>285</v>
      </c>
      <c r="C36" s="1096">
        <v>945089</v>
      </c>
      <c r="D36" s="1097">
        <f>+C36</f>
        <v>945089</v>
      </c>
      <c r="E36" s="1097">
        <v>0</v>
      </c>
      <c r="F36" s="1097">
        <v>0</v>
      </c>
      <c r="G36" s="1097">
        <v>0</v>
      </c>
      <c r="H36" s="959"/>
      <c r="I36" s="616" t="s">
        <v>286</v>
      </c>
      <c r="Q36" s="545"/>
      <c r="R36" s="545"/>
      <c r="S36" s="545"/>
      <c r="T36" s="545"/>
      <c r="U36" s="545"/>
    </row>
    <row r="37" spans="1:21" ht="39.75" customHeight="1">
      <c r="A37" s="611">
        <f t="shared" si="5"/>
        <v>18</v>
      </c>
      <c r="B37" s="530" t="s">
        <v>287</v>
      </c>
      <c r="C37" s="1096">
        <v>41260</v>
      </c>
      <c r="D37" s="1097">
        <v>0</v>
      </c>
      <c r="E37" s="1097">
        <v>0</v>
      </c>
      <c r="F37" s="1097">
        <v>0</v>
      </c>
      <c r="G37" s="1097">
        <f>+C37</f>
        <v>41260</v>
      </c>
      <c r="H37" s="959"/>
      <c r="I37" s="616" t="s">
        <v>288</v>
      </c>
      <c r="Q37" s="545"/>
      <c r="R37" s="545"/>
      <c r="S37" s="545"/>
      <c r="T37" s="545"/>
      <c r="U37" s="545"/>
    </row>
    <row r="38" spans="1:21" ht="39.75" customHeight="1">
      <c r="A38" s="611">
        <f t="shared" si="5"/>
        <v>19</v>
      </c>
      <c r="B38" s="530" t="s">
        <v>289</v>
      </c>
      <c r="C38" s="1096">
        <v>899799</v>
      </c>
      <c r="D38" s="1097">
        <f>+C38</f>
        <v>899799</v>
      </c>
      <c r="E38" s="1097">
        <v>0</v>
      </c>
      <c r="F38" s="1097">
        <v>0</v>
      </c>
      <c r="G38" s="1097">
        <v>0</v>
      </c>
      <c r="H38" s="959"/>
      <c r="I38" s="616" t="s">
        <v>290</v>
      </c>
      <c r="Q38" s="545"/>
      <c r="R38" s="545"/>
      <c r="S38" s="545"/>
      <c r="T38" s="545"/>
      <c r="U38" s="545"/>
    </row>
    <row r="39" spans="1:21" ht="39.75" customHeight="1">
      <c r="A39" s="611">
        <f t="shared" si="5"/>
        <v>20</v>
      </c>
      <c r="B39" s="530" t="s">
        <v>291</v>
      </c>
      <c r="C39" s="1096">
        <v>431994</v>
      </c>
      <c r="D39" s="1097">
        <v>0</v>
      </c>
      <c r="E39" s="1097">
        <v>0</v>
      </c>
      <c r="F39" s="1097">
        <f>+C39</f>
        <v>431994</v>
      </c>
      <c r="G39" s="1097">
        <v>0</v>
      </c>
      <c r="H39" s="959"/>
      <c r="I39" s="616" t="s">
        <v>292</v>
      </c>
      <c r="Q39" s="545"/>
      <c r="R39" s="545"/>
      <c r="S39" s="545"/>
      <c r="T39" s="545"/>
      <c r="U39" s="545"/>
    </row>
    <row r="40" spans="1:21" ht="39.75" customHeight="1">
      <c r="A40" s="611">
        <f t="shared" si="5"/>
        <v>21</v>
      </c>
      <c r="B40" s="530" t="s">
        <v>293</v>
      </c>
      <c r="C40" s="1096">
        <v>1325352</v>
      </c>
      <c r="D40" s="1097">
        <f>+C40</f>
        <v>1325352</v>
      </c>
      <c r="E40" s="1097">
        <v>0</v>
      </c>
      <c r="F40" s="1097">
        <v>0</v>
      </c>
      <c r="G40" s="1097">
        <v>0</v>
      </c>
      <c r="H40" s="959"/>
      <c r="I40" s="616" t="s">
        <v>294</v>
      </c>
      <c r="Q40" s="545"/>
      <c r="R40" s="545"/>
      <c r="S40" s="545"/>
      <c r="T40" s="545"/>
      <c r="U40" s="545"/>
    </row>
    <row r="41" spans="1:21" ht="39.75" customHeight="1">
      <c r="A41" s="611">
        <f t="shared" si="5"/>
        <v>22</v>
      </c>
      <c r="B41" s="530" t="s">
        <v>295</v>
      </c>
      <c r="C41" s="1096">
        <v>-223999</v>
      </c>
      <c r="D41" s="1097">
        <f>+C41</f>
        <v>-223999</v>
      </c>
      <c r="E41" s="1097">
        <v>0</v>
      </c>
      <c r="F41" s="1097">
        <v>0</v>
      </c>
      <c r="G41" s="1097">
        <v>0</v>
      </c>
      <c r="H41" s="959"/>
      <c r="I41" s="616" t="s">
        <v>296</v>
      </c>
      <c r="Q41" s="545"/>
      <c r="R41" s="545"/>
      <c r="S41" s="545"/>
      <c r="T41" s="545"/>
      <c r="U41" s="545"/>
    </row>
    <row r="42" spans="1:21" ht="39.75" customHeight="1">
      <c r="A42" s="611">
        <f>+A41+1</f>
        <v>23</v>
      </c>
      <c r="B42" s="530" t="s">
        <v>297</v>
      </c>
      <c r="C42" s="1096">
        <v>-444426</v>
      </c>
      <c r="D42" s="1097">
        <f>+C42</f>
        <v>-444426</v>
      </c>
      <c r="E42" s="1097">
        <v>0</v>
      </c>
      <c r="F42" s="1097">
        <v>0</v>
      </c>
      <c r="G42" s="1097">
        <v>0</v>
      </c>
      <c r="H42" s="959"/>
      <c r="I42" s="532" t="s">
        <v>298</v>
      </c>
      <c r="Q42" s="545"/>
      <c r="R42" s="545"/>
      <c r="S42" s="545"/>
      <c r="T42" s="545"/>
      <c r="U42" s="545"/>
    </row>
    <row r="43" spans="1:21" ht="25.15" customHeight="1">
      <c r="A43" s="611">
        <f t="shared" si="5"/>
        <v>24</v>
      </c>
      <c r="B43" s="531" t="s">
        <v>299</v>
      </c>
      <c r="C43" s="800">
        <f t="shared" ref="C43:G43" si="7">SUM(C31:C42)</f>
        <v>7237721</v>
      </c>
      <c r="D43" s="800">
        <f t="shared" si="7"/>
        <v>5497186</v>
      </c>
      <c r="E43" s="800">
        <f t="shared" si="7"/>
        <v>0</v>
      </c>
      <c r="F43" s="800">
        <f t="shared" si="7"/>
        <v>-578455</v>
      </c>
      <c r="G43" s="800">
        <f t="shared" si="7"/>
        <v>2318990</v>
      </c>
      <c r="H43" s="800"/>
      <c r="I43" s="230"/>
      <c r="Q43" s="545"/>
      <c r="R43" s="545"/>
      <c r="S43" s="545"/>
      <c r="T43" s="545"/>
      <c r="U43" s="545"/>
    </row>
    <row r="44" spans="1:21" ht="25.15" customHeight="1">
      <c r="A44" s="611">
        <f t="shared" si="5"/>
        <v>25</v>
      </c>
      <c r="B44" s="527" t="s">
        <v>300</v>
      </c>
      <c r="C44" s="801">
        <f>SUM(D44:G44)</f>
        <v>-1010449</v>
      </c>
      <c r="D44" s="801">
        <f>D34</f>
        <v>0</v>
      </c>
      <c r="E44" s="802">
        <f>E34</f>
        <v>0</v>
      </c>
      <c r="F44" s="803">
        <f>F34</f>
        <v>-1010449</v>
      </c>
      <c r="G44" s="803">
        <f>G34</f>
        <v>0</v>
      </c>
      <c r="H44" s="803"/>
      <c r="I44" s="243" t="s">
        <v>301</v>
      </c>
      <c r="Q44" s="545"/>
      <c r="R44" s="545"/>
      <c r="S44" s="545"/>
      <c r="T44" s="545"/>
      <c r="U44" s="545"/>
    </row>
    <row r="45" spans="1:21" s="216" customFormat="1" ht="35.1" customHeight="1" thickBot="1">
      <c r="A45" s="611">
        <f>+A44+1</f>
        <v>26</v>
      </c>
      <c r="B45" s="526" t="s">
        <v>69</v>
      </c>
      <c r="C45" s="804">
        <f>+C43-C44</f>
        <v>8248170</v>
      </c>
      <c r="D45" s="804">
        <f t="shared" ref="D45:G45" si="8">+D43-D44</f>
        <v>5497186</v>
      </c>
      <c r="E45" s="804">
        <f t="shared" si="8"/>
        <v>0</v>
      </c>
      <c r="F45" s="804">
        <f t="shared" si="8"/>
        <v>431994</v>
      </c>
      <c r="G45" s="804">
        <f t="shared" si="8"/>
        <v>2318990</v>
      </c>
      <c r="H45" s="804"/>
      <c r="I45" s="525"/>
      <c r="Q45" s="545"/>
      <c r="R45" s="545"/>
      <c r="S45" s="545"/>
      <c r="T45" s="545"/>
      <c r="U45" s="545"/>
    </row>
    <row r="46" spans="1:21" ht="35.1" customHeight="1">
      <c r="B46" s="57" t="s">
        <v>302</v>
      </c>
      <c r="C46" s="57"/>
      <c r="D46" s="245"/>
      <c r="E46" s="695"/>
      <c r="F46" s="72"/>
      <c r="G46" s="216"/>
      <c r="H46" s="216"/>
      <c r="I46" s="696"/>
    </row>
    <row r="47" spans="1:21" ht="19.149999999999999" customHeight="1">
      <c r="B47" s="1169" t="s">
        <v>303</v>
      </c>
      <c r="C47" s="1170"/>
      <c r="D47" s="1170"/>
      <c r="E47" s="1170"/>
      <c r="F47" s="1170"/>
      <c r="G47" s="1170"/>
      <c r="H47" s="1170"/>
      <c r="I47" s="1170"/>
    </row>
    <row r="48" spans="1:21" ht="18.600000000000001" customHeight="1">
      <c r="B48" s="250" t="s">
        <v>304</v>
      </c>
      <c r="C48" s="57"/>
      <c r="D48" s="216"/>
      <c r="E48" s="57"/>
      <c r="F48" s="57"/>
      <c r="G48" s="72"/>
      <c r="H48" s="72"/>
      <c r="I48" s="72"/>
    </row>
    <row r="49" spans="1:21" ht="19.149999999999999" customHeight="1">
      <c r="B49" s="250" t="s">
        <v>305</v>
      </c>
      <c r="C49" s="57"/>
      <c r="D49" s="216"/>
      <c r="E49" s="57"/>
      <c r="F49" s="57"/>
      <c r="G49" s="72"/>
      <c r="H49" s="72"/>
      <c r="I49" s="72"/>
    </row>
    <row r="50" spans="1:21" ht="16.899999999999999" customHeight="1">
      <c r="B50" s="250" t="s">
        <v>306</v>
      </c>
      <c r="C50" s="57"/>
      <c r="D50" s="216"/>
      <c r="E50" s="57"/>
      <c r="F50" s="57"/>
      <c r="G50" s="72"/>
      <c r="H50" s="72"/>
      <c r="I50" s="72"/>
    </row>
    <row r="51" spans="1:21" ht="15" customHeight="1">
      <c r="B51" s="1170" t="s">
        <v>307</v>
      </c>
      <c r="C51" s="1170"/>
      <c r="D51" s="1170"/>
      <c r="E51" s="1170"/>
      <c r="F51" s="1170"/>
      <c r="G51" s="1170"/>
      <c r="H51" s="1170"/>
      <c r="I51" s="1170"/>
    </row>
    <row r="52" spans="1:21">
      <c r="B52" s="233" t="s">
        <v>308</v>
      </c>
      <c r="C52" s="613"/>
      <c r="D52" s="697"/>
      <c r="E52" s="613"/>
      <c r="F52" s="613"/>
      <c r="G52" s="613"/>
      <c r="H52" s="613"/>
      <c r="I52" s="1078"/>
    </row>
    <row r="53" spans="1:21" ht="15.75">
      <c r="B53" s="233"/>
      <c r="C53" s="675"/>
      <c r="D53" s="675"/>
      <c r="E53" s="675"/>
      <c r="F53" s="675"/>
      <c r="G53" s="675"/>
      <c r="H53" s="675"/>
      <c r="I53" s="1078"/>
    </row>
    <row r="54" spans="1:21" s="213" customFormat="1" ht="18">
      <c r="B54" s="1167" t="str">
        <f>+B1</f>
        <v>Dayton Power and Light</v>
      </c>
      <c r="C54" s="1171"/>
      <c r="D54" s="1171"/>
      <c r="E54" s="1171"/>
      <c r="F54" s="1171"/>
      <c r="G54" s="1171"/>
      <c r="H54" s="1171"/>
      <c r="I54" s="1171"/>
    </row>
    <row r="55" spans="1:21" s="213" customFormat="1" ht="18">
      <c r="B55" s="1166" t="str">
        <f>+B2</f>
        <v xml:space="preserve">ATTACHMENT H-15A </v>
      </c>
      <c r="C55" s="1166"/>
      <c r="D55" s="1166"/>
      <c r="E55" s="1166"/>
      <c r="F55" s="1166"/>
      <c r="G55" s="1166"/>
      <c r="H55" s="1166"/>
      <c r="I55" s="1166"/>
    </row>
    <row r="56" spans="1:21" s="213" customFormat="1" ht="18">
      <c r="B56" s="1166" t="str">
        <f>+B3</f>
        <v>Attachment 1A - Accumulated Deferred Income Taxes (ADIT) Worksheet - Projected December 31</v>
      </c>
      <c r="C56" s="1166"/>
      <c r="D56" s="1166"/>
      <c r="E56" s="1166"/>
      <c r="F56" s="1166"/>
      <c r="G56" s="1166"/>
      <c r="H56" s="1166"/>
      <c r="I56" s="1166"/>
    </row>
    <row r="57" spans="1:21" ht="18">
      <c r="B57" s="235"/>
      <c r="C57" s="234"/>
      <c r="D57" s="234"/>
      <c r="E57" s="234"/>
      <c r="F57" s="234"/>
      <c r="G57" s="234"/>
      <c r="H57" s="234"/>
      <c r="I57" s="878"/>
    </row>
    <row r="58" spans="1:21" ht="18">
      <c r="B58" s="675" t="s">
        <v>209</v>
      </c>
      <c r="C58" s="675" t="s">
        <v>211</v>
      </c>
      <c r="D58" s="675" t="s">
        <v>213</v>
      </c>
      <c r="E58" s="675" t="s">
        <v>215</v>
      </c>
      <c r="F58" s="675" t="s">
        <v>217</v>
      </c>
      <c r="G58" s="675" t="s">
        <v>219</v>
      </c>
      <c r="H58" s="228"/>
      <c r="I58" s="879"/>
    </row>
    <row r="59" spans="1:21" ht="18">
      <c r="B59" s="216"/>
      <c r="C59" s="236" t="s">
        <v>309</v>
      </c>
      <c r="D59" s="236"/>
      <c r="E59" s="236"/>
      <c r="F59" s="236"/>
      <c r="G59" s="236"/>
      <c r="H59" s="221"/>
      <c r="I59" s="879"/>
    </row>
    <row r="60" spans="1:21" ht="15.75">
      <c r="B60" s="237" t="s">
        <v>310</v>
      </c>
      <c r="C60" s="236"/>
      <c r="D60" s="236"/>
      <c r="E60" s="236" t="s">
        <v>58</v>
      </c>
      <c r="F60" s="236" t="s">
        <v>258</v>
      </c>
      <c r="G60" s="236" t="s">
        <v>259</v>
      </c>
      <c r="H60" s="221"/>
      <c r="I60" s="675" t="s">
        <v>221</v>
      </c>
    </row>
    <row r="61" spans="1:21" ht="15.75" thickBot="1">
      <c r="B61" s="233"/>
      <c r="C61" s="236"/>
      <c r="D61" s="236" t="str">
        <f>+D30</f>
        <v>Excluded</v>
      </c>
      <c r="E61" s="236" t="s">
        <v>260</v>
      </c>
      <c r="F61" s="236" t="s">
        <v>260</v>
      </c>
      <c r="G61" s="236" t="s">
        <v>260</v>
      </c>
      <c r="H61" s="662"/>
      <c r="I61" s="236" t="s">
        <v>275</v>
      </c>
    </row>
    <row r="62" spans="1:21" ht="47.25" customHeight="1">
      <c r="A62" s="214">
        <f>+A45+1</f>
        <v>27</v>
      </c>
      <c r="B62" s="1149" t="s">
        <v>311</v>
      </c>
      <c r="C62" s="1098">
        <v>0</v>
      </c>
      <c r="D62" s="1098">
        <v>0</v>
      </c>
      <c r="E62" s="1095">
        <v>0</v>
      </c>
      <c r="F62" s="1095">
        <v>0</v>
      </c>
      <c r="G62" s="1095">
        <v>0</v>
      </c>
      <c r="H62" s="960"/>
      <c r="I62" s="910" t="str">
        <f>+'1D - ADIT True-up'!I65</f>
        <v>Tax and book differences resulting from accelerated tax depreciation .  Included in prorated amount</v>
      </c>
      <c r="Q62" s="544"/>
      <c r="R62" s="544"/>
      <c r="S62" s="544"/>
      <c r="T62" s="544"/>
      <c r="U62" s="544"/>
    </row>
    <row r="63" spans="1:21" ht="46.5" customHeight="1">
      <c r="A63" s="214">
        <f>+A62+1</f>
        <v>28</v>
      </c>
      <c r="B63" s="530" t="s">
        <v>312</v>
      </c>
      <c r="C63" s="1097">
        <v>-3069860.1</v>
      </c>
      <c r="D63" s="1097">
        <v>-73829.149999999994</v>
      </c>
      <c r="E63" s="1097">
        <v>-2996030.95</v>
      </c>
      <c r="F63" s="1097">
        <v>0</v>
      </c>
      <c r="G63" s="1097">
        <v>0</v>
      </c>
      <c r="H63" s="959"/>
      <c r="I63" s="910" t="s">
        <v>313</v>
      </c>
      <c r="Q63" s="544"/>
      <c r="R63" s="544"/>
      <c r="S63" s="544"/>
      <c r="T63" s="544"/>
      <c r="U63" s="544"/>
    </row>
    <row r="64" spans="1:21" s="216" customFormat="1" ht="35.1" customHeight="1" thickBot="1">
      <c r="A64" s="214">
        <f>+A63+1</f>
        <v>29</v>
      </c>
      <c r="B64" s="526" t="s">
        <v>69</v>
      </c>
      <c r="C64" s="804">
        <f>+SUM(C62:C63)</f>
        <v>-3069860.1</v>
      </c>
      <c r="D64" s="804">
        <f t="shared" ref="D64:G64" si="9">+SUM(D62:D63)</f>
        <v>-73829.149999999994</v>
      </c>
      <c r="E64" s="804">
        <f t="shared" si="9"/>
        <v>-2996030.95</v>
      </c>
      <c r="F64" s="804">
        <f t="shared" si="9"/>
        <v>0</v>
      </c>
      <c r="G64" s="804">
        <f t="shared" si="9"/>
        <v>0</v>
      </c>
      <c r="H64" s="804"/>
      <c r="I64" s="525"/>
      <c r="Q64" s="544"/>
      <c r="R64" s="544"/>
      <c r="S64" s="544"/>
      <c r="T64" s="544"/>
      <c r="U64" s="544"/>
    </row>
    <row r="65" spans="2:9" ht="25.15" customHeight="1">
      <c r="B65" s="57" t="s">
        <v>314</v>
      </c>
      <c r="C65" s="57"/>
      <c r="D65" s="57"/>
      <c r="E65" s="72"/>
      <c r="F65" s="695"/>
      <c r="G65" s="216"/>
      <c r="H65" s="216"/>
      <c r="I65" s="1078"/>
    </row>
    <row r="66" spans="2:9" ht="21" customHeight="1">
      <c r="B66" s="250" t="s">
        <v>315</v>
      </c>
      <c r="C66" s="57"/>
      <c r="D66" s="216"/>
      <c r="E66" s="57"/>
      <c r="F66" s="57"/>
      <c r="G66" s="72"/>
      <c r="H66" s="72"/>
      <c r="I66" s="72"/>
    </row>
    <row r="67" spans="2:9" ht="15" customHeight="1">
      <c r="B67" s="250" t="s">
        <v>304</v>
      </c>
      <c r="C67" s="57"/>
      <c r="D67" s="216"/>
      <c r="E67" s="57"/>
      <c r="F67" s="57"/>
      <c r="G67" s="72"/>
      <c r="H67" s="72"/>
      <c r="I67" s="72"/>
    </row>
    <row r="68" spans="2:9" ht="19.149999999999999" customHeight="1">
      <c r="B68" s="250" t="s">
        <v>316</v>
      </c>
      <c r="C68" s="57"/>
      <c r="D68" s="216"/>
      <c r="E68" s="57"/>
      <c r="F68" s="57"/>
      <c r="G68" s="72"/>
      <c r="H68" s="72"/>
      <c r="I68" s="72"/>
    </row>
    <row r="69" spans="2:9" ht="18.600000000000001" customHeight="1">
      <c r="B69" s="250" t="s">
        <v>317</v>
      </c>
      <c r="C69" s="57"/>
      <c r="D69" s="216"/>
      <c r="E69" s="57"/>
      <c r="F69" s="57"/>
      <c r="G69" s="72"/>
      <c r="H69" s="72"/>
      <c r="I69" s="72"/>
    </row>
    <row r="70" spans="2:9" ht="18.600000000000001" customHeight="1">
      <c r="B70" s="1170" t="s">
        <v>307</v>
      </c>
      <c r="C70" s="1170"/>
      <c r="D70" s="1170"/>
      <c r="E70" s="1170"/>
      <c r="F70" s="1170"/>
      <c r="G70" s="1170"/>
      <c r="H70" s="1170"/>
      <c r="I70" s="1170"/>
    </row>
    <row r="71" spans="2:9">
      <c r="B71" s="233" t="s">
        <v>308</v>
      </c>
      <c r="C71" s="613"/>
      <c r="D71" s="697"/>
      <c r="E71" s="613"/>
      <c r="F71" s="613"/>
      <c r="G71" s="613"/>
      <c r="H71" s="613"/>
      <c r="I71" s="1078"/>
    </row>
    <row r="72" spans="2:9">
      <c r="B72" s="233"/>
      <c r="C72" s="216"/>
      <c r="D72" s="57"/>
      <c r="E72" s="57"/>
      <c r="F72" s="72"/>
      <c r="G72" s="72"/>
      <c r="H72" s="72"/>
      <c r="I72" s="1078"/>
    </row>
    <row r="73" spans="2:9">
      <c r="B73" s="233"/>
      <c r="C73" s="216"/>
      <c r="D73" s="57"/>
      <c r="E73" s="57"/>
      <c r="F73" s="72"/>
      <c r="G73" s="72"/>
      <c r="H73" s="72"/>
      <c r="I73" s="1078"/>
    </row>
    <row r="74" spans="2:9" ht="15.75">
      <c r="B74" s="675"/>
      <c r="C74" s="234"/>
      <c r="D74" s="234"/>
      <c r="E74" s="234"/>
      <c r="F74" s="234"/>
      <c r="G74" s="234"/>
      <c r="H74" s="234"/>
      <c r="I74" s="234"/>
    </row>
    <row r="75" spans="2:9" s="213" customFormat="1" ht="18">
      <c r="B75" s="251" t="str">
        <f>B1</f>
        <v>Dayton Power and Light</v>
      </c>
      <c r="C75" s="252"/>
      <c r="D75" s="252"/>
      <c r="E75" s="252"/>
      <c r="F75" s="252"/>
      <c r="G75" s="252"/>
      <c r="H75" s="252"/>
      <c r="I75" s="253"/>
    </row>
    <row r="76" spans="2:9" s="213" customFormat="1" ht="18">
      <c r="B76" s="1167" t="str">
        <f>+B55</f>
        <v xml:space="preserve">ATTACHMENT H-15A </v>
      </c>
      <c r="C76" s="1167"/>
      <c r="D76" s="1167"/>
      <c r="E76" s="1167"/>
      <c r="F76" s="1167"/>
      <c r="G76" s="1167"/>
      <c r="H76" s="1167"/>
      <c r="I76" s="1167"/>
    </row>
    <row r="77" spans="2:9" s="213" customFormat="1" ht="18">
      <c r="B77" s="1167" t="str">
        <f>+B3</f>
        <v>Attachment 1A - Accumulated Deferred Income Taxes (ADIT) Worksheet - Projected December 31</v>
      </c>
      <c r="C77" s="1167"/>
      <c r="D77" s="1167"/>
      <c r="E77" s="1167"/>
      <c r="F77" s="1167"/>
      <c r="G77" s="1167"/>
      <c r="H77" s="1167"/>
      <c r="I77" s="1167"/>
    </row>
    <row r="78" spans="2:9" s="213" customFormat="1" ht="18.75">
      <c r="B78" s="238"/>
      <c r="C78" s="215"/>
      <c r="D78" s="215"/>
      <c r="E78" s="215"/>
      <c r="F78" s="215"/>
      <c r="G78" s="211"/>
      <c r="H78" s="211"/>
      <c r="I78" s="239"/>
    </row>
    <row r="79" spans="2:9" ht="15.75">
      <c r="B79" s="228" t="s">
        <v>209</v>
      </c>
      <c r="C79" s="1089" t="s">
        <v>211</v>
      </c>
      <c r="D79" s="1089" t="s">
        <v>213</v>
      </c>
      <c r="E79" s="1089" t="s">
        <v>215</v>
      </c>
      <c r="F79" s="1089" t="s">
        <v>217</v>
      </c>
      <c r="G79" s="1089" t="s">
        <v>219</v>
      </c>
      <c r="H79" s="228"/>
      <c r="I79" s="1089" t="s">
        <v>221</v>
      </c>
    </row>
    <row r="80" spans="2:9" ht="15.75">
      <c r="B80" s="237" t="s">
        <v>318</v>
      </c>
      <c r="C80" s="228" t="s">
        <v>69</v>
      </c>
      <c r="D80" s="240"/>
      <c r="E80" s="1077" t="s">
        <v>58</v>
      </c>
      <c r="F80" s="240" t="s">
        <v>258</v>
      </c>
      <c r="G80" s="240" t="s">
        <v>259</v>
      </c>
      <c r="H80" s="228"/>
    </row>
    <row r="81" spans="1:21" ht="16.149999999999999" customHeight="1" thickBot="1">
      <c r="C81" s="228"/>
      <c r="D81" s="228" t="str">
        <f>+D61</f>
        <v>Excluded</v>
      </c>
      <c r="E81" s="1077" t="s">
        <v>260</v>
      </c>
      <c r="F81" s="228"/>
      <c r="G81" s="228"/>
      <c r="H81" s="677"/>
      <c r="I81" s="236" t="s">
        <v>275</v>
      </c>
    </row>
    <row r="82" spans="1:21" ht="25.15" customHeight="1">
      <c r="A82" s="611">
        <f>+A62+1</f>
        <v>28</v>
      </c>
      <c r="B82" s="528" t="s">
        <v>319</v>
      </c>
      <c r="C82" s="1095">
        <v>-6274880</v>
      </c>
      <c r="D82" s="1095">
        <v>0</v>
      </c>
      <c r="E82" s="1095">
        <v>0</v>
      </c>
      <c r="F82" s="1095">
        <v>0</v>
      </c>
      <c r="G82" s="1095">
        <f>C82</f>
        <v>-6274880</v>
      </c>
      <c r="H82" s="961"/>
      <c r="I82" s="909" t="s">
        <v>320</v>
      </c>
      <c r="Q82" s="544"/>
      <c r="R82" s="544"/>
      <c r="S82" s="544"/>
      <c r="T82" s="544"/>
      <c r="U82" s="544"/>
    </row>
    <row r="83" spans="1:21" ht="33.6" customHeight="1">
      <c r="A83" s="611">
        <f>+A82+1</f>
        <v>29</v>
      </c>
      <c r="B83" s="530" t="s">
        <v>321</v>
      </c>
      <c r="C83" s="1097">
        <v>-1477655</v>
      </c>
      <c r="D83" s="1097">
        <f>+C83</f>
        <v>-1477655</v>
      </c>
      <c r="E83" s="1097">
        <v>0</v>
      </c>
      <c r="F83" s="1097">
        <v>0</v>
      </c>
      <c r="G83" s="1097">
        <v>0</v>
      </c>
      <c r="H83" s="962"/>
      <c r="I83" s="617" t="s">
        <v>322</v>
      </c>
      <c r="Q83" s="544"/>
      <c r="R83" s="544"/>
      <c r="S83" s="544"/>
      <c r="T83" s="544"/>
      <c r="U83" s="544"/>
    </row>
    <row r="84" spans="1:21" ht="36.75" customHeight="1">
      <c r="A84" s="611">
        <f t="shared" ref="A84:A92" si="10">+A83+1</f>
        <v>30</v>
      </c>
      <c r="B84" s="530" t="s">
        <v>323</v>
      </c>
      <c r="C84" s="1097">
        <v>-19784694</v>
      </c>
      <c r="D84" s="1097">
        <f>+C84</f>
        <v>-19784694</v>
      </c>
      <c r="E84" s="1097">
        <f>+C84-D84</f>
        <v>0</v>
      </c>
      <c r="F84" s="1097">
        <v>0</v>
      </c>
      <c r="G84" s="1097">
        <v>0</v>
      </c>
      <c r="H84" s="962"/>
      <c r="I84" s="617" t="s">
        <v>324</v>
      </c>
      <c r="Q84" s="544"/>
      <c r="R84" s="544"/>
      <c r="S84" s="544"/>
      <c r="T84" s="544"/>
      <c r="U84" s="544"/>
    </row>
    <row r="85" spans="1:21" ht="31.5" customHeight="1">
      <c r="A85" s="611">
        <f t="shared" si="10"/>
        <v>31</v>
      </c>
      <c r="B85" s="530" t="s">
        <v>325</v>
      </c>
      <c r="C85" s="1097">
        <v>0</v>
      </c>
      <c r="D85" s="1097">
        <f>+C85</f>
        <v>0</v>
      </c>
      <c r="E85" s="1097">
        <v>0</v>
      </c>
      <c r="F85" s="1097">
        <v>0</v>
      </c>
      <c r="G85" s="1097">
        <v>0</v>
      </c>
      <c r="H85" s="962"/>
      <c r="I85" s="617" t="s">
        <v>326</v>
      </c>
      <c r="Q85" s="544"/>
      <c r="R85" s="544"/>
      <c r="S85" s="544"/>
      <c r="T85" s="544"/>
      <c r="U85" s="544"/>
    </row>
    <row r="86" spans="1:21" ht="25.15" customHeight="1">
      <c r="A86" s="611">
        <f t="shared" si="10"/>
        <v>32</v>
      </c>
      <c r="B86" s="911" t="s">
        <v>327</v>
      </c>
      <c r="C86" s="1097">
        <v>14861511</v>
      </c>
      <c r="D86" s="1097">
        <v>0</v>
      </c>
      <c r="E86" s="1097">
        <v>0</v>
      </c>
      <c r="F86" s="1097">
        <f>C86</f>
        <v>14861511</v>
      </c>
      <c r="G86" s="1097">
        <v>0</v>
      </c>
      <c r="H86" s="962"/>
      <c r="I86" s="617" t="s">
        <v>282</v>
      </c>
      <c r="Q86" s="544"/>
      <c r="R86" s="544"/>
      <c r="S86" s="544"/>
      <c r="T86" s="544"/>
      <c r="U86" s="544"/>
    </row>
    <row r="87" spans="1:21" ht="25.15" customHeight="1">
      <c r="A87" s="611">
        <f t="shared" si="10"/>
        <v>33</v>
      </c>
      <c r="B87" s="530" t="s">
        <v>328</v>
      </c>
      <c r="C87" s="1097">
        <v>709536</v>
      </c>
      <c r="D87" s="1097">
        <v>0</v>
      </c>
      <c r="E87" s="1097">
        <v>0</v>
      </c>
      <c r="F87" s="1097">
        <v>0</v>
      </c>
      <c r="G87" s="1097">
        <f>C87</f>
        <v>709536</v>
      </c>
      <c r="H87" s="962"/>
      <c r="I87" s="617" t="s">
        <v>329</v>
      </c>
      <c r="Q87" s="544"/>
      <c r="R87" s="544"/>
      <c r="S87" s="544"/>
      <c r="T87" s="544"/>
      <c r="U87" s="544"/>
    </row>
    <row r="88" spans="1:21" ht="35.25" customHeight="1">
      <c r="A88" s="611">
        <f>+A87+1</f>
        <v>34</v>
      </c>
      <c r="B88" s="530" t="s">
        <v>297</v>
      </c>
      <c r="C88" s="1097">
        <v>-22655585</v>
      </c>
      <c r="D88" s="1097">
        <f>C88</f>
        <v>-22655585</v>
      </c>
      <c r="E88" s="1097">
        <v>0</v>
      </c>
      <c r="F88" s="1097">
        <v>0</v>
      </c>
      <c r="G88" s="1097">
        <v>0</v>
      </c>
      <c r="H88" s="962"/>
      <c r="I88" s="617" t="s">
        <v>330</v>
      </c>
      <c r="Q88" s="544"/>
      <c r="R88" s="544"/>
      <c r="S88" s="544"/>
      <c r="T88" s="544"/>
      <c r="U88" s="544"/>
    </row>
    <row r="89" spans="1:21" ht="25.15" customHeight="1">
      <c r="A89" s="611">
        <f t="shared" si="10"/>
        <v>35</v>
      </c>
      <c r="B89" s="254" t="s">
        <v>331</v>
      </c>
      <c r="C89" s="809">
        <f>SUM(C80:C88)</f>
        <v>-34621767</v>
      </c>
      <c r="D89" s="809">
        <f>SUM(D80:D88)</f>
        <v>-43917934</v>
      </c>
      <c r="E89" s="809">
        <f>SUM(E80:E88)</f>
        <v>0</v>
      </c>
      <c r="F89" s="809">
        <f>SUM(F80:F88)</f>
        <v>14861511</v>
      </c>
      <c r="G89" s="809">
        <f t="shared" ref="G89" si="11">SUM(G80:G88)</f>
        <v>-5565344</v>
      </c>
      <c r="H89" s="963"/>
      <c r="I89" s="255"/>
      <c r="Q89" s="544"/>
      <c r="R89" s="544"/>
      <c r="S89" s="544"/>
      <c r="T89" s="544"/>
      <c r="U89" s="544"/>
    </row>
    <row r="90" spans="1:21" ht="25.15" customHeight="1">
      <c r="A90" s="611">
        <f t="shared" si="10"/>
        <v>36</v>
      </c>
      <c r="B90" s="242" t="s">
        <v>332</v>
      </c>
      <c r="C90" s="801">
        <f t="shared" ref="C90:G90" si="12">+C86</f>
        <v>14861511</v>
      </c>
      <c r="D90" s="801">
        <f t="shared" si="12"/>
        <v>0</v>
      </c>
      <c r="E90" s="801">
        <f t="shared" si="12"/>
        <v>0</v>
      </c>
      <c r="F90" s="801">
        <f t="shared" si="12"/>
        <v>14861511</v>
      </c>
      <c r="G90" s="801">
        <f t="shared" si="12"/>
        <v>0</v>
      </c>
      <c r="H90" s="801"/>
      <c r="I90" s="243"/>
      <c r="Q90" s="544"/>
      <c r="R90" s="544"/>
      <c r="S90" s="544"/>
      <c r="T90" s="544"/>
      <c r="U90" s="544"/>
    </row>
    <row r="91" spans="1:21" ht="25.15" customHeight="1">
      <c r="A91" s="611">
        <f t="shared" si="10"/>
        <v>37</v>
      </c>
      <c r="B91" s="601" t="s">
        <v>333</v>
      </c>
      <c r="C91" s="810">
        <f t="shared" ref="C91:G91" si="13">+C83</f>
        <v>-1477655</v>
      </c>
      <c r="D91" s="810">
        <f t="shared" si="13"/>
        <v>-1477655</v>
      </c>
      <c r="E91" s="810">
        <f t="shared" si="13"/>
        <v>0</v>
      </c>
      <c r="F91" s="810">
        <f t="shared" si="13"/>
        <v>0</v>
      </c>
      <c r="G91" s="810">
        <f t="shared" si="13"/>
        <v>0</v>
      </c>
      <c r="H91" s="810"/>
      <c r="I91" s="602" t="s">
        <v>334</v>
      </c>
      <c r="Q91" s="544"/>
      <c r="R91" s="544"/>
      <c r="S91" s="544"/>
      <c r="T91" s="544"/>
      <c r="U91" s="544"/>
    </row>
    <row r="92" spans="1:21" s="216" customFormat="1" ht="35.1" customHeight="1" thickBot="1">
      <c r="A92" s="611">
        <f t="shared" si="10"/>
        <v>38</v>
      </c>
      <c r="B92" s="526" t="s">
        <v>69</v>
      </c>
      <c r="C92" s="804">
        <f>+C89-C90-C91</f>
        <v>-48005623</v>
      </c>
      <c r="D92" s="804">
        <f t="shared" ref="D92:G92" si="14">+D89-D90-D91</f>
        <v>-42440279</v>
      </c>
      <c r="E92" s="804">
        <f t="shared" si="14"/>
        <v>0</v>
      </c>
      <c r="F92" s="804">
        <f t="shared" si="14"/>
        <v>0</v>
      </c>
      <c r="G92" s="804">
        <f t="shared" si="14"/>
        <v>-5565344</v>
      </c>
      <c r="H92" s="804"/>
      <c r="I92" s="525"/>
      <c r="Q92" s="544"/>
      <c r="R92" s="544"/>
      <c r="S92" s="544"/>
      <c r="T92" s="544"/>
      <c r="U92" s="544"/>
    </row>
    <row r="93" spans="1:21" s="216" customFormat="1">
      <c r="B93" s="233"/>
      <c r="C93" s="244"/>
      <c r="D93" s="245"/>
      <c r="E93" s="245"/>
      <c r="F93" s="245"/>
      <c r="G93" s="245"/>
      <c r="H93" s="245"/>
      <c r="I93" s="1078"/>
      <c r="Q93" s="544"/>
      <c r="R93" s="544"/>
      <c r="S93" s="544"/>
      <c r="T93" s="544"/>
      <c r="U93" s="544"/>
    </row>
    <row r="94" spans="1:21" s="216" customFormat="1" ht="20.45" customHeight="1">
      <c r="B94" s="57" t="s">
        <v>335</v>
      </c>
      <c r="C94" s="57"/>
      <c r="D94" s="57"/>
      <c r="E94" s="72"/>
      <c r="F94" s="72"/>
      <c r="I94" s="246"/>
    </row>
    <row r="95" spans="1:21" ht="21" customHeight="1">
      <c r="B95" s="250" t="str">
        <f>+B66</f>
        <v>1.  ADIT items related only to Non-Electric Operations or Production are directly assigned to Column C</v>
      </c>
      <c r="C95" s="57"/>
      <c r="D95" s="216"/>
      <c r="E95" s="57"/>
      <c r="F95" s="57"/>
      <c r="G95" s="72"/>
      <c r="H95" s="72"/>
      <c r="I95" s="72"/>
    </row>
    <row r="96" spans="1:21" ht="19.149999999999999" customHeight="1">
      <c r="B96" s="250" t="s">
        <v>304</v>
      </c>
      <c r="C96" s="57"/>
      <c r="D96" s="216"/>
      <c r="E96" s="57"/>
      <c r="F96" s="57"/>
      <c r="G96" s="72"/>
      <c r="H96" s="72"/>
      <c r="I96" s="72"/>
    </row>
    <row r="97" spans="2:9" ht="17.45" customHeight="1">
      <c r="B97" s="250" t="s">
        <v>316</v>
      </c>
      <c r="C97" s="57"/>
      <c r="D97" s="216"/>
      <c r="E97" s="57"/>
      <c r="F97" s="57"/>
      <c r="G97" s="72"/>
      <c r="H97" s="72"/>
      <c r="I97" s="72"/>
    </row>
    <row r="98" spans="2:9" ht="19.149999999999999" customHeight="1">
      <c r="B98" s="250" t="s">
        <v>317</v>
      </c>
      <c r="C98" s="57"/>
      <c r="D98" s="216"/>
      <c r="E98" s="57"/>
      <c r="F98" s="57"/>
      <c r="G98" s="72"/>
      <c r="H98" s="72"/>
      <c r="I98" s="72"/>
    </row>
    <row r="99" spans="2:9" ht="19.149999999999999" customHeight="1">
      <c r="B99" s="1170" t="s">
        <v>307</v>
      </c>
      <c r="C99" s="1170"/>
      <c r="D99" s="1170"/>
      <c r="E99" s="1170"/>
      <c r="F99" s="1170"/>
      <c r="G99" s="1170"/>
      <c r="H99" s="1170"/>
      <c r="I99" s="1170"/>
    </row>
    <row r="100" spans="2:9">
      <c r="B100" s="233" t="s">
        <v>308</v>
      </c>
      <c r="C100" s="613"/>
      <c r="D100" s="697"/>
      <c r="E100" s="613"/>
      <c r="F100" s="613"/>
      <c r="G100" s="613"/>
      <c r="H100" s="613"/>
      <c r="I100" s="1078"/>
    </row>
    <row r="101" spans="2:9" ht="15.75">
      <c r="B101" s="247"/>
      <c r="C101" s="248"/>
      <c r="D101" s="248"/>
      <c r="E101" s="248"/>
      <c r="F101" s="248"/>
      <c r="G101" s="248"/>
      <c r="H101" s="248"/>
      <c r="I101" s="248"/>
    </row>
    <row r="102" spans="2:9" ht="15.75">
      <c r="B102" s="1168"/>
      <c r="C102" s="1168"/>
      <c r="D102" s="1168"/>
      <c r="E102" s="1168"/>
      <c r="F102" s="1168"/>
      <c r="G102" s="1168"/>
      <c r="H102" s="1168"/>
      <c r="I102" s="1168"/>
    </row>
    <row r="103" spans="2:9">
      <c r="B103" s="57"/>
      <c r="C103" s="57"/>
      <c r="D103" s="57"/>
      <c r="E103" s="57"/>
      <c r="F103" s="57"/>
      <c r="G103" s="57"/>
      <c r="H103" s="57"/>
      <c r="I103" s="57"/>
    </row>
    <row r="104" spans="2:9">
      <c r="B104" s="57"/>
      <c r="C104" s="57"/>
      <c r="D104" s="57"/>
      <c r="E104" s="57"/>
      <c r="F104" s="57"/>
      <c r="G104" s="57"/>
      <c r="H104" s="57"/>
      <c r="I104" s="57"/>
    </row>
    <row r="105" spans="2:9">
      <c r="B105" s="57"/>
      <c r="C105" s="57"/>
      <c r="D105" s="57"/>
      <c r="E105" s="57"/>
      <c r="F105" s="57"/>
      <c r="G105" s="57"/>
      <c r="H105" s="57"/>
      <c r="I105" s="57"/>
    </row>
    <row r="106" spans="2:9" ht="15.75">
      <c r="B106" s="217"/>
      <c r="C106" s="57"/>
      <c r="D106" s="249"/>
      <c r="E106" s="249"/>
      <c r="F106" s="249"/>
      <c r="G106" s="249"/>
      <c r="H106" s="249"/>
      <c r="I106" s="249"/>
    </row>
    <row r="107" spans="2:9" ht="15.75">
      <c r="B107" s="217"/>
      <c r="C107" s="57"/>
      <c r="D107" s="249"/>
      <c r="E107" s="249"/>
      <c r="F107" s="249"/>
      <c r="G107" s="249"/>
      <c r="H107" s="249"/>
      <c r="I107" s="249"/>
    </row>
    <row r="108" spans="2:9">
      <c r="B108" s="250"/>
      <c r="C108" s="57"/>
      <c r="D108" s="72"/>
      <c r="E108" s="72"/>
      <c r="F108" s="57"/>
      <c r="G108" s="57"/>
      <c r="H108" s="57"/>
      <c r="I108" s="57"/>
    </row>
    <row r="109" spans="2:9">
      <c r="B109" s="250"/>
      <c r="C109" s="57"/>
      <c r="D109" s="26"/>
      <c r="E109" s="26"/>
      <c r="F109" s="57"/>
      <c r="G109" s="57"/>
      <c r="H109" s="57"/>
      <c r="I109" s="57"/>
    </row>
    <row r="110" spans="2:9">
      <c r="B110" s="250"/>
      <c r="C110" s="57"/>
      <c r="D110" s="26"/>
      <c r="E110" s="26"/>
      <c r="F110" s="57"/>
      <c r="G110" s="57"/>
      <c r="H110" s="57"/>
      <c r="I110" s="57"/>
    </row>
    <row r="111" spans="2:9">
      <c r="B111" s="250"/>
      <c r="C111" s="57"/>
      <c r="D111" s="26"/>
      <c r="E111" s="26"/>
      <c r="F111" s="57"/>
      <c r="G111" s="57"/>
      <c r="H111" s="57"/>
      <c r="I111" s="57"/>
    </row>
    <row r="112" spans="2:9">
      <c r="B112" s="250"/>
      <c r="C112" s="57"/>
      <c r="D112" s="26"/>
      <c r="E112" s="26"/>
      <c r="F112" s="57"/>
      <c r="G112" s="57"/>
      <c r="H112" s="57"/>
      <c r="I112" s="57"/>
    </row>
    <row r="113" spans="2:9">
      <c r="B113" s="250"/>
      <c r="C113" s="57"/>
      <c r="D113" s="26"/>
      <c r="E113" s="26"/>
      <c r="F113" s="57"/>
      <c r="G113" s="57"/>
      <c r="H113" s="57"/>
      <c r="I113" s="57"/>
    </row>
    <row r="114" spans="2:9">
      <c r="B114" s="250"/>
      <c r="C114" s="57"/>
      <c r="D114" s="26"/>
      <c r="E114" s="26"/>
      <c r="F114" s="57"/>
      <c r="G114" s="57"/>
      <c r="H114" s="57"/>
      <c r="I114" s="57"/>
    </row>
    <row r="115" spans="2:9">
      <c r="B115" s="250"/>
      <c r="C115" s="57"/>
      <c r="D115" s="26"/>
      <c r="E115" s="26"/>
      <c r="F115" s="57"/>
      <c r="G115" s="57"/>
      <c r="H115" s="57"/>
      <c r="I115" s="57"/>
    </row>
    <row r="116" spans="2:9">
      <c r="B116" s="250"/>
      <c r="C116" s="57"/>
      <c r="D116" s="26"/>
      <c r="E116" s="26"/>
      <c r="F116" s="57"/>
      <c r="G116" s="57"/>
      <c r="H116" s="57"/>
      <c r="I116" s="57"/>
    </row>
    <row r="117" spans="2:9">
      <c r="B117" s="250"/>
      <c r="C117" s="57"/>
      <c r="D117" s="26"/>
      <c r="E117" s="26"/>
      <c r="F117" s="57"/>
      <c r="G117" s="57"/>
      <c r="H117" s="57"/>
      <c r="I117" s="57"/>
    </row>
    <row r="118" spans="2:9">
      <c r="B118" s="250"/>
      <c r="C118" s="57"/>
      <c r="D118" s="26"/>
      <c r="E118" s="26"/>
      <c r="F118" s="57"/>
      <c r="G118" s="57"/>
      <c r="H118" s="57"/>
      <c r="I118" s="57"/>
    </row>
    <row r="119" spans="2:9">
      <c r="B119" s="57"/>
      <c r="C119" s="57"/>
      <c r="D119" s="26"/>
      <c r="E119" s="26"/>
      <c r="F119" s="57"/>
      <c r="G119" s="57"/>
      <c r="H119" s="57"/>
      <c r="I119" s="57"/>
    </row>
    <row r="120" spans="2:9">
      <c r="B120" s="250"/>
      <c r="C120" s="57"/>
      <c r="D120" s="26"/>
      <c r="E120" s="26"/>
      <c r="F120" s="57"/>
      <c r="G120" s="57"/>
      <c r="H120" s="57"/>
      <c r="I120" s="57"/>
    </row>
    <row r="121" spans="2:9">
      <c r="B121" s="57"/>
      <c r="C121" s="57"/>
      <c r="D121" s="26"/>
      <c r="E121" s="26"/>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row r="509" spans="2:9">
      <c r="B509" s="250"/>
      <c r="C509" s="57"/>
      <c r="D509" s="57"/>
      <c r="E509" s="57"/>
      <c r="F509" s="57"/>
      <c r="G509" s="57"/>
      <c r="H509" s="57"/>
      <c r="I509" s="57"/>
    </row>
    <row r="510" spans="2:9">
      <c r="B510" s="250"/>
      <c r="C510" s="57"/>
      <c r="D510" s="57"/>
      <c r="E510" s="57"/>
      <c r="F510" s="57"/>
      <c r="G510" s="57"/>
      <c r="H510" s="57"/>
      <c r="I510" s="57"/>
    </row>
    <row r="511" spans="2:9">
      <c r="B511" s="250"/>
      <c r="C511" s="57"/>
      <c r="D511" s="57"/>
      <c r="E511" s="57"/>
      <c r="F511" s="57"/>
      <c r="G511" s="57"/>
      <c r="H511" s="57"/>
      <c r="I511" s="57"/>
    </row>
    <row r="512" spans="2:9">
      <c r="B512" s="250"/>
      <c r="C512" s="57"/>
      <c r="D512" s="57"/>
      <c r="E512" s="57"/>
      <c r="F512" s="57"/>
      <c r="G512" s="57"/>
      <c r="H512" s="57"/>
      <c r="I512" s="57"/>
    </row>
    <row r="513" spans="2:9">
      <c r="B513" s="250"/>
      <c r="C513" s="57"/>
      <c r="D513" s="57"/>
      <c r="E513" s="57"/>
      <c r="F513" s="57"/>
      <c r="G513" s="57"/>
      <c r="H513" s="57"/>
      <c r="I513" s="57"/>
    </row>
    <row r="514" spans="2:9">
      <c r="B514" s="250"/>
      <c r="C514" s="57"/>
      <c r="D514" s="57"/>
      <c r="E514" s="57"/>
      <c r="F514" s="57"/>
      <c r="G514" s="57"/>
      <c r="H514" s="57"/>
      <c r="I514" s="57"/>
    </row>
    <row r="515" spans="2:9">
      <c r="B515" s="250"/>
      <c r="C515" s="57"/>
      <c r="D515" s="57"/>
      <c r="E515" s="57"/>
      <c r="F515" s="57"/>
      <c r="G515" s="57"/>
      <c r="H515" s="57"/>
      <c r="I515" s="57"/>
    </row>
    <row r="516" spans="2:9">
      <c r="B516" s="250"/>
      <c r="C516" s="57"/>
      <c r="D516" s="57"/>
      <c r="E516" s="57"/>
      <c r="F516" s="57"/>
      <c r="G516" s="57"/>
      <c r="H516" s="57"/>
      <c r="I516" s="57"/>
    </row>
    <row r="517" spans="2:9">
      <c r="B517" s="250"/>
      <c r="C517" s="57"/>
      <c r="D517" s="57"/>
      <c r="E517" s="57"/>
      <c r="F517" s="57"/>
      <c r="G517" s="57"/>
      <c r="H517" s="57"/>
      <c r="I517" s="57"/>
    </row>
    <row r="518" spans="2:9">
      <c r="B518" s="250"/>
      <c r="C518" s="57"/>
      <c r="D518" s="57"/>
      <c r="E518" s="57"/>
      <c r="F518" s="57"/>
      <c r="G518" s="57"/>
      <c r="H518" s="57"/>
      <c r="I518" s="5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A1" s="923"/>
      <c r="B1" s="1212" t="str">
        <f>+'9 - Excess ADIT'!I2</f>
        <v>Dayton Power and Light</v>
      </c>
      <c r="C1" s="1212"/>
      <c r="D1" s="1212"/>
      <c r="E1" s="1212"/>
      <c r="F1" s="1212"/>
      <c r="G1" s="1212"/>
      <c r="H1" s="1212"/>
      <c r="I1" s="1212"/>
      <c r="J1" s="1212"/>
      <c r="K1" s="1212"/>
      <c r="L1" s="1212"/>
      <c r="M1" s="1212"/>
      <c r="N1" s="923"/>
    </row>
    <row r="2" spans="1:14" ht="15.75">
      <c r="A2" s="923"/>
      <c r="B2" s="1212" t="str">
        <f>+'9 - Excess ADIT'!I3</f>
        <v xml:space="preserve">ATTACHMENT H-15A </v>
      </c>
      <c r="C2" s="1212"/>
      <c r="D2" s="1212"/>
      <c r="E2" s="1212"/>
      <c r="F2" s="1212"/>
      <c r="G2" s="1212"/>
      <c r="H2" s="1212"/>
      <c r="I2" s="1212"/>
      <c r="J2" s="1212"/>
      <c r="K2" s="1212"/>
      <c r="L2" s="1212"/>
      <c r="M2" s="1212"/>
      <c r="N2" s="923"/>
    </row>
    <row r="3" spans="1:14" ht="15.75">
      <c r="A3" s="923"/>
      <c r="B3" s="1212" t="s">
        <v>1001</v>
      </c>
      <c r="C3" s="1212"/>
      <c r="D3" s="1212"/>
      <c r="E3" s="1212"/>
      <c r="F3" s="1212"/>
      <c r="G3" s="1212"/>
      <c r="H3" s="1212"/>
      <c r="I3" s="1212"/>
      <c r="J3" s="1212"/>
      <c r="K3" s="1212"/>
      <c r="L3" s="1212"/>
      <c r="M3" s="1212"/>
      <c r="N3" s="923"/>
    </row>
    <row r="4" spans="1:14" ht="15.75">
      <c r="A4" s="923"/>
      <c r="B4" s="1212" t="s">
        <v>824</v>
      </c>
      <c r="C4" s="1212"/>
      <c r="D4" s="1212"/>
      <c r="E4" s="1212"/>
      <c r="F4" s="1212"/>
      <c r="G4" s="1212"/>
      <c r="H4" s="1212"/>
      <c r="I4" s="1212"/>
      <c r="J4" s="1212"/>
      <c r="K4" s="1212"/>
      <c r="L4" s="1212"/>
      <c r="M4" s="1212"/>
      <c r="N4" s="923"/>
    </row>
    <row r="5" spans="1:14" s="923" customFormat="1" ht="15.75">
      <c r="B5" s="1089"/>
      <c r="C5" s="1089"/>
      <c r="D5" s="1089"/>
      <c r="E5" s="1089"/>
      <c r="F5" s="1089"/>
      <c r="G5" s="1089"/>
      <c r="H5" s="1089"/>
      <c r="I5" s="1089"/>
      <c r="J5" s="1089"/>
      <c r="K5" s="1089"/>
      <c r="L5" s="1089"/>
      <c r="M5" s="1089"/>
    </row>
    <row r="6" spans="1:14">
      <c r="A6" s="923"/>
      <c r="B6" s="923"/>
      <c r="C6" s="923"/>
      <c r="D6" s="923"/>
      <c r="E6" s="923"/>
      <c r="F6" s="923"/>
      <c r="G6" s="923"/>
      <c r="H6" s="1206" t="s">
        <v>1002</v>
      </c>
      <c r="I6" s="1206"/>
      <c r="J6" s="1206"/>
      <c r="K6" s="1206"/>
      <c r="L6" s="1206"/>
      <c r="M6" s="923"/>
      <c r="N6" s="923"/>
    </row>
    <row r="7" spans="1:14" ht="47.25" customHeight="1">
      <c r="A7" s="559" t="s">
        <v>883</v>
      </c>
      <c r="B7" s="996" t="s">
        <v>825</v>
      </c>
      <c r="C7" s="996"/>
      <c r="D7" s="996" t="s">
        <v>506</v>
      </c>
      <c r="E7" s="996"/>
      <c r="F7" s="996" t="s">
        <v>446</v>
      </c>
      <c r="G7" s="996"/>
      <c r="H7" s="996" t="s">
        <v>58</v>
      </c>
      <c r="I7" s="996"/>
      <c r="J7" s="996" t="s">
        <v>1003</v>
      </c>
      <c r="K7" s="996"/>
      <c r="L7" s="996" t="s">
        <v>297</v>
      </c>
      <c r="M7" s="923"/>
      <c r="N7" s="1003" t="s">
        <v>1004</v>
      </c>
    </row>
    <row r="9" spans="1:14">
      <c r="A9" s="923">
        <v>1</v>
      </c>
      <c r="B9" s="559" t="s">
        <v>1005</v>
      </c>
      <c r="C9" s="923"/>
      <c r="D9" s="923">
        <v>920</v>
      </c>
      <c r="E9" s="923"/>
      <c r="F9" s="1154">
        <v>3383407.7700001448</v>
      </c>
      <c r="G9" s="1155"/>
      <c r="H9" s="1154">
        <v>1266679.826976334</v>
      </c>
      <c r="I9" s="1155"/>
      <c r="J9" s="1154">
        <v>2114024.0330236983</v>
      </c>
      <c r="K9" s="1155"/>
      <c r="L9" s="1154">
        <v>2703.9100000000044</v>
      </c>
      <c r="M9" s="1155"/>
      <c r="N9" s="1154">
        <v>0</v>
      </c>
    </row>
    <row r="10" spans="1:14">
      <c r="A10" s="923"/>
      <c r="B10" s="923"/>
      <c r="C10" s="923"/>
      <c r="D10" s="923"/>
      <c r="E10" s="923"/>
      <c r="F10" s="1155"/>
      <c r="G10" s="1155"/>
      <c r="H10" s="1155"/>
      <c r="I10" s="1155"/>
      <c r="J10" s="1155"/>
      <c r="K10" s="1155"/>
      <c r="L10" s="1155"/>
      <c r="M10" s="1155"/>
      <c r="N10" s="1155"/>
    </row>
    <row r="11" spans="1:14">
      <c r="A11" s="923">
        <f>+A9+1</f>
        <v>2</v>
      </c>
      <c r="B11" s="559" t="s">
        <v>1006</v>
      </c>
      <c r="C11" s="923"/>
      <c r="D11" s="923">
        <v>921</v>
      </c>
      <c r="E11" s="923"/>
      <c r="F11" s="1154">
        <v>30316663.199999988</v>
      </c>
      <c r="G11" s="1155"/>
      <c r="H11" s="1154">
        <v>3707195.2169812741</v>
      </c>
      <c r="I11" s="1155"/>
      <c r="J11" s="1154">
        <v>26538538.373018742</v>
      </c>
      <c r="K11" s="1155"/>
      <c r="L11" s="1154">
        <v>70929.61</v>
      </c>
      <c r="M11" s="1155"/>
      <c r="N11" s="1154">
        <v>0</v>
      </c>
    </row>
    <row r="12" spans="1:14">
      <c r="A12" s="923"/>
      <c r="B12" s="923"/>
      <c r="C12" s="923"/>
      <c r="D12" s="923"/>
      <c r="E12" s="923"/>
      <c r="F12" s="1155"/>
      <c r="G12" s="1155"/>
      <c r="H12" s="1155"/>
      <c r="I12" s="1155"/>
      <c r="J12" s="1155"/>
      <c r="K12" s="1155"/>
      <c r="L12" s="1155"/>
      <c r="M12" s="1155"/>
      <c r="N12" s="1155"/>
    </row>
    <row r="13" spans="1:14">
      <c r="A13" s="923">
        <f>+A11+1</f>
        <v>3</v>
      </c>
      <c r="B13" s="559" t="s">
        <v>1007</v>
      </c>
      <c r="C13" s="923"/>
      <c r="D13" s="923">
        <v>922</v>
      </c>
      <c r="E13" s="923"/>
      <c r="F13" s="1154">
        <v>-1748188.3899999997</v>
      </c>
      <c r="G13" s="1155"/>
      <c r="H13" s="1154">
        <v>-249332.1700000001</v>
      </c>
      <c r="I13" s="1155"/>
      <c r="J13" s="1154">
        <v>-1498856.2200000004</v>
      </c>
      <c r="K13" s="1155"/>
      <c r="L13" s="1154">
        <v>0</v>
      </c>
      <c r="M13" s="1155"/>
      <c r="N13" s="1154">
        <v>0</v>
      </c>
    </row>
    <row r="14" spans="1:14">
      <c r="A14" s="923"/>
      <c r="B14" s="923"/>
      <c r="C14" s="923"/>
      <c r="D14" s="923"/>
      <c r="E14" s="923"/>
      <c r="F14" s="1155"/>
      <c r="G14" s="1155"/>
      <c r="H14" s="1155"/>
      <c r="I14" s="1155"/>
      <c r="J14" s="1155"/>
      <c r="K14" s="1155"/>
      <c r="L14" s="1155"/>
      <c r="M14" s="1155"/>
      <c r="N14" s="1155"/>
    </row>
    <row r="15" spans="1:14">
      <c r="A15" s="923">
        <f>+A13+1</f>
        <v>4</v>
      </c>
      <c r="B15" s="559" t="s">
        <v>1008</v>
      </c>
      <c r="C15" s="923"/>
      <c r="D15" s="923">
        <v>923</v>
      </c>
      <c r="E15" s="923"/>
      <c r="F15" s="1154">
        <v>13867459.680000007</v>
      </c>
      <c r="G15" s="1155"/>
      <c r="H15" s="1154">
        <v>1841992.0029408708</v>
      </c>
      <c r="I15" s="1155"/>
      <c r="J15" s="1154">
        <v>12025468.177059133</v>
      </c>
      <c r="K15" s="1155"/>
      <c r="L15" s="1154">
        <v>0</v>
      </c>
      <c r="M15" s="1155"/>
      <c r="N15" s="1154">
        <v>0</v>
      </c>
    </row>
    <row r="16" spans="1:14">
      <c r="A16" s="923"/>
      <c r="B16" s="923"/>
      <c r="C16" s="923"/>
      <c r="D16" s="923"/>
      <c r="E16" s="923"/>
      <c r="F16" s="1155"/>
      <c r="G16" s="1155"/>
      <c r="H16" s="1155"/>
      <c r="I16" s="1155"/>
      <c r="J16" s="1155"/>
      <c r="K16" s="1155"/>
      <c r="L16" s="1155"/>
      <c r="M16" s="1155"/>
      <c r="N16" s="1155"/>
    </row>
    <row r="17" spans="1:14">
      <c r="A17" s="923">
        <f>+A15+1</f>
        <v>5</v>
      </c>
      <c r="B17" s="559" t="s">
        <v>1009</v>
      </c>
      <c r="C17" s="923"/>
      <c r="D17" s="923">
        <v>924</v>
      </c>
      <c r="E17" s="923"/>
      <c r="F17" s="1154">
        <v>4602175.5199999949</v>
      </c>
      <c r="G17" s="1155"/>
      <c r="H17" s="1154">
        <v>754767.20247586723</v>
      </c>
      <c r="I17" s="1155"/>
      <c r="J17" s="1154">
        <v>3847408.3175241356</v>
      </c>
      <c r="K17" s="1155"/>
      <c r="L17" s="1154">
        <v>0</v>
      </c>
      <c r="M17" s="1155"/>
      <c r="N17" s="1154">
        <v>0</v>
      </c>
    </row>
    <row r="18" spans="1:14">
      <c r="A18" s="923"/>
      <c r="B18" s="923"/>
      <c r="C18" s="923"/>
      <c r="D18" s="923"/>
      <c r="E18" s="923"/>
      <c r="F18" s="1155"/>
      <c r="G18" s="1155"/>
      <c r="H18" s="1155"/>
      <c r="I18" s="1155"/>
      <c r="J18" s="1155"/>
      <c r="K18" s="1155"/>
      <c r="L18" s="1155"/>
      <c r="M18" s="1155"/>
      <c r="N18" s="1155"/>
    </row>
    <row r="19" spans="1:14">
      <c r="A19" s="923">
        <f>+A17+1</f>
        <v>6</v>
      </c>
      <c r="B19" s="559" t="s">
        <v>1010</v>
      </c>
      <c r="C19" s="923"/>
      <c r="D19" s="923">
        <v>925</v>
      </c>
      <c r="E19" s="923"/>
      <c r="F19" s="1154">
        <v>2767819.44</v>
      </c>
      <c r="G19" s="1155"/>
      <c r="H19" s="1154">
        <v>356122.65961553203</v>
      </c>
      <c r="I19" s="1155"/>
      <c r="J19" s="1154">
        <v>2407933.7803844633</v>
      </c>
      <c r="K19" s="1155"/>
      <c r="L19" s="1154">
        <v>3763</v>
      </c>
      <c r="M19" s="1155"/>
      <c r="N19" s="1154">
        <v>0</v>
      </c>
    </row>
    <row r="20" spans="1:14">
      <c r="A20" s="923"/>
      <c r="B20" s="923"/>
      <c r="C20" s="923"/>
      <c r="D20" s="923"/>
      <c r="E20" s="923"/>
      <c r="F20" s="1155"/>
      <c r="G20" s="1155"/>
      <c r="H20" s="1155"/>
      <c r="I20" s="1155"/>
      <c r="J20" s="1155"/>
      <c r="K20" s="1155"/>
      <c r="L20" s="1155"/>
      <c r="M20" s="1155"/>
      <c r="N20" s="1155"/>
    </row>
    <row r="21" spans="1:14">
      <c r="A21" s="923">
        <f>+A19+1</f>
        <v>7</v>
      </c>
      <c r="B21" s="559" t="s">
        <v>1011</v>
      </c>
      <c r="C21" s="923"/>
      <c r="D21" s="923">
        <v>926</v>
      </c>
      <c r="E21" s="923"/>
      <c r="F21" s="1154">
        <v>9569703.590000011</v>
      </c>
      <c r="G21" s="1155"/>
      <c r="H21" s="1154">
        <v>1067589.4804299949</v>
      </c>
      <c r="I21" s="1155"/>
      <c r="J21" s="1154">
        <v>8498182.5995699931</v>
      </c>
      <c r="K21" s="1155"/>
      <c r="L21" s="1154">
        <v>3931.5100000000007</v>
      </c>
      <c r="M21" s="1155"/>
      <c r="N21" s="1154">
        <v>0</v>
      </c>
    </row>
    <row r="22" spans="1:14">
      <c r="A22" s="923"/>
      <c r="B22" s="923"/>
      <c r="C22" s="923"/>
      <c r="D22" s="923"/>
      <c r="E22" s="923"/>
      <c r="F22" s="1155"/>
      <c r="G22" s="1155"/>
      <c r="H22" s="1155"/>
      <c r="I22" s="1155"/>
      <c r="J22" s="1155"/>
      <c r="K22" s="1155"/>
      <c r="L22" s="1155"/>
      <c r="M22" s="1155"/>
      <c r="N22" s="1155"/>
    </row>
    <row r="23" spans="1:14">
      <c r="A23" s="923">
        <f>+A21+1</f>
        <v>8</v>
      </c>
      <c r="B23" s="559" t="s">
        <v>1012</v>
      </c>
      <c r="C23" s="923"/>
      <c r="D23" s="923">
        <v>927</v>
      </c>
      <c r="E23" s="923"/>
      <c r="F23" s="1154">
        <v>0</v>
      </c>
      <c r="G23" s="1155"/>
      <c r="H23" s="1154">
        <v>0</v>
      </c>
      <c r="I23" s="1155"/>
      <c r="J23" s="1154">
        <v>0</v>
      </c>
      <c r="K23" s="1155"/>
      <c r="L23" s="1154">
        <v>0</v>
      </c>
      <c r="M23" s="1155"/>
      <c r="N23" s="1154">
        <v>0</v>
      </c>
    </row>
    <row r="24" spans="1:14">
      <c r="A24" s="923"/>
      <c r="B24" s="923"/>
      <c r="C24" s="923"/>
      <c r="D24" s="923"/>
      <c r="E24" s="923"/>
      <c r="F24" s="1155"/>
      <c r="G24" s="1155"/>
      <c r="H24" s="1155"/>
      <c r="I24" s="1155"/>
      <c r="J24" s="1155"/>
      <c r="K24" s="1155"/>
      <c r="L24" s="1155"/>
      <c r="M24" s="1155"/>
      <c r="N24" s="1155"/>
    </row>
    <row r="25" spans="1:14">
      <c r="A25" s="923">
        <f>+A23+1</f>
        <v>9</v>
      </c>
      <c r="B25" s="559" t="s">
        <v>1013</v>
      </c>
      <c r="C25" s="923"/>
      <c r="D25" s="923">
        <v>928</v>
      </c>
      <c r="E25" s="923"/>
      <c r="F25" s="1154">
        <v>3517286.4100000011</v>
      </c>
      <c r="G25" s="1155"/>
      <c r="H25" s="1154">
        <v>0</v>
      </c>
      <c r="I25" s="1155"/>
      <c r="J25" s="1154">
        <v>3517286.41</v>
      </c>
      <c r="K25" s="1155"/>
      <c r="L25" s="1154">
        <v>0</v>
      </c>
      <c r="M25" s="1155"/>
      <c r="N25" s="1154">
        <v>0</v>
      </c>
    </row>
    <row r="26" spans="1:14">
      <c r="A26" s="923"/>
      <c r="B26" s="923"/>
      <c r="C26" s="923"/>
      <c r="D26" s="923"/>
      <c r="E26" s="923"/>
      <c r="F26" s="1155"/>
      <c r="G26" s="1155"/>
      <c r="H26" s="1155"/>
      <c r="I26" s="1155"/>
      <c r="J26" s="1155"/>
      <c r="K26" s="1155"/>
      <c r="L26" s="1155"/>
      <c r="M26" s="1155"/>
      <c r="N26" s="1155"/>
    </row>
    <row r="27" spans="1:14">
      <c r="A27" s="923">
        <f>+A25+1</f>
        <v>10</v>
      </c>
      <c r="B27" s="559" t="s">
        <v>1014</v>
      </c>
      <c r="C27" s="923"/>
      <c r="D27" s="923">
        <v>929</v>
      </c>
      <c r="E27" s="923"/>
      <c r="F27" s="1154">
        <v>-719426.88000000012</v>
      </c>
      <c r="G27" s="1155"/>
      <c r="H27" s="1154">
        <v>0</v>
      </c>
      <c r="I27" s="1155"/>
      <c r="J27" s="1154">
        <v>-719426.88000000012</v>
      </c>
      <c r="K27" s="1155"/>
      <c r="L27" s="1154">
        <v>0</v>
      </c>
      <c r="M27" s="1155"/>
      <c r="N27" s="1154">
        <v>0</v>
      </c>
    </row>
    <row r="28" spans="1:14">
      <c r="A28" s="923"/>
      <c r="B28" s="923"/>
      <c r="C28" s="923"/>
      <c r="D28" s="923"/>
      <c r="E28" s="923"/>
      <c r="F28" s="1155"/>
      <c r="G28" s="1155"/>
      <c r="H28" s="1155"/>
      <c r="I28" s="1155"/>
      <c r="J28" s="1155"/>
      <c r="K28" s="1155"/>
      <c r="L28" s="1155"/>
      <c r="M28" s="1155"/>
      <c r="N28" s="1155"/>
    </row>
    <row r="29" spans="1:14">
      <c r="A29" s="923">
        <f>+A27+1</f>
        <v>11</v>
      </c>
      <c r="B29" s="559" t="s">
        <v>1015</v>
      </c>
      <c r="C29" s="923"/>
      <c r="D29" s="923">
        <v>930.1</v>
      </c>
      <c r="E29" s="923"/>
      <c r="F29" s="1154">
        <v>570023.61</v>
      </c>
      <c r="G29" s="1155"/>
      <c r="H29" s="1154">
        <v>29678.62</v>
      </c>
      <c r="I29" s="1155"/>
      <c r="J29" s="1154">
        <v>540344.99</v>
      </c>
      <c r="K29" s="1155"/>
      <c r="L29" s="1154">
        <v>0</v>
      </c>
      <c r="M29" s="1155"/>
      <c r="N29" s="1154">
        <v>0</v>
      </c>
    </row>
    <row r="30" spans="1:14">
      <c r="A30" s="923"/>
      <c r="B30" s="923"/>
      <c r="C30" s="923"/>
      <c r="D30" s="923"/>
      <c r="E30" s="923"/>
      <c r="F30" s="1155"/>
      <c r="G30" s="1155"/>
      <c r="H30" s="1155"/>
      <c r="I30" s="1155"/>
      <c r="J30" s="1155"/>
      <c r="K30" s="1155"/>
      <c r="L30" s="1155"/>
      <c r="M30" s="1155"/>
      <c r="N30" s="1155"/>
    </row>
    <row r="31" spans="1:14">
      <c r="A31" s="923">
        <f>+A29+1</f>
        <v>12</v>
      </c>
      <c r="B31" s="559" t="s">
        <v>1016</v>
      </c>
      <c r="C31" s="923"/>
      <c r="D31" s="923">
        <v>930.2</v>
      </c>
      <c r="E31" s="923"/>
      <c r="F31" s="1154">
        <v>3302716.1199999987</v>
      </c>
      <c r="G31" s="1155"/>
      <c r="H31" s="1154">
        <v>10247.315400469208</v>
      </c>
      <c r="I31" s="1155"/>
      <c r="J31" s="1154">
        <v>3292468.8045995315</v>
      </c>
      <c r="K31" s="1155"/>
      <c r="L31" s="1154">
        <v>0</v>
      </c>
      <c r="M31" s="1155"/>
      <c r="N31" s="1154">
        <v>0</v>
      </c>
    </row>
    <row r="32" spans="1:14">
      <c r="A32" s="923"/>
      <c r="B32" s="923"/>
      <c r="C32" s="923"/>
      <c r="D32" s="923"/>
      <c r="E32" s="923"/>
      <c r="F32" s="1155"/>
      <c r="G32" s="1155"/>
      <c r="H32" s="1155"/>
      <c r="I32" s="1155"/>
      <c r="J32" s="1155"/>
      <c r="K32" s="1155"/>
      <c r="L32" s="1155"/>
      <c r="M32" s="1155"/>
      <c r="N32" s="1155"/>
    </row>
    <row r="33" spans="1:14">
      <c r="A33" s="923">
        <f>+A31+1</f>
        <v>13</v>
      </c>
      <c r="B33" s="559" t="s">
        <v>1017</v>
      </c>
      <c r="C33" s="923"/>
      <c r="D33" s="923">
        <v>931</v>
      </c>
      <c r="E33" s="923"/>
      <c r="F33" s="1154">
        <v>59962.840000000011</v>
      </c>
      <c r="G33" s="1155"/>
      <c r="H33" s="1154">
        <v>2473.0499999999997</v>
      </c>
      <c r="I33" s="1155"/>
      <c r="J33" s="1154">
        <v>57489.790000000008</v>
      </c>
      <c r="K33" s="1155"/>
      <c r="L33" s="1154">
        <v>0</v>
      </c>
      <c r="M33" s="1155"/>
      <c r="N33" s="1154">
        <v>0</v>
      </c>
    </row>
    <row r="34" spans="1:14">
      <c r="A34" s="923"/>
      <c r="B34" s="923"/>
      <c r="C34" s="923"/>
      <c r="D34" s="923"/>
      <c r="E34" s="923"/>
      <c r="F34" s="1155"/>
      <c r="G34" s="1155"/>
      <c r="H34" s="1155"/>
      <c r="I34" s="1155"/>
      <c r="J34" s="1155"/>
      <c r="K34" s="1155"/>
      <c r="L34" s="1155"/>
      <c r="M34" s="1155"/>
      <c r="N34" s="1155"/>
    </row>
    <row r="35" spans="1:14">
      <c r="A35" s="923">
        <f>+A33+1</f>
        <v>14</v>
      </c>
      <c r="B35" s="559" t="s">
        <v>1018</v>
      </c>
      <c r="C35" s="923"/>
      <c r="D35" s="923">
        <v>935</v>
      </c>
      <c r="E35" s="923"/>
      <c r="F35" s="1154">
        <v>4033278.5099999984</v>
      </c>
      <c r="G35" s="1155"/>
      <c r="H35" s="1154">
        <v>299845.05999999994</v>
      </c>
      <c r="I35" s="1155"/>
      <c r="J35" s="1154">
        <v>3733433.4499999988</v>
      </c>
      <c r="K35" s="1155"/>
      <c r="L35" s="1154">
        <v>0</v>
      </c>
      <c r="M35" s="1155"/>
      <c r="N35" s="1154">
        <v>0</v>
      </c>
    </row>
    <row r="36" spans="1:14">
      <c r="A36" s="923"/>
      <c r="B36" s="923"/>
      <c r="C36" s="923"/>
      <c r="D36" s="923"/>
      <c r="E36" s="923"/>
      <c r="F36" s="997"/>
      <c r="G36" s="997"/>
      <c r="H36" s="997"/>
      <c r="I36" s="997"/>
      <c r="J36" s="997"/>
      <c r="K36" s="997"/>
      <c r="L36" s="997"/>
      <c r="M36" s="923"/>
      <c r="N36" s="997"/>
    </row>
    <row r="37" spans="1:14">
      <c r="A37" s="923">
        <f>+A35+1</f>
        <v>15</v>
      </c>
      <c r="B37" s="559" t="s">
        <v>69</v>
      </c>
      <c r="C37" s="923"/>
      <c r="D37" s="923"/>
      <c r="E37" s="923"/>
      <c r="F37" s="893">
        <f>+SUM(F9:F35)</f>
        <v>73522881.420000151</v>
      </c>
      <c r="G37" s="893"/>
      <c r="H37" s="893">
        <f>+SUM(H9:H35)</f>
        <v>9087258.2648203447</v>
      </c>
      <c r="I37" s="893"/>
      <c r="J37" s="893">
        <f>+SUM(J9:J35)</f>
        <v>64354295.625179686</v>
      </c>
      <c r="K37" s="893"/>
      <c r="L37" s="893">
        <f>+SUM(L9:L35)</f>
        <v>81328.03</v>
      </c>
      <c r="M37" s="893"/>
      <c r="N37" s="893">
        <f>+SUM(N9:N35)</f>
        <v>0</v>
      </c>
    </row>
  </sheetData>
  <mergeCells count="5">
    <mergeCell ref="B1:M1"/>
    <mergeCell ref="B2:M2"/>
    <mergeCell ref="B3:M3"/>
    <mergeCell ref="B4:M4"/>
    <mergeCell ref="H6:L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H29" sqref="H29"/>
    </sheetView>
  </sheetViews>
  <sheetFormatPr defaultRowHeight="12.75"/>
  <cols>
    <col min="1" max="1" width="4.5703125" style="609" customWidth="1"/>
    <col min="2" max="2" width="33.7109375" customWidth="1"/>
    <col min="3" max="3" width="12.140625" bestFit="1" customWidth="1"/>
    <col min="4" max="4" width="12.140625" style="609" customWidth="1"/>
    <col min="5" max="5" width="17.42578125" style="609" customWidth="1"/>
    <col min="6" max="6" width="12.140625" style="609" customWidth="1"/>
    <col min="7" max="7" width="13.140625" bestFit="1" customWidth="1"/>
    <col min="8" max="8" width="18.28515625" customWidth="1"/>
    <col min="9" max="9" width="16.140625" customWidth="1"/>
    <col min="10" max="10" width="16.42578125" customWidth="1"/>
    <col min="11" max="11" width="14.7109375" customWidth="1"/>
    <col min="12" max="13" width="14.7109375" style="880" customWidth="1"/>
    <col min="14" max="14" width="19.42578125" customWidth="1"/>
    <col min="15" max="15" width="11.28515625" bestFit="1" customWidth="1"/>
    <col min="16" max="17" width="11.28515625" style="880" customWidth="1"/>
    <col min="18" max="18" width="14.7109375" customWidth="1"/>
    <col min="19" max="19" width="21.7109375" customWidth="1"/>
  </cols>
  <sheetData>
    <row r="1" spans="1:19" s="609" customFormat="1" ht="18">
      <c r="A1" s="923"/>
      <c r="B1" s="923"/>
      <c r="C1" s="923"/>
      <c r="D1" s="923"/>
      <c r="E1" s="923"/>
      <c r="F1" s="923"/>
      <c r="G1" s="923"/>
      <c r="H1" s="1090" t="s">
        <v>0</v>
      </c>
      <c r="I1" s="923"/>
      <c r="J1" s="923"/>
      <c r="K1" s="923"/>
      <c r="L1" s="923"/>
      <c r="M1" s="923"/>
      <c r="N1" s="923"/>
      <c r="O1" s="923"/>
      <c r="P1" s="923"/>
      <c r="Q1" s="923"/>
      <c r="R1" s="923"/>
      <c r="S1" s="878"/>
    </row>
    <row r="2" spans="1:19" s="609" customFormat="1" ht="18">
      <c r="A2" s="923"/>
      <c r="B2" s="923"/>
      <c r="C2" s="923"/>
      <c r="D2" s="923"/>
      <c r="E2" s="923"/>
      <c r="F2" s="923"/>
      <c r="G2" s="923"/>
      <c r="H2" s="1090" t="s">
        <v>336</v>
      </c>
      <c r="I2" s="923"/>
      <c r="J2" s="923"/>
      <c r="K2" s="923"/>
      <c r="L2" s="923"/>
      <c r="M2" s="923"/>
      <c r="N2" s="923"/>
      <c r="O2" s="923"/>
      <c r="P2" s="923"/>
      <c r="Q2" s="923"/>
      <c r="R2" s="923"/>
      <c r="S2" s="923"/>
    </row>
    <row r="3" spans="1:19" ht="18">
      <c r="A3" s="923"/>
      <c r="B3" s="598"/>
      <c r="C3" s="608"/>
      <c r="D3" s="608"/>
      <c r="E3" s="608"/>
      <c r="F3" s="608"/>
      <c r="G3" s="608"/>
      <c r="H3" s="642" t="s">
        <v>337</v>
      </c>
      <c r="I3" s="606"/>
      <c r="J3" s="608"/>
      <c r="K3" s="608"/>
      <c r="L3" s="608"/>
      <c r="M3" s="608"/>
      <c r="N3" s="608"/>
      <c r="O3" s="608"/>
      <c r="P3" s="608"/>
      <c r="Q3" s="608"/>
      <c r="R3" s="608"/>
      <c r="S3" s="923"/>
    </row>
    <row r="4" spans="1:19" s="682" customFormat="1" ht="18">
      <c r="A4" s="923"/>
      <c r="B4" s="598"/>
      <c r="C4" s="608"/>
      <c r="D4" s="608"/>
      <c r="E4" s="608"/>
      <c r="F4" s="608"/>
      <c r="G4" s="608"/>
      <c r="H4" s="642"/>
      <c r="I4" s="606"/>
      <c r="J4" s="608"/>
      <c r="K4" s="608"/>
      <c r="L4" s="608"/>
      <c r="M4" s="608"/>
      <c r="N4" s="608"/>
      <c r="O4" s="608"/>
      <c r="P4" s="608"/>
      <c r="Q4" s="608"/>
      <c r="R4" s="608"/>
      <c r="S4" s="923"/>
    </row>
    <row r="5" spans="1:19" s="682" customFormat="1" ht="18">
      <c r="A5" s="923"/>
      <c r="B5" s="218" t="s">
        <v>338</v>
      </c>
      <c r="C5" s="608"/>
      <c r="D5" s="608"/>
      <c r="E5" s="608"/>
      <c r="F5" s="608"/>
      <c r="G5" s="608"/>
      <c r="H5" s="642"/>
      <c r="I5" s="606"/>
      <c r="J5" s="608"/>
      <c r="K5" s="608"/>
      <c r="L5" s="608"/>
      <c r="M5" s="608"/>
      <c r="N5" s="608"/>
      <c r="O5" s="608"/>
      <c r="P5" s="608"/>
      <c r="Q5" s="608"/>
      <c r="R5" s="608"/>
      <c r="S5" s="923"/>
    </row>
    <row r="6" spans="1:19" ht="15">
      <c r="A6" s="214"/>
      <c r="B6" s="785" t="s">
        <v>339</v>
      </c>
      <c r="C6" s="597"/>
      <c r="D6" s="597"/>
      <c r="E6" s="597"/>
      <c r="F6" s="597"/>
      <c r="G6" s="597"/>
      <c r="H6" s="214"/>
      <c r="I6" s="214"/>
      <c r="J6" s="597"/>
      <c r="K6" s="597"/>
      <c r="L6" s="597"/>
      <c r="M6" s="597"/>
      <c r="N6" s="597"/>
      <c r="O6" s="597"/>
      <c r="P6" s="597"/>
      <c r="Q6" s="597"/>
      <c r="R6" s="597"/>
      <c r="S6" s="923"/>
    </row>
    <row r="7" spans="1:19" ht="15">
      <c r="A7" s="214"/>
      <c r="B7" s="603" t="s">
        <v>340</v>
      </c>
      <c r="C7" s="597"/>
      <c r="D7" s="597"/>
      <c r="E7" s="597"/>
      <c r="F7" s="597"/>
      <c r="G7" s="597"/>
      <c r="H7" s="597"/>
      <c r="I7" s="597"/>
      <c r="J7" s="597"/>
      <c r="K7" s="597"/>
      <c r="L7" s="597"/>
      <c r="M7" s="597"/>
      <c r="N7" s="597"/>
      <c r="O7" s="597"/>
      <c r="P7" s="597"/>
      <c r="Q7" s="597"/>
      <c r="R7" s="597"/>
      <c r="S7" s="923"/>
    </row>
    <row r="8" spans="1:19" ht="15">
      <c r="A8" s="214"/>
      <c r="B8" s="598" t="s">
        <v>341</v>
      </c>
      <c r="C8" s="598" t="s">
        <v>342</v>
      </c>
      <c r="D8" s="598" t="s">
        <v>343</v>
      </c>
      <c r="E8" s="598" t="s">
        <v>344</v>
      </c>
      <c r="F8" s="598" t="s">
        <v>345</v>
      </c>
      <c r="G8" s="598" t="s">
        <v>346</v>
      </c>
      <c r="H8" s="598" t="s">
        <v>347</v>
      </c>
      <c r="I8" s="598" t="s">
        <v>348</v>
      </c>
      <c r="J8" s="598" t="s">
        <v>349</v>
      </c>
      <c r="K8" s="598" t="s">
        <v>350</v>
      </c>
      <c r="L8" s="598" t="s">
        <v>351</v>
      </c>
      <c r="M8" s="598" t="s">
        <v>352</v>
      </c>
      <c r="N8" s="598" t="s">
        <v>353</v>
      </c>
      <c r="O8" s="598" t="s">
        <v>354</v>
      </c>
      <c r="P8" s="598" t="s">
        <v>355</v>
      </c>
      <c r="Q8" s="598" t="s">
        <v>356</v>
      </c>
      <c r="R8" s="598" t="s">
        <v>357</v>
      </c>
      <c r="S8" s="598" t="s">
        <v>358</v>
      </c>
    </row>
    <row r="9" spans="1:19" ht="75">
      <c r="A9" s="214"/>
      <c r="B9" s="604" t="s">
        <v>359</v>
      </c>
      <c r="C9" s="604" t="s">
        <v>360</v>
      </c>
      <c r="D9" s="604" t="s">
        <v>361</v>
      </c>
      <c r="E9" s="604" t="s">
        <v>362</v>
      </c>
      <c r="F9" s="604" t="s">
        <v>363</v>
      </c>
      <c r="G9" s="604" t="s">
        <v>364</v>
      </c>
      <c r="H9" s="604" t="s">
        <v>365</v>
      </c>
      <c r="I9" s="604" t="s">
        <v>58</v>
      </c>
      <c r="J9" s="604" t="s">
        <v>366</v>
      </c>
      <c r="K9" s="604" t="s">
        <v>367</v>
      </c>
      <c r="L9" s="604" t="s">
        <v>22</v>
      </c>
      <c r="M9" s="604" t="s">
        <v>368</v>
      </c>
      <c r="N9" s="604" t="s">
        <v>369</v>
      </c>
      <c r="O9" s="604" t="s">
        <v>370</v>
      </c>
      <c r="P9" s="604" t="s">
        <v>70</v>
      </c>
      <c r="Q9" s="604" t="s">
        <v>371</v>
      </c>
      <c r="R9" s="604" t="s">
        <v>372</v>
      </c>
      <c r="S9" s="604" t="s">
        <v>373</v>
      </c>
    </row>
    <row r="10" spans="1:19" ht="15">
      <c r="A10" s="214"/>
      <c r="B10" s="603"/>
      <c r="C10" s="598"/>
      <c r="D10" s="598"/>
      <c r="E10" s="598"/>
      <c r="F10" s="598"/>
      <c r="G10" s="598"/>
      <c r="H10" s="598"/>
      <c r="I10" s="598"/>
      <c r="J10" s="597"/>
      <c r="K10" s="597"/>
      <c r="L10" s="597"/>
      <c r="M10" s="597"/>
      <c r="N10" s="597"/>
      <c r="O10" s="597"/>
      <c r="P10" s="597"/>
      <c r="Q10" s="597"/>
      <c r="R10" s="261"/>
      <c r="S10" s="261"/>
    </row>
    <row r="11" spans="1:19" ht="45">
      <c r="A11" s="611">
        <v>1</v>
      </c>
      <c r="B11" s="680" t="s">
        <v>374</v>
      </c>
      <c r="C11" s="1099">
        <v>0</v>
      </c>
      <c r="D11" s="679"/>
      <c r="E11" s="679"/>
      <c r="F11" s="679"/>
      <c r="G11" s="55">
        <f>365/365</f>
        <v>1</v>
      </c>
      <c r="H11" s="811">
        <f>+J11+N11+R11</f>
        <v>-36610874.674874634</v>
      </c>
      <c r="I11" s="1100">
        <v>-36610874.674874634</v>
      </c>
      <c r="J11" s="813">
        <f>G11*I11</f>
        <v>-36610874.674874634</v>
      </c>
      <c r="K11" s="1100">
        <v>0</v>
      </c>
      <c r="L11" s="689">
        <f>+'Appendix A'!$H$27</f>
        <v>0.22530875362306943</v>
      </c>
      <c r="M11" s="881">
        <f>+K11*L11</f>
        <v>0</v>
      </c>
      <c r="N11" s="813">
        <f>+G11*M11</f>
        <v>0</v>
      </c>
      <c r="O11" s="1100">
        <v>0</v>
      </c>
      <c r="P11" s="689">
        <f>+'Appendix A'!$H$16</f>
        <v>0.15894128950099584</v>
      </c>
      <c r="Q11" s="881">
        <f>+O11*P11</f>
        <v>0</v>
      </c>
      <c r="R11" s="813">
        <f>+G11*Q11</f>
        <v>0</v>
      </c>
      <c r="S11" s="968">
        <f>+J11+N11+R11</f>
        <v>-36610874.674874634</v>
      </c>
    </row>
    <row r="12" spans="1:19" ht="15">
      <c r="A12" s="611">
        <f>+A11+1</f>
        <v>2</v>
      </c>
      <c r="B12" s="597" t="s">
        <v>375</v>
      </c>
      <c r="C12" s="1099">
        <v>0</v>
      </c>
      <c r="D12" s="618">
        <v>31</v>
      </c>
      <c r="E12" s="619">
        <f>E13+D13</f>
        <v>335</v>
      </c>
      <c r="F12" s="619">
        <f>SUM(D12:D23)</f>
        <v>365</v>
      </c>
      <c r="G12" s="55">
        <f>335/365</f>
        <v>0.9178082191780822</v>
      </c>
      <c r="H12" s="811">
        <f t="shared" ref="H12:H24" si="0">+J12+N12+R12</f>
        <v>-174028.53780838344</v>
      </c>
      <c r="I12" s="1100">
        <v>-189613.1829852536</v>
      </c>
      <c r="J12" s="813">
        <f t="shared" ref="J12:J23" si="1">G12*I12</f>
        <v>-174028.53780838344</v>
      </c>
      <c r="K12" s="1100">
        <v>0</v>
      </c>
      <c r="L12" s="689">
        <f>+'Appendix A'!$H$27</f>
        <v>0.22530875362306943</v>
      </c>
      <c r="M12" s="881">
        <f t="shared" ref="M12:M23" si="2">+K12*L12</f>
        <v>0</v>
      </c>
      <c r="N12" s="813">
        <f t="shared" ref="N12:N23" si="3">+G12*M12</f>
        <v>0</v>
      </c>
      <c r="O12" s="1100">
        <v>0</v>
      </c>
      <c r="P12" s="689">
        <f>+'Appendix A'!$H$16</f>
        <v>0.15894128950099584</v>
      </c>
      <c r="Q12" s="881">
        <f t="shared" ref="Q12:Q23" si="4">+O12*P12</f>
        <v>0</v>
      </c>
      <c r="R12" s="813">
        <f t="shared" ref="R12:R23" si="5">+G12*Q12</f>
        <v>0</v>
      </c>
      <c r="S12" s="968">
        <f t="shared" ref="S12:S24" si="6">+J12+N12+R12</f>
        <v>-174028.53780838344</v>
      </c>
    </row>
    <row r="13" spans="1:19" ht="15">
      <c r="A13" s="611">
        <f t="shared" ref="A13:A24" si="7">+A12+1</f>
        <v>3</v>
      </c>
      <c r="B13" s="597" t="s">
        <v>376</v>
      </c>
      <c r="C13" s="679">
        <f>+$C$12</f>
        <v>0</v>
      </c>
      <c r="D13" s="620">
        <v>28</v>
      </c>
      <c r="E13" s="619">
        <f t="shared" ref="E13:E20" si="8">E14+D14</f>
        <v>307</v>
      </c>
      <c r="F13" s="619">
        <f>F12</f>
        <v>365</v>
      </c>
      <c r="G13" s="55">
        <f>307/365</f>
        <v>0.84109589041095889</v>
      </c>
      <c r="H13" s="811">
        <f t="shared" si="0"/>
        <v>-159482.86897663795</v>
      </c>
      <c r="I13" s="1100">
        <v>-189613.1829852536</v>
      </c>
      <c r="J13" s="813">
        <f t="shared" si="1"/>
        <v>-159482.86897663795</v>
      </c>
      <c r="K13" s="1100">
        <v>0</v>
      </c>
      <c r="L13" s="689">
        <f>+'Appendix A'!$H$27</f>
        <v>0.22530875362306943</v>
      </c>
      <c r="M13" s="881">
        <f t="shared" si="2"/>
        <v>0</v>
      </c>
      <c r="N13" s="813">
        <f t="shared" si="3"/>
        <v>0</v>
      </c>
      <c r="O13" s="1100">
        <v>0</v>
      </c>
      <c r="P13" s="689">
        <f>+'Appendix A'!$H$16</f>
        <v>0.15894128950099584</v>
      </c>
      <c r="Q13" s="881">
        <f t="shared" si="4"/>
        <v>0</v>
      </c>
      <c r="R13" s="813">
        <f t="shared" si="5"/>
        <v>0</v>
      </c>
      <c r="S13" s="968">
        <f t="shared" si="6"/>
        <v>-159482.86897663795</v>
      </c>
    </row>
    <row r="14" spans="1:19" ht="15">
      <c r="A14" s="611">
        <f t="shared" si="7"/>
        <v>4</v>
      </c>
      <c r="B14" s="597" t="s">
        <v>377</v>
      </c>
      <c r="C14" s="679">
        <f t="shared" ref="C14:C23" si="9">+$C$12</f>
        <v>0</v>
      </c>
      <c r="D14" s="618">
        <v>31</v>
      </c>
      <c r="E14" s="619">
        <f t="shared" si="8"/>
        <v>276</v>
      </c>
      <c r="F14" s="619">
        <f t="shared" ref="F14:F23" si="10">F13</f>
        <v>365</v>
      </c>
      <c r="G14" s="55">
        <f>276/365</f>
        <v>0.75616438356164384</v>
      </c>
      <c r="H14" s="811">
        <f t="shared" si="0"/>
        <v>-143378.73562720546</v>
      </c>
      <c r="I14" s="1100">
        <v>-189613.1829852536</v>
      </c>
      <c r="J14" s="813">
        <f t="shared" si="1"/>
        <v>-143378.73562720546</v>
      </c>
      <c r="K14" s="1100">
        <v>0</v>
      </c>
      <c r="L14" s="689">
        <f>+'Appendix A'!$H$27</f>
        <v>0.22530875362306943</v>
      </c>
      <c r="M14" s="881">
        <f t="shared" si="2"/>
        <v>0</v>
      </c>
      <c r="N14" s="813">
        <f t="shared" si="3"/>
        <v>0</v>
      </c>
      <c r="O14" s="1100">
        <v>0</v>
      </c>
      <c r="P14" s="689">
        <f>+'Appendix A'!$H$16</f>
        <v>0.15894128950099584</v>
      </c>
      <c r="Q14" s="881">
        <f t="shared" si="4"/>
        <v>0</v>
      </c>
      <c r="R14" s="813">
        <f t="shared" si="5"/>
        <v>0</v>
      </c>
      <c r="S14" s="968">
        <f t="shared" si="6"/>
        <v>-143378.73562720546</v>
      </c>
    </row>
    <row r="15" spans="1:19" ht="15">
      <c r="A15" s="611">
        <f t="shared" si="7"/>
        <v>5</v>
      </c>
      <c r="B15" s="597" t="s">
        <v>378</v>
      </c>
      <c r="C15" s="679">
        <f t="shared" si="9"/>
        <v>0</v>
      </c>
      <c r="D15" s="618">
        <v>30</v>
      </c>
      <c r="E15" s="619">
        <f t="shared" si="8"/>
        <v>246</v>
      </c>
      <c r="F15" s="619">
        <f t="shared" si="10"/>
        <v>365</v>
      </c>
      <c r="G15" s="55">
        <f>246/365</f>
        <v>0.67397260273972603</v>
      </c>
      <c r="H15" s="811">
        <f t="shared" si="0"/>
        <v>-127794.09045033531</v>
      </c>
      <c r="I15" s="1100">
        <v>-189613.1829852536</v>
      </c>
      <c r="J15" s="813">
        <f t="shared" si="1"/>
        <v>-127794.09045033531</v>
      </c>
      <c r="K15" s="1100">
        <v>0</v>
      </c>
      <c r="L15" s="689">
        <f>+'Appendix A'!$H$27</f>
        <v>0.22530875362306943</v>
      </c>
      <c r="M15" s="881">
        <f t="shared" si="2"/>
        <v>0</v>
      </c>
      <c r="N15" s="813">
        <f t="shared" si="3"/>
        <v>0</v>
      </c>
      <c r="O15" s="1100">
        <v>0</v>
      </c>
      <c r="P15" s="689">
        <f>+'Appendix A'!$H$16</f>
        <v>0.15894128950099584</v>
      </c>
      <c r="Q15" s="881">
        <f t="shared" si="4"/>
        <v>0</v>
      </c>
      <c r="R15" s="813">
        <f t="shared" si="5"/>
        <v>0</v>
      </c>
      <c r="S15" s="968">
        <f t="shared" si="6"/>
        <v>-127794.09045033531</v>
      </c>
    </row>
    <row r="16" spans="1:19" ht="15">
      <c r="A16" s="611">
        <f t="shared" si="7"/>
        <v>6</v>
      </c>
      <c r="B16" s="597" t="s">
        <v>379</v>
      </c>
      <c r="C16" s="679">
        <f t="shared" si="9"/>
        <v>0</v>
      </c>
      <c r="D16" s="618">
        <v>31</v>
      </c>
      <c r="E16" s="619">
        <f t="shared" si="8"/>
        <v>215</v>
      </c>
      <c r="F16" s="619">
        <f t="shared" si="10"/>
        <v>365</v>
      </c>
      <c r="G16" s="55">
        <f>215/365</f>
        <v>0.58904109589041098</v>
      </c>
      <c r="H16" s="811">
        <f t="shared" si="0"/>
        <v>-111689.95710090282</v>
      </c>
      <c r="I16" s="1100">
        <v>-189613.1829852536</v>
      </c>
      <c r="J16" s="813">
        <f t="shared" si="1"/>
        <v>-111689.95710090282</v>
      </c>
      <c r="K16" s="1100">
        <v>0</v>
      </c>
      <c r="L16" s="689">
        <f>+'Appendix A'!$H$27</f>
        <v>0.22530875362306943</v>
      </c>
      <c r="M16" s="881">
        <f t="shared" si="2"/>
        <v>0</v>
      </c>
      <c r="N16" s="813">
        <f t="shared" si="3"/>
        <v>0</v>
      </c>
      <c r="O16" s="1100">
        <v>0</v>
      </c>
      <c r="P16" s="689">
        <f>+'Appendix A'!$H$16</f>
        <v>0.15894128950099584</v>
      </c>
      <c r="Q16" s="881">
        <f t="shared" si="4"/>
        <v>0</v>
      </c>
      <c r="R16" s="813">
        <f t="shared" si="5"/>
        <v>0</v>
      </c>
      <c r="S16" s="968">
        <f t="shared" si="6"/>
        <v>-111689.95710090282</v>
      </c>
    </row>
    <row r="17" spans="1:19" ht="15">
      <c r="A17" s="611">
        <f t="shared" si="7"/>
        <v>7</v>
      </c>
      <c r="B17" s="597" t="s">
        <v>380</v>
      </c>
      <c r="C17" s="679">
        <f t="shared" si="9"/>
        <v>0</v>
      </c>
      <c r="D17" s="618">
        <v>30</v>
      </c>
      <c r="E17" s="619">
        <f t="shared" si="8"/>
        <v>185</v>
      </c>
      <c r="F17" s="619">
        <f t="shared" si="10"/>
        <v>365</v>
      </c>
      <c r="G17" s="55">
        <f>185/365</f>
        <v>0.50684931506849318</v>
      </c>
      <c r="H17" s="811">
        <f t="shared" si="0"/>
        <v>-96105.311924032649</v>
      </c>
      <c r="I17" s="1100">
        <v>-189613.1829852536</v>
      </c>
      <c r="J17" s="813">
        <f t="shared" si="1"/>
        <v>-96105.311924032649</v>
      </c>
      <c r="K17" s="1100">
        <v>0</v>
      </c>
      <c r="L17" s="689">
        <f>+'Appendix A'!$H$27</f>
        <v>0.22530875362306943</v>
      </c>
      <c r="M17" s="881">
        <f t="shared" si="2"/>
        <v>0</v>
      </c>
      <c r="N17" s="813">
        <f t="shared" si="3"/>
        <v>0</v>
      </c>
      <c r="O17" s="1100">
        <v>0</v>
      </c>
      <c r="P17" s="689">
        <f>+'Appendix A'!$H$16</f>
        <v>0.15894128950099584</v>
      </c>
      <c r="Q17" s="881">
        <f t="shared" si="4"/>
        <v>0</v>
      </c>
      <c r="R17" s="813">
        <f t="shared" si="5"/>
        <v>0</v>
      </c>
      <c r="S17" s="968">
        <f t="shared" si="6"/>
        <v>-96105.311924032649</v>
      </c>
    </row>
    <row r="18" spans="1:19" ht="15">
      <c r="A18" s="611">
        <f t="shared" si="7"/>
        <v>8</v>
      </c>
      <c r="B18" s="597" t="s">
        <v>381</v>
      </c>
      <c r="C18" s="679">
        <f t="shared" si="9"/>
        <v>0</v>
      </c>
      <c r="D18" s="618">
        <v>31</v>
      </c>
      <c r="E18" s="619">
        <f t="shared" si="8"/>
        <v>154</v>
      </c>
      <c r="F18" s="619">
        <f t="shared" si="10"/>
        <v>365</v>
      </c>
      <c r="G18" s="55">
        <f>154/365</f>
        <v>0.42191780821917807</v>
      </c>
      <c r="H18" s="811">
        <f t="shared" si="0"/>
        <v>-80001.178574600155</v>
      </c>
      <c r="I18" s="1100">
        <v>-189613.1829852536</v>
      </c>
      <c r="J18" s="813">
        <f t="shared" si="1"/>
        <v>-80001.178574600155</v>
      </c>
      <c r="K18" s="1100">
        <v>0</v>
      </c>
      <c r="L18" s="689">
        <f>+'Appendix A'!$H$27</f>
        <v>0.22530875362306943</v>
      </c>
      <c r="M18" s="881">
        <f t="shared" si="2"/>
        <v>0</v>
      </c>
      <c r="N18" s="813">
        <f t="shared" si="3"/>
        <v>0</v>
      </c>
      <c r="O18" s="1100">
        <v>0</v>
      </c>
      <c r="P18" s="689">
        <f>+'Appendix A'!$H$16</f>
        <v>0.15894128950099584</v>
      </c>
      <c r="Q18" s="881">
        <f t="shared" si="4"/>
        <v>0</v>
      </c>
      <c r="R18" s="813">
        <f t="shared" si="5"/>
        <v>0</v>
      </c>
      <c r="S18" s="968">
        <f t="shared" si="6"/>
        <v>-80001.178574600155</v>
      </c>
    </row>
    <row r="19" spans="1:19" ht="15">
      <c r="A19" s="611">
        <f t="shared" si="7"/>
        <v>9</v>
      </c>
      <c r="B19" s="597" t="s">
        <v>382</v>
      </c>
      <c r="C19" s="679">
        <f t="shared" si="9"/>
        <v>0</v>
      </c>
      <c r="D19" s="618">
        <v>31</v>
      </c>
      <c r="E19" s="619">
        <f t="shared" si="8"/>
        <v>123</v>
      </c>
      <c r="F19" s="619">
        <f t="shared" si="10"/>
        <v>365</v>
      </c>
      <c r="G19" s="55">
        <f>123/365</f>
        <v>0.33698630136986302</v>
      </c>
      <c r="H19" s="811">
        <f t="shared" si="0"/>
        <v>-63897.045225167654</v>
      </c>
      <c r="I19" s="1100">
        <v>-189613.1829852536</v>
      </c>
      <c r="J19" s="813">
        <f t="shared" si="1"/>
        <v>-63897.045225167654</v>
      </c>
      <c r="K19" s="1100">
        <v>0</v>
      </c>
      <c r="L19" s="689">
        <f>+'Appendix A'!$H$27</f>
        <v>0.22530875362306943</v>
      </c>
      <c r="M19" s="881">
        <f t="shared" si="2"/>
        <v>0</v>
      </c>
      <c r="N19" s="813">
        <f t="shared" si="3"/>
        <v>0</v>
      </c>
      <c r="O19" s="1100">
        <v>0</v>
      </c>
      <c r="P19" s="689">
        <f>+'Appendix A'!$H$16</f>
        <v>0.15894128950099584</v>
      </c>
      <c r="Q19" s="881">
        <f t="shared" si="4"/>
        <v>0</v>
      </c>
      <c r="R19" s="813">
        <f t="shared" si="5"/>
        <v>0</v>
      </c>
      <c r="S19" s="968">
        <f t="shared" si="6"/>
        <v>-63897.045225167654</v>
      </c>
    </row>
    <row r="20" spans="1:19" ht="15">
      <c r="A20" s="611">
        <f t="shared" si="7"/>
        <v>10</v>
      </c>
      <c r="B20" s="597" t="s">
        <v>383</v>
      </c>
      <c r="C20" s="679">
        <f t="shared" si="9"/>
        <v>0</v>
      </c>
      <c r="D20" s="618">
        <v>30</v>
      </c>
      <c r="E20" s="619">
        <f t="shared" si="8"/>
        <v>93</v>
      </c>
      <c r="F20" s="619">
        <f t="shared" si="10"/>
        <v>365</v>
      </c>
      <c r="G20" s="55">
        <f>93/365</f>
        <v>0.25479452054794521</v>
      </c>
      <c r="H20" s="811">
        <f t="shared" si="0"/>
        <v>-48312.400048297495</v>
      </c>
      <c r="I20" s="1100">
        <v>-189613.1829852536</v>
      </c>
      <c r="J20" s="813">
        <f t="shared" si="1"/>
        <v>-48312.400048297495</v>
      </c>
      <c r="K20" s="1100">
        <v>0</v>
      </c>
      <c r="L20" s="689">
        <f>+'Appendix A'!$H$27</f>
        <v>0.22530875362306943</v>
      </c>
      <c r="M20" s="881">
        <f t="shared" si="2"/>
        <v>0</v>
      </c>
      <c r="N20" s="813">
        <f t="shared" si="3"/>
        <v>0</v>
      </c>
      <c r="O20" s="1100">
        <v>0</v>
      </c>
      <c r="P20" s="689">
        <f>+'Appendix A'!$H$16</f>
        <v>0.15894128950099584</v>
      </c>
      <c r="Q20" s="881">
        <f t="shared" si="4"/>
        <v>0</v>
      </c>
      <c r="R20" s="813">
        <f t="shared" si="5"/>
        <v>0</v>
      </c>
      <c r="S20" s="968">
        <f t="shared" si="6"/>
        <v>-48312.400048297495</v>
      </c>
    </row>
    <row r="21" spans="1:19" ht="15">
      <c r="A21" s="611">
        <f t="shared" si="7"/>
        <v>11</v>
      </c>
      <c r="B21" s="597" t="s">
        <v>384</v>
      </c>
      <c r="C21" s="679">
        <f t="shared" si="9"/>
        <v>0</v>
      </c>
      <c r="D21" s="618">
        <v>31</v>
      </c>
      <c r="E21" s="619">
        <f>E22+D22</f>
        <v>62</v>
      </c>
      <c r="F21" s="619">
        <f t="shared" si="10"/>
        <v>365</v>
      </c>
      <c r="G21" s="55">
        <f>62/365</f>
        <v>0.16986301369863013</v>
      </c>
      <c r="H21" s="811">
        <f t="shared" si="0"/>
        <v>-32208.266698864994</v>
      </c>
      <c r="I21" s="1100">
        <v>-189613.1829852536</v>
      </c>
      <c r="J21" s="813">
        <f t="shared" si="1"/>
        <v>-32208.266698864994</v>
      </c>
      <c r="K21" s="1100">
        <v>0</v>
      </c>
      <c r="L21" s="689">
        <f>+'Appendix A'!$H$27</f>
        <v>0.22530875362306943</v>
      </c>
      <c r="M21" s="881">
        <f t="shared" si="2"/>
        <v>0</v>
      </c>
      <c r="N21" s="813">
        <f t="shared" si="3"/>
        <v>0</v>
      </c>
      <c r="O21" s="1100">
        <v>0</v>
      </c>
      <c r="P21" s="689">
        <f>+'Appendix A'!$H$16</f>
        <v>0.15894128950099584</v>
      </c>
      <c r="Q21" s="881">
        <f t="shared" si="4"/>
        <v>0</v>
      </c>
      <c r="R21" s="813">
        <f t="shared" si="5"/>
        <v>0</v>
      </c>
      <c r="S21" s="968">
        <f t="shared" si="6"/>
        <v>-32208.266698864994</v>
      </c>
    </row>
    <row r="22" spans="1:19" ht="15">
      <c r="A22" s="611">
        <f t="shared" si="7"/>
        <v>12</v>
      </c>
      <c r="B22" s="597" t="s">
        <v>385</v>
      </c>
      <c r="C22" s="679">
        <f t="shared" si="9"/>
        <v>0</v>
      </c>
      <c r="D22" s="618">
        <v>30</v>
      </c>
      <c r="E22" s="619">
        <f>E23+D23</f>
        <v>32</v>
      </c>
      <c r="F22" s="619">
        <f t="shared" si="10"/>
        <v>365</v>
      </c>
      <c r="G22" s="55">
        <f>32/365</f>
        <v>8.7671232876712329E-2</v>
      </c>
      <c r="H22" s="811">
        <f t="shared" si="0"/>
        <v>-16623.621521994835</v>
      </c>
      <c r="I22" s="1100">
        <v>-189613.1829852536</v>
      </c>
      <c r="J22" s="813">
        <f t="shared" si="1"/>
        <v>-16623.621521994835</v>
      </c>
      <c r="K22" s="1100">
        <v>0</v>
      </c>
      <c r="L22" s="689">
        <f>+'Appendix A'!$H$27</f>
        <v>0.22530875362306943</v>
      </c>
      <c r="M22" s="881">
        <f t="shared" si="2"/>
        <v>0</v>
      </c>
      <c r="N22" s="813">
        <f t="shared" si="3"/>
        <v>0</v>
      </c>
      <c r="O22" s="1100">
        <v>0</v>
      </c>
      <c r="P22" s="689">
        <f>+'Appendix A'!$H$16</f>
        <v>0.15894128950099584</v>
      </c>
      <c r="Q22" s="881">
        <f t="shared" si="4"/>
        <v>0</v>
      </c>
      <c r="R22" s="813">
        <f t="shared" si="5"/>
        <v>0</v>
      </c>
      <c r="S22" s="968">
        <f t="shared" si="6"/>
        <v>-16623.621521994835</v>
      </c>
    </row>
    <row r="23" spans="1:19" ht="17.25">
      <c r="A23" s="611">
        <f t="shared" si="7"/>
        <v>13</v>
      </c>
      <c r="B23" s="597" t="s">
        <v>386</v>
      </c>
      <c r="C23" s="679">
        <f t="shared" si="9"/>
        <v>0</v>
      </c>
      <c r="D23" s="618">
        <v>31</v>
      </c>
      <c r="E23" s="619">
        <v>1</v>
      </c>
      <c r="F23" s="619">
        <f t="shared" si="10"/>
        <v>365</v>
      </c>
      <c r="G23" s="55">
        <f>1/365</f>
        <v>2.7397260273972603E-3</v>
      </c>
      <c r="H23" s="966">
        <f t="shared" si="0"/>
        <v>-519.4881725623386</v>
      </c>
      <c r="I23" s="1100">
        <v>-189613.1829852536</v>
      </c>
      <c r="J23" s="967">
        <f t="shared" si="1"/>
        <v>-519.4881725623386</v>
      </c>
      <c r="K23" s="1101">
        <v>0</v>
      </c>
      <c r="L23" s="689">
        <f>+'Appendix A'!$H$27</f>
        <v>0.22530875362306943</v>
      </c>
      <c r="M23" s="881">
        <f t="shared" si="2"/>
        <v>0</v>
      </c>
      <c r="N23" s="967">
        <f t="shared" si="3"/>
        <v>0</v>
      </c>
      <c r="O23" s="1101">
        <v>0</v>
      </c>
      <c r="P23" s="689">
        <f>+'Appendix A'!$H$16</f>
        <v>0.15894128950099584</v>
      </c>
      <c r="Q23" s="881">
        <f t="shared" si="4"/>
        <v>0</v>
      </c>
      <c r="R23" s="967">
        <f t="shared" si="5"/>
        <v>0</v>
      </c>
      <c r="S23" s="969">
        <f t="shared" si="6"/>
        <v>-519.4881725623386</v>
      </c>
    </row>
    <row r="24" spans="1:19" ht="15">
      <c r="A24" s="611">
        <f t="shared" si="7"/>
        <v>14</v>
      </c>
      <c r="B24" s="612" t="s">
        <v>387</v>
      </c>
      <c r="C24" s="597"/>
      <c r="D24" s="599">
        <f>+SUM(D12:D23)</f>
        <v>365</v>
      </c>
      <c r="E24" s="597"/>
      <c r="F24" s="597"/>
      <c r="G24" s="597"/>
      <c r="H24" s="811">
        <f t="shared" si="0"/>
        <v>-37664916.177003622</v>
      </c>
      <c r="I24" s="813">
        <f>SUM(I11:I23)</f>
        <v>-38886232.870697677</v>
      </c>
      <c r="J24" s="813">
        <f t="shared" ref="J24:O24" si="11">SUM(J11:J23)</f>
        <v>-37664916.177003622</v>
      </c>
      <c r="K24" s="813">
        <f t="shared" si="11"/>
        <v>0</v>
      </c>
      <c r="L24" s="813"/>
      <c r="M24" s="813"/>
      <c r="N24" s="813">
        <f t="shared" ref="N24" si="12">SUM(N11:N23)</f>
        <v>0</v>
      </c>
      <c r="O24" s="813">
        <f t="shared" si="11"/>
        <v>0</v>
      </c>
      <c r="P24" s="813"/>
      <c r="Q24" s="813"/>
      <c r="R24" s="813">
        <f t="shared" ref="R24" si="13">SUM(R11:R23)</f>
        <v>0</v>
      </c>
      <c r="S24" s="968">
        <f t="shared" si="6"/>
        <v>-37664916.177003622</v>
      </c>
    </row>
    <row r="25" spans="1:19" s="672" customFormat="1" ht="15">
      <c r="A25" s="611"/>
      <c r="B25" s="612"/>
      <c r="C25" s="597"/>
      <c r="D25" s="599"/>
      <c r="E25" s="597"/>
      <c r="F25" s="597"/>
      <c r="G25" s="597"/>
      <c r="H25" s="599"/>
      <c r="I25" s="599"/>
      <c r="J25" s="599"/>
      <c r="K25" s="599"/>
      <c r="L25" s="599"/>
      <c r="M25" s="599"/>
      <c r="N25" s="599"/>
      <c r="O25" s="599"/>
      <c r="P25" s="599"/>
      <c r="Q25" s="599"/>
      <c r="R25" s="599"/>
      <c r="S25" s="923"/>
    </row>
    <row r="26" spans="1:19" s="672" customFormat="1" ht="15">
      <c r="A26" s="611"/>
      <c r="B26" s="612"/>
      <c r="C26" s="597"/>
      <c r="D26" s="599"/>
      <c r="E26" s="597"/>
      <c r="F26" s="597"/>
      <c r="G26" s="597"/>
      <c r="H26" s="599"/>
      <c r="I26" s="599"/>
      <c r="J26" s="599"/>
      <c r="K26" s="599"/>
      <c r="L26" s="599"/>
      <c r="M26" s="599"/>
      <c r="N26" s="599"/>
      <c r="O26" s="599"/>
      <c r="P26" s="599"/>
      <c r="Q26" s="599"/>
      <c r="R26" s="599"/>
      <c r="S26" s="923"/>
    </row>
    <row r="27" spans="1:19" ht="15">
      <c r="A27" s="214"/>
      <c r="B27" s="214" t="s">
        <v>388</v>
      </c>
      <c r="C27" s="214"/>
      <c r="D27" s="214"/>
      <c r="E27" s="214"/>
      <c r="F27" s="214"/>
      <c r="G27" s="214"/>
      <c r="H27" s="214"/>
      <c r="I27" s="214"/>
      <c r="J27" s="214"/>
      <c r="K27" s="214"/>
      <c r="L27" s="214"/>
      <c r="M27" s="214"/>
      <c r="N27" s="214"/>
      <c r="O27" s="214"/>
      <c r="P27" s="214"/>
      <c r="Q27" s="214"/>
      <c r="R27" s="214"/>
      <c r="S27" s="923"/>
    </row>
    <row r="28" spans="1:19" ht="15">
      <c r="A28" s="214"/>
      <c r="B28" s="214"/>
      <c r="C28" s="214"/>
      <c r="D28" s="214"/>
      <c r="E28" s="214"/>
      <c r="F28" s="214"/>
      <c r="G28" s="214"/>
      <c r="H28" s="214"/>
      <c r="I28" s="214"/>
      <c r="J28" s="214"/>
      <c r="K28" s="214"/>
      <c r="L28" s="214"/>
      <c r="M28" s="214"/>
      <c r="N28" s="214"/>
      <c r="O28" s="214"/>
      <c r="P28" s="214"/>
      <c r="Q28" s="214"/>
      <c r="R28" s="214"/>
      <c r="S28" s="923"/>
    </row>
    <row r="29" spans="1:19" ht="15">
      <c r="A29" s="214"/>
      <c r="B29" s="214"/>
      <c r="C29" s="214"/>
      <c r="D29" s="214"/>
      <c r="E29" s="214"/>
      <c r="F29" s="214"/>
      <c r="G29" s="214"/>
      <c r="H29" s="214"/>
      <c r="I29" s="214"/>
      <c r="J29" s="214"/>
      <c r="K29" s="214"/>
      <c r="L29" s="214"/>
      <c r="M29" s="214"/>
      <c r="N29" s="214"/>
      <c r="O29" s="214"/>
      <c r="P29" s="214"/>
      <c r="Q29" s="214"/>
      <c r="R29" s="214"/>
      <c r="S29" s="923"/>
    </row>
    <row r="30" spans="1:19" ht="15">
      <c r="A30" s="214"/>
      <c r="B30" s="57"/>
      <c r="C30" s="214"/>
      <c r="D30" s="214"/>
      <c r="E30" s="214"/>
      <c r="F30" s="214"/>
      <c r="G30" s="214"/>
      <c r="H30" s="214"/>
      <c r="I30" s="214"/>
      <c r="J30" s="214"/>
      <c r="K30" s="214"/>
      <c r="L30" s="214"/>
      <c r="M30" s="214"/>
      <c r="N30" s="214"/>
      <c r="O30" s="214"/>
      <c r="P30" s="214"/>
      <c r="Q30" s="214"/>
      <c r="R30" s="214"/>
      <c r="S30" s="923"/>
    </row>
    <row r="31" spans="1:19" ht="15.75">
      <c r="A31" s="214"/>
      <c r="B31" s="1071" t="s">
        <v>389</v>
      </c>
      <c r="C31" s="214"/>
      <c r="D31" s="214"/>
      <c r="E31" s="214"/>
      <c r="F31" s="214"/>
      <c r="G31" s="214"/>
      <c r="H31" s="214"/>
      <c r="I31" s="214"/>
      <c r="J31" s="214"/>
      <c r="K31" s="214"/>
      <c r="L31" s="214"/>
      <c r="M31" s="214"/>
      <c r="N31" s="214"/>
      <c r="O31" s="214"/>
      <c r="P31" s="214"/>
      <c r="Q31" s="214"/>
      <c r="R31" s="214"/>
      <c r="S31" s="923"/>
    </row>
    <row r="32" spans="1:19" ht="15">
      <c r="A32" s="214"/>
      <c r="B32" s="214"/>
      <c r="C32" s="214"/>
      <c r="D32" s="214"/>
      <c r="E32" s="214"/>
      <c r="F32" s="214"/>
      <c r="G32" s="214"/>
      <c r="H32" s="214"/>
      <c r="I32" s="214"/>
      <c r="J32" s="214"/>
      <c r="K32" s="214"/>
      <c r="L32" s="214"/>
      <c r="M32" s="214"/>
      <c r="N32" s="214"/>
      <c r="O32" s="214"/>
      <c r="P32" s="214"/>
      <c r="Q32" s="214"/>
      <c r="R32" s="214"/>
      <c r="S32" s="923"/>
    </row>
    <row r="33" spans="1:18" ht="15">
      <c r="A33" s="214"/>
      <c r="B33" s="214"/>
      <c r="C33" s="214"/>
      <c r="D33" s="214"/>
      <c r="E33" s="214"/>
      <c r="F33" s="214"/>
      <c r="G33" s="214"/>
      <c r="H33" s="214"/>
      <c r="I33" s="214"/>
      <c r="J33" s="214"/>
      <c r="K33" s="214"/>
      <c r="L33" s="214"/>
      <c r="M33" s="214"/>
      <c r="N33" s="214"/>
      <c r="O33" s="214"/>
      <c r="P33" s="214"/>
      <c r="Q33" s="214"/>
      <c r="R33" s="214"/>
    </row>
    <row r="34" spans="1:18" ht="15">
      <c r="A34" s="214"/>
      <c r="B34" s="214"/>
      <c r="C34" s="214"/>
      <c r="D34" s="214"/>
      <c r="E34" s="214"/>
      <c r="F34" s="214"/>
      <c r="G34" s="214"/>
      <c r="H34" s="214"/>
      <c r="I34" s="214"/>
      <c r="J34" s="214"/>
      <c r="K34" s="214"/>
      <c r="L34" s="214"/>
      <c r="M34" s="214"/>
      <c r="N34" s="214"/>
      <c r="O34" s="214"/>
      <c r="P34" s="214"/>
      <c r="Q34" s="214"/>
      <c r="R34" s="214"/>
    </row>
    <row r="35" spans="1:18" ht="15">
      <c r="A35" s="214"/>
      <c r="B35" s="214"/>
      <c r="C35" s="214"/>
      <c r="D35" s="214"/>
      <c r="E35" s="214"/>
      <c r="F35" s="214"/>
      <c r="G35" s="214"/>
      <c r="H35" s="214"/>
      <c r="I35" s="214"/>
      <c r="J35" s="214"/>
      <c r="K35" s="214"/>
      <c r="L35" s="214"/>
      <c r="M35" s="214"/>
      <c r="N35" s="214"/>
      <c r="O35" s="214"/>
      <c r="P35" s="214"/>
      <c r="Q35" s="214"/>
      <c r="R35" s="214"/>
    </row>
    <row r="36" spans="1:18" ht="15">
      <c r="A36" s="214"/>
      <c r="B36" s="214"/>
      <c r="C36" s="214"/>
      <c r="D36" s="214"/>
      <c r="E36" s="214"/>
      <c r="F36" s="214"/>
      <c r="G36" s="214"/>
      <c r="H36" s="214"/>
      <c r="I36" s="214"/>
      <c r="J36" s="214"/>
      <c r="K36" s="214"/>
      <c r="L36" s="214"/>
      <c r="M36" s="214"/>
      <c r="N36" s="214"/>
      <c r="O36" s="214"/>
      <c r="P36" s="214"/>
      <c r="Q36" s="214"/>
      <c r="R36" s="214"/>
    </row>
    <row r="37" spans="1:18" ht="15">
      <c r="A37" s="214"/>
      <c r="B37" s="214"/>
      <c r="C37" s="214"/>
      <c r="D37" s="214"/>
      <c r="E37" s="214"/>
      <c r="F37" s="214"/>
      <c r="G37" s="214"/>
      <c r="H37" s="214"/>
      <c r="I37" s="214"/>
      <c r="J37" s="214"/>
      <c r="K37" s="214"/>
      <c r="L37" s="214"/>
      <c r="M37" s="214"/>
      <c r="N37" s="214"/>
      <c r="O37" s="214"/>
      <c r="P37" s="214"/>
      <c r="Q37" s="214"/>
      <c r="R37" s="214"/>
    </row>
    <row r="38" spans="1:18" ht="15">
      <c r="A38" s="214"/>
      <c r="B38" s="923"/>
      <c r="C38" s="214"/>
      <c r="D38" s="214"/>
      <c r="E38" s="214"/>
      <c r="F38" s="214"/>
      <c r="G38" s="214"/>
      <c r="H38" s="214"/>
      <c r="I38" s="214"/>
      <c r="J38" s="214"/>
      <c r="K38" s="214"/>
      <c r="L38" s="214"/>
      <c r="M38" s="214"/>
      <c r="N38" s="214"/>
      <c r="O38" s="214"/>
      <c r="P38" s="214"/>
      <c r="Q38" s="214"/>
      <c r="R38" s="214"/>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8"/>
  <sheetViews>
    <sheetView showGridLines="0" zoomScale="55" zoomScaleNormal="55" workbookViewId="0">
      <selection activeCell="I80" sqref="I80"/>
    </sheetView>
  </sheetViews>
  <sheetFormatPr defaultColWidth="18.7109375" defaultRowHeight="15"/>
  <cols>
    <col min="1" max="1" width="5.85546875" style="214" customWidth="1"/>
    <col min="2" max="2" width="65.7109375" style="241" customWidth="1"/>
    <col min="3" max="3" width="38.7109375" style="214" bestFit="1" customWidth="1"/>
    <col min="4" max="4" width="22.7109375" style="214" customWidth="1"/>
    <col min="5" max="5" width="23.7109375" style="214" customWidth="1"/>
    <col min="6" max="6" width="24.7109375" style="214" customWidth="1"/>
    <col min="7" max="7" width="24" style="214" bestFit="1" customWidth="1"/>
    <col min="8" max="8" width="24" style="214" customWidth="1"/>
    <col min="9" max="9" width="135.28515625" style="214" customWidth="1"/>
    <col min="10" max="10" width="19.28515625" style="214" customWidth="1"/>
    <col min="11" max="16384" width="18.7109375" style="214"/>
  </cols>
  <sheetData>
    <row r="1" spans="1:10" ht="18">
      <c r="B1" s="1164" t="str">
        <f>+'Appendix A'!A3</f>
        <v>Dayton Power and Light</v>
      </c>
      <c r="C1" s="1172"/>
      <c r="D1" s="1172"/>
      <c r="E1" s="1172"/>
      <c r="F1" s="1172"/>
      <c r="G1" s="1172"/>
      <c r="H1" s="1172"/>
      <c r="I1" s="1172"/>
      <c r="J1" s="213"/>
    </row>
    <row r="2" spans="1:10" ht="18">
      <c r="B2" s="1165" t="str">
        <f>+'1A - ADIT'!B2:I2</f>
        <v xml:space="preserve">ATTACHMENT H-15A </v>
      </c>
      <c r="C2" s="1165"/>
      <c r="D2" s="1165"/>
      <c r="E2" s="1165"/>
      <c r="F2" s="1165"/>
      <c r="G2" s="1165"/>
      <c r="H2" s="1165"/>
      <c r="I2" s="1165"/>
      <c r="J2" s="213"/>
    </row>
    <row r="3" spans="1:10" s="213" customFormat="1" ht="18">
      <c r="B3" s="1165" t="s">
        <v>390</v>
      </c>
      <c r="C3" s="1165"/>
      <c r="D3" s="1165"/>
      <c r="E3" s="1165"/>
      <c r="F3" s="1165"/>
      <c r="G3" s="1165"/>
      <c r="H3" s="1165"/>
      <c r="I3" s="1165"/>
      <c r="J3" s="215"/>
    </row>
    <row r="4" spans="1:10">
      <c r="B4" s="221"/>
      <c r="C4" s="220"/>
      <c r="D4" s="220"/>
      <c r="E4" s="220"/>
      <c r="F4" s="220"/>
      <c r="G4" s="220"/>
      <c r="H4" s="220"/>
      <c r="I4" s="220"/>
    </row>
    <row r="5" spans="1:10" ht="18">
      <c r="B5" s="45"/>
      <c r="C5" s="4"/>
      <c r="D5" s="221" t="s">
        <v>257</v>
      </c>
      <c r="E5" s="221"/>
      <c r="F5" s="218"/>
      <c r="G5" s="221"/>
      <c r="H5" s="221"/>
      <c r="I5" s="218"/>
    </row>
    <row r="6" spans="1:10" ht="18">
      <c r="B6" s="222"/>
      <c r="C6" s="218"/>
      <c r="D6" s="221" t="s">
        <v>58</v>
      </c>
      <c r="E6" s="221" t="s">
        <v>258</v>
      </c>
      <c r="F6" s="221" t="s">
        <v>259</v>
      </c>
      <c r="G6" s="663"/>
      <c r="H6" s="221" t="s">
        <v>69</v>
      </c>
      <c r="I6" s="878"/>
    </row>
    <row r="7" spans="1:10" ht="18">
      <c r="B7" s="222"/>
      <c r="C7" s="218"/>
      <c r="D7" s="221" t="s">
        <v>260</v>
      </c>
      <c r="E7" s="221" t="s">
        <v>260</v>
      </c>
      <c r="F7" s="221" t="s">
        <v>260</v>
      </c>
      <c r="G7" s="663"/>
      <c r="H7" s="221" t="s">
        <v>261</v>
      </c>
      <c r="I7" s="879"/>
    </row>
    <row r="8" spans="1:10" ht="25.5">
      <c r="B8" s="546"/>
      <c r="C8" s="543"/>
      <c r="D8" s="543"/>
      <c r="E8" s="543"/>
      <c r="F8" s="543"/>
      <c r="H8" s="543"/>
      <c r="I8" s="879"/>
      <c r="J8" s="547"/>
    </row>
    <row r="9" spans="1:10">
      <c r="A9" s="611">
        <v>1</v>
      </c>
      <c r="B9" s="222"/>
      <c r="C9" s="223" t="s">
        <v>273</v>
      </c>
      <c r="D9" s="224">
        <f>+E40</f>
        <v>0</v>
      </c>
      <c r="E9" s="224">
        <f>+F40</f>
        <v>431994</v>
      </c>
      <c r="F9" s="224">
        <f>+G40</f>
        <v>2318990</v>
      </c>
      <c r="G9" s="548"/>
      <c r="H9" s="224"/>
      <c r="I9" s="610" t="str">
        <f>"(Line "&amp;A40&amp;")"</f>
        <v>(Line 22)</v>
      </c>
    </row>
    <row r="10" spans="1:10">
      <c r="A10" s="611">
        <f>+A9+1</f>
        <v>2</v>
      </c>
      <c r="B10" s="222"/>
      <c r="C10" s="223" t="s">
        <v>310</v>
      </c>
      <c r="D10" s="224">
        <f>+E61</f>
        <v>-39606905.674874634</v>
      </c>
      <c r="E10" s="224">
        <f>+F61</f>
        <v>0</v>
      </c>
      <c r="F10" s="224">
        <f>+G61</f>
        <v>0</v>
      </c>
      <c r="G10" s="224"/>
      <c r="H10" s="224"/>
      <c r="I10" s="610" t="str">
        <f>"(Line "&amp;A61&amp;")"</f>
        <v>(Line 25)</v>
      </c>
    </row>
    <row r="11" spans="1:10">
      <c r="A11" s="611">
        <f>+A10+1</f>
        <v>3</v>
      </c>
      <c r="B11" s="222"/>
      <c r="C11" s="691" t="s">
        <v>318</v>
      </c>
      <c r="D11" s="678">
        <f>+E87</f>
        <v>0</v>
      </c>
      <c r="E11" s="678">
        <f>+F87</f>
        <v>0</v>
      </c>
      <c r="F11" s="678">
        <f>+G87</f>
        <v>-5565344</v>
      </c>
      <c r="G11" s="678"/>
      <c r="H11" s="224"/>
      <c r="I11" s="610" t="str">
        <f>"(Line "&amp;A87&amp;")"</f>
        <v>(Line 36)</v>
      </c>
    </row>
    <row r="12" spans="1:10">
      <c r="A12" s="611">
        <f>+A11+1</f>
        <v>4</v>
      </c>
      <c r="B12" s="222"/>
      <c r="C12" s="223" t="s">
        <v>92</v>
      </c>
      <c r="D12" s="224">
        <f>+SUM(D9:D11)</f>
        <v>-39606905.674874634</v>
      </c>
      <c r="E12" s="224">
        <f t="shared" ref="E12:F12" si="0">+SUM(E9:E11)</f>
        <v>431994</v>
      </c>
      <c r="F12" s="224">
        <f t="shared" si="0"/>
        <v>-3246354</v>
      </c>
      <c r="G12" s="224"/>
      <c r="H12" s="224"/>
      <c r="I12" s="610" t="str">
        <f>"(Line "&amp;A9&amp;" + Line "&amp;A10&amp;" + "&amp;A11&amp;")"</f>
        <v>(Line 1 + Line 2 + 3)</v>
      </c>
    </row>
    <row r="13" spans="1:10">
      <c r="A13" s="611">
        <f t="shared" ref="A13:A14" si="1">+A12+1</f>
        <v>5</v>
      </c>
      <c r="B13" s="222"/>
      <c r="C13" s="223" t="s">
        <v>14</v>
      </c>
      <c r="D13" s="218"/>
      <c r="E13" s="218"/>
      <c r="F13" s="689">
        <f>'Appendix A'!H16</f>
        <v>0.15894128950099584</v>
      </c>
      <c r="H13" s="218"/>
      <c r="I13" s="28" t="str">
        <f>"(Appendix A, Line "&amp;'Appendix A'!A16&amp;")"</f>
        <v>(Appendix A, Line 5)</v>
      </c>
    </row>
    <row r="14" spans="1:10">
      <c r="A14" s="611">
        <f t="shared" si="1"/>
        <v>6</v>
      </c>
      <c r="B14" s="222"/>
      <c r="C14" s="223" t="s">
        <v>22</v>
      </c>
      <c r="D14" s="218"/>
      <c r="E14" s="689">
        <f>'Appendix A'!H27</f>
        <v>0.22530875362306943</v>
      </c>
      <c r="F14" s="218"/>
      <c r="H14" s="218"/>
      <c r="I14" s="28" t="str">
        <f>"(Appendix A, Line "&amp;'Appendix A'!A27&amp;")"</f>
        <v>(Appendix A, Line 12)</v>
      </c>
    </row>
    <row r="15" spans="1:10" ht="15.75">
      <c r="A15" s="611">
        <f>+A14+1</f>
        <v>7</v>
      </c>
      <c r="B15" s="222"/>
      <c r="C15" s="223" t="s">
        <v>265</v>
      </c>
      <c r="D15" s="224">
        <f>+D12</f>
        <v>-39606905.674874634</v>
      </c>
      <c r="E15" s="224">
        <f>+E14*E12</f>
        <v>97332.02971264426</v>
      </c>
      <c r="F15" s="224">
        <f>+F13*F12</f>
        <v>-515979.69093671587</v>
      </c>
      <c r="G15" s="224"/>
      <c r="H15" s="225">
        <f>SUM(D15:G15)</f>
        <v>-40025553.336098701</v>
      </c>
      <c r="I15" s="610" t="str">
        <f>"(Line "&amp;A12&amp;" * Line "&amp;A13&amp;" or Line "&amp;A14&amp;")"</f>
        <v>(Line 4 * Line 5 or Line 6)</v>
      </c>
    </row>
    <row r="16" spans="1:10" ht="29.25" customHeight="1">
      <c r="A16" s="611"/>
      <c r="B16" s="222"/>
      <c r="C16" s="223"/>
      <c r="D16" s="224"/>
      <c r="E16" s="224"/>
      <c r="F16" s="224"/>
      <c r="G16" s="225"/>
      <c r="H16" s="225"/>
      <c r="I16" s="610"/>
    </row>
    <row r="17" spans="1:28" ht="15.75">
      <c r="A17" s="611"/>
      <c r="B17" s="222" t="s">
        <v>391</v>
      </c>
      <c r="C17" s="223"/>
      <c r="D17" s="224"/>
      <c r="E17" s="224"/>
      <c r="F17" s="224"/>
      <c r="G17" s="225"/>
      <c r="H17" s="225"/>
      <c r="I17" s="610"/>
      <c r="J17" s="542"/>
    </row>
    <row r="18" spans="1:28">
      <c r="A18" s="611"/>
      <c r="B18" s="218"/>
      <c r="C18" s="218"/>
      <c r="D18" s="218"/>
      <c r="E18" s="218"/>
      <c r="F18" s="218"/>
      <c r="G18" s="218"/>
      <c r="H18" s="218"/>
      <c r="I18" s="610"/>
    </row>
    <row r="19" spans="1:28">
      <c r="A19" s="611"/>
      <c r="B19" s="222" t="s">
        <v>271</v>
      </c>
      <c r="C19" s="218"/>
      <c r="D19" s="218"/>
      <c r="E19" s="218"/>
      <c r="F19" s="218"/>
      <c r="G19" s="218"/>
      <c r="H19" s="218"/>
      <c r="I19" s="610"/>
    </row>
    <row r="20" spans="1:28">
      <c r="A20" s="611"/>
      <c r="B20" s="222" t="s">
        <v>272</v>
      </c>
      <c r="C20" s="218"/>
      <c r="D20" s="218"/>
      <c r="E20" s="218"/>
      <c r="F20" s="218"/>
      <c r="G20" s="218"/>
      <c r="H20" s="218"/>
      <c r="I20" s="218"/>
    </row>
    <row r="21" spans="1:28">
      <c r="A21" s="611"/>
      <c r="B21" s="222"/>
      <c r="C21" s="218"/>
      <c r="D21" s="218"/>
      <c r="E21" s="218"/>
      <c r="F21" s="218"/>
      <c r="G21" s="223"/>
      <c r="H21" s="223"/>
      <c r="I21" s="218"/>
    </row>
    <row r="22" spans="1:28" ht="15.75">
      <c r="A22" s="611"/>
      <c r="B22" s="228" t="s">
        <v>209</v>
      </c>
      <c r="C22" s="1089" t="s">
        <v>211</v>
      </c>
      <c r="D22" s="1089" t="s">
        <v>213</v>
      </c>
      <c r="E22" s="1089" t="s">
        <v>215</v>
      </c>
      <c r="F22" s="1089" t="s">
        <v>217</v>
      </c>
      <c r="G22" s="1089" t="s">
        <v>219</v>
      </c>
      <c r="H22" s="1089"/>
      <c r="I22" s="1089" t="s">
        <v>221</v>
      </c>
    </row>
    <row r="23" spans="1:28" ht="25.15" customHeight="1">
      <c r="A23" s="611"/>
      <c r="B23" s="222"/>
      <c r="C23" s="221" t="s">
        <v>69</v>
      </c>
      <c r="D23" s="221"/>
      <c r="E23" s="221" t="s">
        <v>257</v>
      </c>
      <c r="F23" s="221"/>
      <c r="G23" s="221"/>
      <c r="H23" s="221"/>
    </row>
    <row r="24" spans="1:28" ht="41.25" customHeight="1">
      <c r="A24" s="611"/>
      <c r="B24" s="229" t="s">
        <v>273</v>
      </c>
      <c r="C24" s="221"/>
      <c r="D24" s="221"/>
      <c r="E24" s="221" t="s">
        <v>58</v>
      </c>
      <c r="F24" s="221" t="s">
        <v>258</v>
      </c>
      <c r="G24" s="221" t="s">
        <v>259</v>
      </c>
      <c r="H24" s="221"/>
      <c r="X24" s="506"/>
      <c r="Y24" s="506"/>
      <c r="Z24" s="506"/>
      <c r="AA24" s="506"/>
      <c r="AB24" s="506"/>
    </row>
    <row r="25" spans="1:28" ht="25.15" customHeight="1" thickBot="1">
      <c r="A25" s="611"/>
      <c r="B25" s="222"/>
      <c r="C25" s="221"/>
      <c r="D25" s="221" t="s">
        <v>274</v>
      </c>
      <c r="E25" s="221" t="s">
        <v>260</v>
      </c>
      <c r="F25" s="221" t="s">
        <v>260</v>
      </c>
      <c r="G25" s="221" t="s">
        <v>260</v>
      </c>
      <c r="H25" s="662"/>
      <c r="I25" s="221" t="s">
        <v>275</v>
      </c>
    </row>
    <row r="26" spans="1:28" ht="42.75" customHeight="1" thickBot="1">
      <c r="A26" s="611">
        <f>+A15+1</f>
        <v>8</v>
      </c>
      <c r="B26" s="528" t="s">
        <v>276</v>
      </c>
      <c r="C26" s="795">
        <v>418459</v>
      </c>
      <c r="D26" s="796">
        <v>0</v>
      </c>
      <c r="E26" s="796">
        <v>0</v>
      </c>
      <c r="F26" s="796">
        <v>0</v>
      </c>
      <c r="G26" s="796">
        <f>+C26</f>
        <v>418459</v>
      </c>
      <c r="H26" s="958"/>
      <c r="I26" s="616" t="s">
        <v>277</v>
      </c>
    </row>
    <row r="27" spans="1:28" ht="38.25" customHeight="1" thickBot="1">
      <c r="A27" s="611">
        <f>+A26+1</f>
        <v>9</v>
      </c>
      <c r="B27" s="530" t="s">
        <v>278</v>
      </c>
      <c r="C27" s="797">
        <v>2995371</v>
      </c>
      <c r="D27" s="798">
        <f>+C27</f>
        <v>2995371</v>
      </c>
      <c r="E27" s="798">
        <v>0</v>
      </c>
      <c r="F27" s="798">
        <v>0</v>
      </c>
      <c r="G27" s="796">
        <v>0</v>
      </c>
      <c r="H27" s="959"/>
      <c r="I27" s="616" t="s">
        <v>279</v>
      </c>
    </row>
    <row r="28" spans="1:28" ht="35.25" customHeight="1">
      <c r="A28" s="611">
        <f t="shared" ref="A28:A39" si="2">+A27+1</f>
        <v>10</v>
      </c>
      <c r="B28" s="530" t="s">
        <v>280</v>
      </c>
      <c r="C28" s="797">
        <v>1208210</v>
      </c>
      <c r="D28" s="798">
        <v>0</v>
      </c>
      <c r="E28" s="798">
        <v>0</v>
      </c>
      <c r="F28" s="798">
        <v>0</v>
      </c>
      <c r="G28" s="796">
        <f t="shared" ref="G28" si="3">+C28</f>
        <v>1208210</v>
      </c>
      <c r="H28" s="959"/>
      <c r="I28" s="616" t="s">
        <v>277</v>
      </c>
    </row>
    <row r="29" spans="1:28" ht="25.15" customHeight="1">
      <c r="A29" s="611">
        <f t="shared" si="2"/>
        <v>11</v>
      </c>
      <c r="B29" s="911" t="s">
        <v>281</v>
      </c>
      <c r="C29" s="797">
        <v>-1010449</v>
      </c>
      <c r="D29" s="798">
        <v>0</v>
      </c>
      <c r="E29" s="798">
        <v>0</v>
      </c>
      <c r="F29" s="798">
        <f>+C29</f>
        <v>-1010449</v>
      </c>
      <c r="G29" s="798">
        <v>0</v>
      </c>
      <c r="H29" s="959"/>
      <c r="I29" s="616" t="s">
        <v>282</v>
      </c>
    </row>
    <row r="30" spans="1:28" ht="25.15" customHeight="1">
      <c r="A30" s="611">
        <f t="shared" si="2"/>
        <v>12</v>
      </c>
      <c r="B30" s="530" t="s">
        <v>283</v>
      </c>
      <c r="C30" s="797">
        <v>651061</v>
      </c>
      <c r="D30" s="798">
        <v>0</v>
      </c>
      <c r="E30" s="798">
        <v>0</v>
      </c>
      <c r="F30" s="798">
        <v>0</v>
      </c>
      <c r="G30" s="798">
        <f>+C30</f>
        <v>651061</v>
      </c>
      <c r="H30" s="959"/>
      <c r="I30" s="616" t="s">
        <v>284</v>
      </c>
    </row>
    <row r="31" spans="1:28" ht="25.15" customHeight="1">
      <c r="A31" s="611">
        <f t="shared" si="2"/>
        <v>13</v>
      </c>
      <c r="B31" s="530" t="s">
        <v>285</v>
      </c>
      <c r="C31" s="797">
        <v>937976</v>
      </c>
      <c r="D31" s="798">
        <f>+C31</f>
        <v>937976</v>
      </c>
      <c r="E31" s="798">
        <v>0</v>
      </c>
      <c r="F31" s="798">
        <v>0</v>
      </c>
      <c r="G31" s="798">
        <v>0</v>
      </c>
      <c r="H31" s="959"/>
      <c r="I31" s="616" t="s">
        <v>392</v>
      </c>
    </row>
    <row r="32" spans="1:28" ht="25.15" customHeight="1">
      <c r="A32" s="611">
        <f t="shared" si="2"/>
        <v>14</v>
      </c>
      <c r="B32" s="530" t="s">
        <v>287</v>
      </c>
      <c r="C32" s="797">
        <v>41260</v>
      </c>
      <c r="D32" s="798">
        <v>0</v>
      </c>
      <c r="E32" s="798">
        <v>0</v>
      </c>
      <c r="F32" s="798">
        <v>0</v>
      </c>
      <c r="G32" s="798">
        <f>+C32</f>
        <v>41260</v>
      </c>
      <c r="H32" s="959"/>
      <c r="I32" s="616" t="s">
        <v>288</v>
      </c>
    </row>
    <row r="33" spans="1:10" s="216" customFormat="1" ht="35.1" customHeight="1">
      <c r="A33" s="611">
        <f t="shared" si="2"/>
        <v>15</v>
      </c>
      <c r="B33" s="530" t="s">
        <v>289</v>
      </c>
      <c r="C33" s="797">
        <v>899799</v>
      </c>
      <c r="D33" s="798">
        <f>+C33</f>
        <v>899799</v>
      </c>
      <c r="E33" s="798">
        <v>0</v>
      </c>
      <c r="F33" s="798">
        <v>0</v>
      </c>
      <c r="G33" s="798">
        <v>0</v>
      </c>
      <c r="H33" s="959"/>
      <c r="I33" s="616" t="s">
        <v>290</v>
      </c>
      <c r="J33" s="214"/>
    </row>
    <row r="34" spans="1:10" ht="35.1" customHeight="1">
      <c r="A34" s="611">
        <f t="shared" si="2"/>
        <v>16</v>
      </c>
      <c r="B34" s="530" t="s">
        <v>291</v>
      </c>
      <c r="C34" s="797">
        <v>431994</v>
      </c>
      <c r="D34" s="798">
        <v>0</v>
      </c>
      <c r="E34" s="798">
        <v>0</v>
      </c>
      <c r="F34" s="798">
        <f>+C34</f>
        <v>431994</v>
      </c>
      <c r="G34" s="798">
        <v>0</v>
      </c>
      <c r="H34" s="959"/>
      <c r="I34" s="616" t="s">
        <v>393</v>
      </c>
    </row>
    <row r="35" spans="1:10" ht="35.1" customHeight="1">
      <c r="A35" s="611">
        <f t="shared" si="2"/>
        <v>17</v>
      </c>
      <c r="B35" s="530" t="s">
        <v>293</v>
      </c>
      <c r="C35" s="797">
        <v>1325352</v>
      </c>
      <c r="D35" s="798">
        <f>+C35</f>
        <v>1325352</v>
      </c>
      <c r="E35" s="798">
        <v>0</v>
      </c>
      <c r="F35" s="798">
        <v>0</v>
      </c>
      <c r="G35" s="798">
        <v>0</v>
      </c>
      <c r="H35" s="959"/>
      <c r="I35" s="616" t="s">
        <v>394</v>
      </c>
    </row>
    <row r="36" spans="1:10" ht="35.1" customHeight="1">
      <c r="A36" s="611">
        <f t="shared" si="2"/>
        <v>18</v>
      </c>
      <c r="B36" s="530" t="s">
        <v>295</v>
      </c>
      <c r="C36" s="797">
        <v>-223999</v>
      </c>
      <c r="D36" s="798">
        <f>+C36</f>
        <v>-223999</v>
      </c>
      <c r="E36" s="798">
        <v>0</v>
      </c>
      <c r="F36" s="798">
        <v>0</v>
      </c>
      <c r="G36" s="798">
        <v>0</v>
      </c>
      <c r="H36" s="959"/>
      <c r="I36" s="616" t="s">
        <v>395</v>
      </c>
    </row>
    <row r="37" spans="1:10" ht="35.1" customHeight="1">
      <c r="A37" s="611">
        <f>+A36+1</f>
        <v>19</v>
      </c>
      <c r="B37" s="530" t="s">
        <v>297</v>
      </c>
      <c r="C37" s="799">
        <v>-437313</v>
      </c>
      <c r="D37" s="798">
        <f>+C37</f>
        <v>-437313</v>
      </c>
      <c r="E37" s="798">
        <v>0</v>
      </c>
      <c r="F37" s="798">
        <v>0</v>
      </c>
      <c r="G37" s="798">
        <v>0</v>
      </c>
      <c r="H37" s="959"/>
      <c r="I37" s="616" t="s">
        <v>396</v>
      </c>
    </row>
    <row r="38" spans="1:10" ht="35.1" customHeight="1">
      <c r="A38" s="611">
        <f t="shared" si="2"/>
        <v>20</v>
      </c>
      <c r="B38" s="531" t="s">
        <v>299</v>
      </c>
      <c r="C38" s="800">
        <f t="shared" ref="C38:F38" si="4">SUM(C26:C37)</f>
        <v>7237721</v>
      </c>
      <c r="D38" s="800">
        <f t="shared" si="4"/>
        <v>5497186</v>
      </c>
      <c r="E38" s="800">
        <f t="shared" si="4"/>
        <v>0</v>
      </c>
      <c r="F38" s="800">
        <f t="shared" si="4"/>
        <v>-578455</v>
      </c>
      <c r="G38" s="800">
        <f>SUM(G26:G37)</f>
        <v>2318990</v>
      </c>
      <c r="H38" s="800"/>
      <c r="I38" s="230"/>
    </row>
    <row r="39" spans="1:10" ht="35.1" customHeight="1">
      <c r="A39" s="611">
        <f t="shared" si="2"/>
        <v>21</v>
      </c>
      <c r="B39" s="527" t="s">
        <v>300</v>
      </c>
      <c r="C39" s="801">
        <f>SUM(D39:G39)</f>
        <v>-1010449</v>
      </c>
      <c r="D39" s="801">
        <f>D29</f>
        <v>0</v>
      </c>
      <c r="E39" s="802">
        <f>E29</f>
        <v>0</v>
      </c>
      <c r="F39" s="803">
        <f>F29</f>
        <v>-1010449</v>
      </c>
      <c r="G39" s="803">
        <f>G29</f>
        <v>0</v>
      </c>
      <c r="H39" s="803"/>
      <c r="I39" s="243" t="str">
        <f>+'1A - ADIT'!I44</f>
        <v>All FAS 109 items excluded from formula rate</v>
      </c>
    </row>
    <row r="40" spans="1:10" ht="38.25" customHeight="1" thickBot="1">
      <c r="A40" s="611">
        <f>+A39+1</f>
        <v>22</v>
      </c>
      <c r="B40" s="526" t="s">
        <v>69</v>
      </c>
      <c r="C40" s="804">
        <f>+C38-C39</f>
        <v>8248170</v>
      </c>
      <c r="D40" s="804">
        <f t="shared" ref="D40:G40" si="5">+D38-D39</f>
        <v>5497186</v>
      </c>
      <c r="E40" s="804">
        <f t="shared" si="5"/>
        <v>0</v>
      </c>
      <c r="F40" s="804">
        <f t="shared" si="5"/>
        <v>431994</v>
      </c>
      <c r="G40" s="804">
        <f t="shared" si="5"/>
        <v>2318990</v>
      </c>
      <c r="H40" s="804"/>
      <c r="I40" s="525"/>
      <c r="J40" s="216"/>
    </row>
    <row r="41" spans="1:10" ht="30" customHeight="1">
      <c r="A41" s="611"/>
      <c r="B41" s="217"/>
      <c r="C41" s="614"/>
      <c r="D41" s="615"/>
      <c r="E41" s="615"/>
      <c r="F41" s="615"/>
      <c r="G41" s="615"/>
      <c r="H41" s="615"/>
      <c r="I41" s="607"/>
      <c r="J41" s="216"/>
    </row>
    <row r="42" spans="1:10" ht="15.75" customHeight="1">
      <c r="A42" s="611"/>
      <c r="B42" s="57" t="s">
        <v>302</v>
      </c>
      <c r="C42" s="57"/>
      <c r="D42" s="245"/>
      <c r="E42" s="695"/>
      <c r="F42" s="72"/>
      <c r="G42" s="216"/>
      <c r="H42" s="216"/>
      <c r="I42" s="696"/>
    </row>
    <row r="43" spans="1:10" s="213" customFormat="1" ht="18">
      <c r="A43" s="570"/>
      <c r="B43" s="1169" t="s">
        <v>397</v>
      </c>
      <c r="C43" s="1170"/>
      <c r="D43" s="1170"/>
      <c r="E43" s="1170"/>
      <c r="F43" s="1170"/>
      <c r="G43" s="1170"/>
      <c r="H43" s="1170"/>
      <c r="I43" s="1170"/>
      <c r="J43" s="214"/>
    </row>
    <row r="44" spans="1:10" s="213" customFormat="1" ht="18">
      <c r="A44" s="570"/>
      <c r="B44" s="250" t="s">
        <v>304</v>
      </c>
      <c r="C44" s="57"/>
      <c r="D44" s="216"/>
      <c r="E44" s="57"/>
      <c r="F44" s="57"/>
      <c r="G44" s="72"/>
      <c r="H44" s="72"/>
      <c r="I44" s="72"/>
      <c r="J44" s="214"/>
    </row>
    <row r="45" spans="1:10" s="213" customFormat="1" ht="18">
      <c r="A45" s="570"/>
      <c r="B45" s="250" t="s">
        <v>316</v>
      </c>
      <c r="C45" s="57"/>
      <c r="D45" s="216"/>
      <c r="E45" s="57"/>
      <c r="F45" s="57"/>
      <c r="G45" s="72"/>
      <c r="H45" s="72"/>
      <c r="I45" s="72"/>
      <c r="J45" s="214"/>
    </row>
    <row r="46" spans="1:10">
      <c r="A46" s="611"/>
      <c r="B46" s="250" t="s">
        <v>398</v>
      </c>
      <c r="C46" s="57"/>
      <c r="D46" s="216"/>
      <c r="E46" s="57"/>
      <c r="F46" s="57"/>
      <c r="G46" s="72"/>
      <c r="H46" s="72"/>
      <c r="I46" s="72"/>
    </row>
    <row r="47" spans="1:10" ht="15" customHeight="1">
      <c r="A47" s="611"/>
      <c r="B47" s="1170" t="s">
        <v>399</v>
      </c>
      <c r="C47" s="1170"/>
      <c r="D47" s="1170"/>
      <c r="E47" s="1170"/>
      <c r="F47" s="1170"/>
      <c r="G47" s="1170"/>
      <c r="H47" s="1170"/>
      <c r="I47" s="1170"/>
    </row>
    <row r="48" spans="1:10">
      <c r="A48" s="611"/>
      <c r="B48" s="233" t="s">
        <v>308</v>
      </c>
      <c r="C48" s="613"/>
      <c r="D48" s="697"/>
      <c r="E48" s="613"/>
      <c r="F48" s="613"/>
      <c r="G48" s="613"/>
      <c r="H48" s="613"/>
      <c r="I48" s="1078"/>
    </row>
    <row r="49" spans="1:10">
      <c r="A49" s="611"/>
      <c r="B49" s="233"/>
      <c r="C49" s="216"/>
      <c r="D49" s="216"/>
      <c r="E49" s="216"/>
      <c r="F49" s="216"/>
      <c r="G49" s="216"/>
      <c r="H49" s="216"/>
      <c r="I49" s="216"/>
    </row>
    <row r="50" spans="1:10" ht="15.75">
      <c r="A50" s="611"/>
      <c r="B50" s="233"/>
      <c r="C50" s="675"/>
      <c r="D50" s="675"/>
      <c r="E50" s="675"/>
      <c r="F50" s="675"/>
      <c r="G50" s="675"/>
      <c r="H50" s="675"/>
      <c r="I50" s="1078"/>
    </row>
    <row r="51" spans="1:10" ht="18">
      <c r="A51" s="611"/>
      <c r="B51" s="1167" t="str">
        <f>+B1</f>
        <v>Dayton Power and Light</v>
      </c>
      <c r="C51" s="1171"/>
      <c r="D51" s="1171"/>
      <c r="E51" s="1171"/>
      <c r="F51" s="1171"/>
      <c r="G51" s="1171"/>
      <c r="H51" s="1171"/>
      <c r="I51" s="1171"/>
      <c r="J51" s="213"/>
    </row>
    <row r="52" spans="1:10" ht="18">
      <c r="A52" s="611"/>
      <c r="B52" s="1166" t="str">
        <f>+B2</f>
        <v xml:space="preserve">ATTACHMENT H-15A </v>
      </c>
      <c r="C52" s="1166"/>
      <c r="D52" s="1166"/>
      <c r="E52" s="1166"/>
      <c r="F52" s="1166"/>
      <c r="G52" s="1166"/>
      <c r="H52" s="1166"/>
      <c r="I52" s="1166"/>
      <c r="J52" s="213"/>
    </row>
    <row r="53" spans="1:10" ht="18">
      <c r="A53" s="611"/>
      <c r="B53" s="1166" t="str">
        <f>+B3</f>
        <v>Attachment 1C - Accumulated Deferred Income Taxes (ADIT) Worksheet - December 31 of Prior Year</v>
      </c>
      <c r="C53" s="1166"/>
      <c r="D53" s="1166"/>
      <c r="E53" s="1166"/>
      <c r="F53" s="1166"/>
      <c r="G53" s="1166"/>
      <c r="H53" s="1166"/>
      <c r="I53" s="1166"/>
      <c r="J53" s="213"/>
    </row>
    <row r="54" spans="1:10" ht="15.75">
      <c r="A54" s="611"/>
      <c r="B54" s="1173"/>
      <c r="C54" s="1173"/>
      <c r="D54" s="1173"/>
      <c r="E54" s="1173"/>
      <c r="F54" s="1173"/>
      <c r="G54" s="1173"/>
      <c r="H54" s="1173"/>
      <c r="I54" s="1173"/>
    </row>
    <row r="55" spans="1:10" ht="25.15" customHeight="1">
      <c r="A55" s="611"/>
      <c r="B55" s="675" t="s">
        <v>209</v>
      </c>
      <c r="C55" s="675" t="s">
        <v>211</v>
      </c>
      <c r="D55" s="675" t="s">
        <v>213</v>
      </c>
      <c r="E55" s="675" t="s">
        <v>215</v>
      </c>
      <c r="F55" s="675" t="s">
        <v>217</v>
      </c>
      <c r="G55" s="675" t="s">
        <v>219</v>
      </c>
      <c r="H55" s="1077"/>
      <c r="I55" s="878"/>
    </row>
    <row r="56" spans="1:10" ht="25.15" customHeight="1">
      <c r="A56" s="611"/>
      <c r="B56" s="216"/>
      <c r="C56" s="236" t="s">
        <v>69</v>
      </c>
      <c r="D56" s="236"/>
      <c r="E56" s="236" t="s">
        <v>257</v>
      </c>
      <c r="F56" s="236"/>
      <c r="G56" s="236"/>
      <c r="H56" s="236"/>
      <c r="I56" s="879"/>
    </row>
    <row r="57" spans="1:10" s="216" customFormat="1" ht="26.45" customHeight="1">
      <c r="A57" s="613"/>
      <c r="B57" s="237" t="s">
        <v>310</v>
      </c>
      <c r="C57" s="236"/>
      <c r="D57" s="236"/>
      <c r="E57" s="236" t="s">
        <v>58</v>
      </c>
      <c r="F57" s="236" t="s">
        <v>258</v>
      </c>
      <c r="G57" s="236" t="s">
        <v>259</v>
      </c>
      <c r="H57" s="236"/>
      <c r="I57" s="879"/>
      <c r="J57" s="214"/>
    </row>
    <row r="58" spans="1:10" ht="22.15" customHeight="1" thickBot="1">
      <c r="A58" s="611"/>
      <c r="B58" s="233"/>
      <c r="C58" s="236"/>
      <c r="D58" s="236" t="str">
        <f>+D25</f>
        <v>Excluded</v>
      </c>
      <c r="E58" s="236" t="s">
        <v>260</v>
      </c>
      <c r="F58" s="236" t="s">
        <v>260</v>
      </c>
      <c r="G58" s="236" t="s">
        <v>260</v>
      </c>
      <c r="H58" s="236"/>
      <c r="I58" s="1089" t="s">
        <v>400</v>
      </c>
    </row>
    <row r="59" spans="1:10" ht="27.6" customHeight="1">
      <c r="A59" s="611">
        <f>+A40+1</f>
        <v>23</v>
      </c>
      <c r="B59" s="1149" t="s">
        <v>311</v>
      </c>
      <c r="C59" s="1102">
        <f>+E59</f>
        <v>-36610874.674874634</v>
      </c>
      <c r="D59" s="1069">
        <v>0</v>
      </c>
      <c r="E59" s="1070">
        <v>-36610874.674874634</v>
      </c>
      <c r="F59" s="798">
        <v>0</v>
      </c>
      <c r="G59" s="798">
        <v>0</v>
      </c>
      <c r="H59" s="960"/>
      <c r="I59" s="1150" t="s">
        <v>401</v>
      </c>
    </row>
    <row r="60" spans="1:10" ht="35.1" customHeight="1">
      <c r="A60" s="611">
        <f>+A59+1</f>
        <v>24</v>
      </c>
      <c r="B60" s="530" t="s">
        <v>312</v>
      </c>
      <c r="C60" s="798">
        <v>-3069860</v>
      </c>
      <c r="D60" s="798">
        <v>-73829</v>
      </c>
      <c r="E60" s="808">
        <f>+C60-D60</f>
        <v>-2996031</v>
      </c>
      <c r="F60" s="798">
        <v>0</v>
      </c>
      <c r="G60" s="798">
        <v>0</v>
      </c>
      <c r="H60" s="959"/>
      <c r="I60" s="910" t="s">
        <v>313</v>
      </c>
    </row>
    <row r="61" spans="1:10" ht="35.1" customHeight="1" thickBot="1">
      <c r="A61" s="611">
        <f>+A60+1</f>
        <v>25</v>
      </c>
      <c r="B61" s="526" t="s">
        <v>69</v>
      </c>
      <c r="C61" s="804">
        <f>+SUM(C59:C60)</f>
        <v>-39680734.674874634</v>
      </c>
      <c r="D61" s="804">
        <f t="shared" ref="D61:G61" si="6">+SUM(D59:D60)</f>
        <v>-73829</v>
      </c>
      <c r="E61" s="804">
        <f t="shared" si="6"/>
        <v>-39606905.674874634</v>
      </c>
      <c r="F61" s="804">
        <f t="shared" si="6"/>
        <v>0</v>
      </c>
      <c r="G61" s="804">
        <f t="shared" si="6"/>
        <v>0</v>
      </c>
      <c r="H61" s="804"/>
      <c r="I61" s="525"/>
      <c r="J61" s="216"/>
    </row>
    <row r="62" spans="1:10" ht="23.45" customHeight="1">
      <c r="A62" s="611"/>
      <c r="B62" s="57" t="s">
        <v>314</v>
      </c>
      <c r="C62" s="217"/>
      <c r="D62" s="217"/>
      <c r="E62" s="1077"/>
      <c r="F62" s="231"/>
      <c r="G62" s="232"/>
      <c r="H62" s="232"/>
      <c r="I62" s="607"/>
    </row>
    <row r="63" spans="1:10" ht="23.45" customHeight="1">
      <c r="A63" s="611"/>
      <c r="B63" s="250" t="s">
        <v>315</v>
      </c>
      <c r="C63" s="217"/>
      <c r="D63" s="232"/>
      <c r="E63" s="217"/>
      <c r="F63" s="217"/>
      <c r="G63" s="1077"/>
      <c r="H63" s="1077"/>
      <c r="I63" s="1077"/>
    </row>
    <row r="64" spans="1:10" ht="15.75">
      <c r="A64" s="611"/>
      <c r="B64" s="250" t="s">
        <v>304</v>
      </c>
      <c r="C64" s="217"/>
      <c r="D64" s="232"/>
      <c r="E64" s="217"/>
      <c r="F64" s="217"/>
      <c r="G64" s="1077"/>
      <c r="H64" s="1077"/>
      <c r="I64" s="1077"/>
    </row>
    <row r="65" spans="1:10" ht="18" customHeight="1">
      <c r="A65" s="611"/>
      <c r="B65" s="250" t="s">
        <v>316</v>
      </c>
      <c r="C65" s="217"/>
      <c r="D65" s="232"/>
      <c r="E65" s="217"/>
      <c r="F65" s="217"/>
      <c r="G65" s="1077"/>
      <c r="H65" s="1077"/>
      <c r="I65" s="1077"/>
    </row>
    <row r="66" spans="1:10" s="213" customFormat="1" ht="18" customHeight="1">
      <c r="A66" s="570"/>
      <c r="B66" s="250" t="s">
        <v>317</v>
      </c>
      <c r="C66" s="217"/>
      <c r="D66" s="232"/>
      <c r="E66" s="217"/>
      <c r="F66" s="217"/>
      <c r="G66" s="1077"/>
      <c r="H66" s="1077"/>
      <c r="I66" s="1077"/>
      <c r="J66" s="214"/>
    </row>
    <row r="67" spans="1:10" s="213" customFormat="1" ht="18">
      <c r="A67" s="570"/>
      <c r="B67" s="1170" t="s">
        <v>399</v>
      </c>
      <c r="C67" s="1170"/>
      <c r="D67" s="1170"/>
      <c r="E67" s="1170"/>
      <c r="F67" s="1170"/>
      <c r="G67" s="1170"/>
      <c r="H67" s="1170"/>
      <c r="I67" s="1170"/>
      <c r="J67" s="214"/>
    </row>
    <row r="68" spans="1:10" s="213" customFormat="1" ht="18">
      <c r="A68" s="570"/>
      <c r="B68" s="233" t="s">
        <v>308</v>
      </c>
      <c r="C68" s="613"/>
      <c r="D68" s="697"/>
      <c r="E68" s="613"/>
      <c r="F68" s="613"/>
      <c r="G68" s="613"/>
      <c r="H68" s="613"/>
      <c r="I68" s="1078"/>
      <c r="J68" s="214"/>
    </row>
    <row r="69" spans="1:10" s="213" customFormat="1" ht="18">
      <c r="A69" s="570"/>
      <c r="B69" s="675"/>
      <c r="C69" s="234"/>
      <c r="D69" s="234"/>
      <c r="E69" s="234"/>
      <c r="F69" s="234"/>
      <c r="G69" s="234"/>
      <c r="H69" s="234"/>
      <c r="I69" s="234"/>
      <c r="J69" s="214"/>
    </row>
    <row r="70" spans="1:10" ht="18">
      <c r="A70" s="611"/>
      <c r="B70" s="251" t="str">
        <f>B1</f>
        <v>Dayton Power and Light</v>
      </c>
      <c r="C70" s="252"/>
      <c r="D70" s="252"/>
      <c r="E70" s="252"/>
      <c r="F70" s="252"/>
      <c r="G70" s="252"/>
      <c r="H70" s="252"/>
      <c r="I70" s="253"/>
      <c r="J70" s="213"/>
    </row>
    <row r="71" spans="1:10" ht="18">
      <c r="A71" s="611"/>
      <c r="B71" s="1167" t="str">
        <f>+B52</f>
        <v xml:space="preserve">ATTACHMENT H-15A </v>
      </c>
      <c r="C71" s="1167"/>
      <c r="D71" s="1167"/>
      <c r="E71" s="1167"/>
      <c r="F71" s="1167"/>
      <c r="G71" s="1167"/>
      <c r="H71" s="1167"/>
      <c r="I71" s="1167"/>
      <c r="J71" s="213"/>
    </row>
    <row r="72" spans="1:10" ht="18">
      <c r="A72" s="611"/>
      <c r="B72" s="1167" t="str">
        <f>+B3</f>
        <v>Attachment 1C - Accumulated Deferred Income Taxes (ADIT) Worksheet - December 31 of Prior Year</v>
      </c>
      <c r="C72" s="1167"/>
      <c r="D72" s="1167"/>
      <c r="E72" s="1167"/>
      <c r="F72" s="1167"/>
      <c r="G72" s="1167"/>
      <c r="H72" s="1167"/>
      <c r="I72" s="1167"/>
      <c r="J72" s="213"/>
    </row>
    <row r="73" spans="1:10" ht="20.100000000000001" customHeight="1">
      <c r="A73" s="611"/>
      <c r="B73" s="238"/>
      <c r="C73" s="215"/>
      <c r="D73" s="215"/>
      <c r="E73" s="215"/>
      <c r="F73" s="215"/>
      <c r="G73" s="211"/>
      <c r="H73" s="971"/>
      <c r="I73" s="267"/>
      <c r="J73" s="213"/>
    </row>
    <row r="74" spans="1:10" ht="36.75" customHeight="1">
      <c r="A74" s="611"/>
      <c r="B74" s="228" t="s">
        <v>209</v>
      </c>
      <c r="C74" s="1089" t="s">
        <v>211</v>
      </c>
      <c r="D74" s="1089" t="s">
        <v>213</v>
      </c>
      <c r="E74" s="1089" t="s">
        <v>215</v>
      </c>
      <c r="F74" s="1089" t="s">
        <v>217</v>
      </c>
      <c r="G74" s="1089" t="s">
        <v>219</v>
      </c>
      <c r="H74" s="228"/>
      <c r="I74" s="1089" t="s">
        <v>221</v>
      </c>
    </row>
    <row r="75" spans="1:10" ht="33.75" customHeight="1">
      <c r="A75" s="611"/>
      <c r="B75" s="237" t="s">
        <v>318</v>
      </c>
      <c r="C75" s="221" t="s">
        <v>69</v>
      </c>
      <c r="D75" s="240"/>
      <c r="E75" s="240" t="s">
        <v>402</v>
      </c>
      <c r="F75" s="240" t="s">
        <v>258</v>
      </c>
      <c r="G75" s="240" t="s">
        <v>259</v>
      </c>
      <c r="H75" s="228"/>
    </row>
    <row r="76" spans="1:10" ht="36" customHeight="1" thickBot="1">
      <c r="A76" s="611"/>
      <c r="C76" s="221"/>
      <c r="D76" s="221" t="str">
        <f>+D58</f>
        <v>Excluded</v>
      </c>
      <c r="E76" s="221" t="str">
        <f>+E58</f>
        <v>Related</v>
      </c>
      <c r="F76" s="221" t="str">
        <f>+F58</f>
        <v>Related</v>
      </c>
      <c r="G76" s="221" t="str">
        <f>+G58</f>
        <v>Related</v>
      </c>
      <c r="H76" s="228"/>
    </row>
    <row r="77" spans="1:10" ht="30.75" customHeight="1">
      <c r="A77" s="611">
        <f>+A61+1</f>
        <v>26</v>
      </c>
      <c r="B77" s="528" t="s">
        <v>319</v>
      </c>
      <c r="C77" s="796">
        <v>-6274880</v>
      </c>
      <c r="D77" s="796">
        <v>0</v>
      </c>
      <c r="E77" s="796">
        <v>0</v>
      </c>
      <c r="F77" s="796">
        <v>0</v>
      </c>
      <c r="G77" s="796">
        <f>+C77</f>
        <v>-6274880</v>
      </c>
      <c r="H77" s="960"/>
      <c r="I77" s="909" t="s">
        <v>320</v>
      </c>
    </row>
    <row r="78" spans="1:10" ht="43.5" customHeight="1">
      <c r="A78" s="611">
        <f>+A77+1</f>
        <v>27</v>
      </c>
      <c r="B78" s="530" t="s">
        <v>321</v>
      </c>
      <c r="C78" s="798">
        <v>-1477655</v>
      </c>
      <c r="D78" s="798">
        <f>+C78</f>
        <v>-1477655</v>
      </c>
      <c r="E78" s="798">
        <v>0</v>
      </c>
      <c r="F78" s="798">
        <v>0</v>
      </c>
      <c r="G78" s="798">
        <v>0</v>
      </c>
      <c r="H78" s="959"/>
      <c r="I78" s="617" t="s">
        <v>322</v>
      </c>
    </row>
    <row r="79" spans="1:10" ht="40.5" customHeight="1">
      <c r="A79" s="611">
        <f t="shared" ref="A79:A87" si="7">+A78+1</f>
        <v>28</v>
      </c>
      <c r="B79" s="530" t="s">
        <v>323</v>
      </c>
      <c r="C79" s="798">
        <v>-19784694</v>
      </c>
      <c r="D79" s="798">
        <f>+C79</f>
        <v>-19784694</v>
      </c>
      <c r="E79" s="798">
        <v>0</v>
      </c>
      <c r="F79" s="798">
        <v>0</v>
      </c>
      <c r="G79" s="798">
        <v>0</v>
      </c>
      <c r="H79" s="959"/>
      <c r="I79" s="617" t="s">
        <v>324</v>
      </c>
    </row>
    <row r="80" spans="1:10" s="218" customFormat="1" ht="33" customHeight="1">
      <c r="A80" s="972">
        <f t="shared" si="7"/>
        <v>29</v>
      </c>
      <c r="B80" s="911" t="s">
        <v>325</v>
      </c>
      <c r="C80" s="808">
        <v>0</v>
      </c>
      <c r="D80" s="808">
        <v>0</v>
      </c>
      <c r="E80" s="808">
        <v>0</v>
      </c>
      <c r="F80" s="808">
        <v>0</v>
      </c>
      <c r="G80" s="808">
        <v>0</v>
      </c>
      <c r="H80" s="959"/>
      <c r="I80" s="617" t="s">
        <v>326</v>
      </c>
    </row>
    <row r="81" spans="1:10" ht="25.15" customHeight="1">
      <c r="A81" s="611">
        <f t="shared" si="7"/>
        <v>30</v>
      </c>
      <c r="B81" s="911" t="s">
        <v>327</v>
      </c>
      <c r="C81" s="798">
        <v>14861511</v>
      </c>
      <c r="D81" s="798">
        <v>0</v>
      </c>
      <c r="E81" s="798">
        <v>0</v>
      </c>
      <c r="F81" s="798">
        <f>+C81</f>
        <v>14861511</v>
      </c>
      <c r="G81" s="798">
        <v>0</v>
      </c>
      <c r="H81" s="959"/>
      <c r="I81" s="617" t="s">
        <v>282</v>
      </c>
    </row>
    <row r="82" spans="1:10" ht="25.15" customHeight="1">
      <c r="A82" s="611">
        <f t="shared" si="7"/>
        <v>31</v>
      </c>
      <c r="B82" s="530" t="s">
        <v>328</v>
      </c>
      <c r="C82" s="798">
        <v>709536</v>
      </c>
      <c r="D82" s="798">
        <v>0</v>
      </c>
      <c r="E82" s="798">
        <v>0</v>
      </c>
      <c r="F82" s="798">
        <v>0</v>
      </c>
      <c r="G82" s="798">
        <f>+C82</f>
        <v>709536</v>
      </c>
      <c r="H82" s="959"/>
      <c r="I82" s="617" t="s">
        <v>329</v>
      </c>
    </row>
    <row r="83" spans="1:10" ht="25.15" customHeight="1" thickBot="1">
      <c r="A83" s="611">
        <f>+A82+1</f>
        <v>32</v>
      </c>
      <c r="B83" s="530" t="s">
        <v>297</v>
      </c>
      <c r="C83" s="798">
        <v>-22655585</v>
      </c>
      <c r="D83" s="798">
        <f>+C83</f>
        <v>-22655585</v>
      </c>
      <c r="E83" s="798">
        <v>0</v>
      </c>
      <c r="F83" s="798">
        <v>0</v>
      </c>
      <c r="G83" s="798">
        <v>0</v>
      </c>
      <c r="H83" s="959"/>
      <c r="I83" s="617" t="s">
        <v>403</v>
      </c>
    </row>
    <row r="84" spans="1:10" s="216" customFormat="1" ht="35.1" customHeight="1">
      <c r="A84" s="611">
        <f t="shared" si="7"/>
        <v>33</v>
      </c>
      <c r="B84" s="254" t="s">
        <v>331</v>
      </c>
      <c r="C84" s="809">
        <f>SUM(C77:C83)</f>
        <v>-34621767</v>
      </c>
      <c r="D84" s="809">
        <f t="shared" ref="D84:G84" si="8">SUM(D77:D83)</f>
        <v>-43917934</v>
      </c>
      <c r="E84" s="809">
        <f t="shared" si="8"/>
        <v>0</v>
      </c>
      <c r="F84" s="809">
        <f>SUM(F77:F83)</f>
        <v>14861511</v>
      </c>
      <c r="G84" s="809">
        <f t="shared" si="8"/>
        <v>-5565344</v>
      </c>
      <c r="H84" s="963"/>
      <c r="I84" s="255"/>
      <c r="J84" s="214"/>
    </row>
    <row r="85" spans="1:10" s="216" customFormat="1" ht="15.6" customHeight="1">
      <c r="A85" s="611">
        <f t="shared" si="7"/>
        <v>34</v>
      </c>
      <c r="B85" s="242" t="s">
        <v>332</v>
      </c>
      <c r="C85" s="801">
        <f>+C81</f>
        <v>14861511</v>
      </c>
      <c r="D85" s="801">
        <f>+D81</f>
        <v>0</v>
      </c>
      <c r="E85" s="801">
        <f>+E81</f>
        <v>0</v>
      </c>
      <c r="F85" s="801">
        <f>+F81</f>
        <v>14861511</v>
      </c>
      <c r="G85" s="801">
        <f>+G81</f>
        <v>0</v>
      </c>
      <c r="H85" s="814"/>
      <c r="I85" s="243"/>
      <c r="J85" s="214"/>
    </row>
    <row r="86" spans="1:10" s="216" customFormat="1" ht="15.6" customHeight="1">
      <c r="A86" s="611">
        <f t="shared" si="7"/>
        <v>35</v>
      </c>
      <c r="B86" s="601" t="s">
        <v>333</v>
      </c>
      <c r="C86" s="810">
        <f>+C78</f>
        <v>-1477655</v>
      </c>
      <c r="D86" s="810">
        <f>+D78</f>
        <v>-1477655</v>
      </c>
      <c r="E86" s="810">
        <f>+E78</f>
        <v>0</v>
      </c>
      <c r="F86" s="810">
        <f>+F78</f>
        <v>0</v>
      </c>
      <c r="G86" s="810">
        <f>+G78</f>
        <v>0</v>
      </c>
      <c r="H86" s="815"/>
      <c r="I86" s="602" t="s">
        <v>334</v>
      </c>
      <c r="J86" s="214"/>
    </row>
    <row r="87" spans="1:10" s="216" customFormat="1" ht="35.1" customHeight="1" thickBot="1">
      <c r="A87" s="611">
        <f t="shared" si="7"/>
        <v>36</v>
      </c>
      <c r="B87" s="526" t="s">
        <v>69</v>
      </c>
      <c r="C87" s="804">
        <f>+C84-C85-C86</f>
        <v>-48005623</v>
      </c>
      <c r="D87" s="804">
        <f t="shared" ref="D87:G87" si="9">+D84-D85-D86</f>
        <v>-42440279</v>
      </c>
      <c r="E87" s="804">
        <f t="shared" si="9"/>
        <v>0</v>
      </c>
      <c r="F87" s="804">
        <f t="shared" si="9"/>
        <v>0</v>
      </c>
      <c r="G87" s="804">
        <f t="shared" si="9"/>
        <v>-5565344</v>
      </c>
      <c r="H87" s="804"/>
      <c r="I87" s="525"/>
    </row>
    <row r="88" spans="1:10" ht="28.15" customHeight="1">
      <c r="A88" s="611"/>
      <c r="B88" s="57" t="s">
        <v>335</v>
      </c>
      <c r="C88" s="57"/>
      <c r="D88" s="57"/>
      <c r="E88" s="72"/>
      <c r="F88" s="72"/>
      <c r="G88" s="216"/>
      <c r="H88" s="216"/>
      <c r="I88" s="246"/>
      <c r="J88" s="216"/>
    </row>
    <row r="89" spans="1:10" ht="19.149999999999999" customHeight="1">
      <c r="A89" s="611"/>
      <c r="B89" s="250" t="str">
        <f>+B63</f>
        <v>1.  ADIT items related only to Non-Electric Operations or Production are directly assigned to Column C</v>
      </c>
      <c r="C89" s="217"/>
      <c r="D89" s="232"/>
      <c r="E89" s="217"/>
      <c r="F89" s="217"/>
      <c r="G89" s="1077"/>
      <c r="H89" s="1077"/>
      <c r="I89" s="1077"/>
    </row>
    <row r="90" spans="1:10" ht="18.600000000000001" customHeight="1">
      <c r="A90" s="611"/>
      <c r="B90" s="250" t="s">
        <v>304</v>
      </c>
      <c r="C90" s="217"/>
      <c r="D90" s="232"/>
      <c r="E90" s="217"/>
      <c r="F90" s="217"/>
      <c r="G90" s="1077"/>
      <c r="H90" s="1077"/>
      <c r="I90" s="1077"/>
    </row>
    <row r="91" spans="1:10" ht="15" customHeight="1">
      <c r="A91" s="611"/>
      <c r="B91" s="250" t="s">
        <v>316</v>
      </c>
      <c r="C91" s="217"/>
      <c r="D91" s="232"/>
      <c r="E91" s="217"/>
      <c r="F91" s="217"/>
      <c r="G91" s="1077"/>
      <c r="H91" s="1077"/>
      <c r="I91" s="1077"/>
    </row>
    <row r="92" spans="1:10" ht="15.75">
      <c r="A92" s="611"/>
      <c r="B92" s="250" t="s">
        <v>317</v>
      </c>
      <c r="C92" s="217"/>
      <c r="D92" s="232"/>
      <c r="E92" s="217"/>
      <c r="F92" s="217"/>
      <c r="G92" s="1077"/>
      <c r="H92" s="1077"/>
      <c r="I92" s="1077"/>
    </row>
    <row r="93" spans="1:10" ht="15.75" customHeight="1">
      <c r="A93" s="611"/>
      <c r="B93" s="1170" t="s">
        <v>399</v>
      </c>
      <c r="C93" s="1170"/>
      <c r="D93" s="1170"/>
      <c r="E93" s="1170"/>
      <c r="F93" s="1170"/>
      <c r="G93" s="1170"/>
      <c r="H93" s="1170"/>
      <c r="I93" s="1170"/>
    </row>
    <row r="94" spans="1:10" ht="15.75" customHeight="1">
      <c r="A94" s="611"/>
      <c r="B94" s="233" t="s">
        <v>308</v>
      </c>
      <c r="C94" s="613"/>
      <c r="D94" s="697"/>
      <c r="E94" s="613"/>
      <c r="F94" s="613"/>
      <c r="G94" s="613"/>
      <c r="H94" s="613"/>
      <c r="I94" s="1078"/>
    </row>
    <row r="95" spans="1:10" ht="15.75">
      <c r="A95" s="611"/>
      <c r="B95" s="247"/>
      <c r="C95" s="248"/>
      <c r="D95" s="248"/>
      <c r="E95" s="248"/>
      <c r="F95" s="248"/>
      <c r="G95" s="248"/>
      <c r="H95" s="248"/>
      <c r="I95" s="248"/>
    </row>
    <row r="96" spans="1:10" ht="15.75">
      <c r="A96" s="611"/>
      <c r="B96" s="1168"/>
      <c r="C96" s="1168"/>
      <c r="D96" s="1168"/>
      <c r="E96" s="1168"/>
      <c r="F96" s="1168"/>
      <c r="G96" s="1168"/>
      <c r="H96" s="1168"/>
      <c r="I96" s="1168"/>
    </row>
    <row r="97" spans="1:9">
      <c r="A97" s="611"/>
      <c r="B97" s="57"/>
      <c r="C97" s="57"/>
      <c r="D97" s="57"/>
      <c r="E97" s="57"/>
      <c r="F97" s="57"/>
      <c r="G97" s="57"/>
      <c r="H97" s="57"/>
      <c r="I97" s="57"/>
    </row>
    <row r="98" spans="1:9">
      <c r="A98" s="611"/>
      <c r="B98" s="57"/>
      <c r="C98" s="57"/>
      <c r="D98" s="57"/>
      <c r="E98" s="57"/>
      <c r="F98" s="57"/>
      <c r="G98" s="57"/>
      <c r="H98" s="57"/>
      <c r="I98" s="57"/>
    </row>
    <row r="99" spans="1:9">
      <c r="A99" s="611"/>
      <c r="B99" s="57"/>
      <c r="C99" s="57"/>
      <c r="D99" s="57"/>
      <c r="E99" s="57"/>
      <c r="F99" s="57"/>
      <c r="G99" s="57"/>
      <c r="H99" s="57"/>
      <c r="I99" s="57"/>
    </row>
    <row r="100" spans="1:9" ht="15.75">
      <c r="A100" s="611"/>
      <c r="B100" s="217"/>
      <c r="C100" s="57"/>
      <c r="D100" s="249"/>
      <c r="E100" s="249"/>
      <c r="F100" s="249"/>
      <c r="G100" s="249"/>
      <c r="H100" s="249"/>
      <c r="I100" s="249"/>
    </row>
    <row r="101" spans="1:9" ht="15.75">
      <c r="B101" s="217"/>
      <c r="C101" s="57"/>
      <c r="D101" s="249"/>
      <c r="E101" s="249"/>
      <c r="F101" s="249"/>
      <c r="G101" s="249"/>
      <c r="H101" s="249"/>
      <c r="I101" s="249"/>
    </row>
    <row r="102" spans="1:9">
      <c r="B102" s="250"/>
      <c r="C102" s="57"/>
      <c r="D102" s="72"/>
      <c r="E102" s="72"/>
      <c r="F102" s="57"/>
      <c r="G102" s="57"/>
      <c r="H102" s="57"/>
      <c r="I102" s="57"/>
    </row>
    <row r="103" spans="1:9">
      <c r="B103" s="250"/>
      <c r="C103" s="57"/>
      <c r="D103" s="26"/>
      <c r="E103" s="26"/>
      <c r="F103" s="57"/>
      <c r="G103" s="57"/>
      <c r="H103" s="57"/>
      <c r="I103" s="57"/>
    </row>
    <row r="104" spans="1:9">
      <c r="B104" s="250"/>
      <c r="C104" s="57"/>
      <c r="D104" s="26"/>
      <c r="E104" s="26"/>
      <c r="F104" s="57"/>
      <c r="G104" s="57"/>
      <c r="H104" s="57"/>
      <c r="I104" s="57"/>
    </row>
    <row r="105" spans="1:9">
      <c r="B105" s="250"/>
      <c r="C105" s="57"/>
      <c r="D105" s="26"/>
      <c r="E105" s="26"/>
      <c r="F105" s="57"/>
      <c r="G105" s="57"/>
      <c r="H105" s="57"/>
      <c r="I105" s="57"/>
    </row>
    <row r="106" spans="1:9">
      <c r="B106" s="250"/>
      <c r="C106" s="57"/>
      <c r="D106" s="26"/>
      <c r="E106" s="26"/>
      <c r="F106" s="57"/>
      <c r="G106" s="57"/>
      <c r="H106" s="57"/>
      <c r="I106" s="57"/>
    </row>
    <row r="107" spans="1:9">
      <c r="B107" s="250"/>
      <c r="C107" s="57"/>
      <c r="D107" s="26"/>
      <c r="E107" s="26"/>
      <c r="F107" s="57"/>
      <c r="G107" s="57"/>
      <c r="H107" s="57"/>
      <c r="I107" s="57"/>
    </row>
    <row r="108" spans="1:9">
      <c r="B108" s="250"/>
      <c r="C108" s="57"/>
      <c r="D108" s="26"/>
      <c r="E108" s="26"/>
      <c r="F108" s="57"/>
      <c r="G108" s="57"/>
      <c r="H108" s="57"/>
      <c r="I108" s="57"/>
    </row>
    <row r="109" spans="1:9">
      <c r="B109" s="250"/>
      <c r="C109" s="57"/>
      <c r="D109" s="26"/>
      <c r="E109" s="26"/>
      <c r="F109" s="57"/>
      <c r="G109" s="57"/>
      <c r="H109" s="57"/>
      <c r="I109" s="57"/>
    </row>
    <row r="110" spans="1:9">
      <c r="B110" s="250"/>
      <c r="C110" s="57"/>
      <c r="D110" s="26"/>
      <c r="E110" s="26"/>
      <c r="F110" s="57"/>
      <c r="G110" s="57"/>
      <c r="H110" s="57"/>
      <c r="I110" s="57"/>
    </row>
    <row r="111" spans="1:9">
      <c r="B111" s="250"/>
      <c r="C111" s="57"/>
      <c r="D111" s="26"/>
      <c r="E111" s="26"/>
      <c r="F111" s="57"/>
      <c r="G111" s="57"/>
      <c r="H111" s="57"/>
      <c r="I111" s="57"/>
    </row>
    <row r="112" spans="1:9">
      <c r="B112" s="250"/>
      <c r="C112" s="57"/>
      <c r="D112" s="26"/>
      <c r="E112" s="26"/>
      <c r="F112" s="57"/>
      <c r="G112" s="57"/>
      <c r="H112" s="57"/>
      <c r="I112" s="57"/>
    </row>
    <row r="113" spans="2:9">
      <c r="B113" s="57"/>
      <c r="C113" s="57"/>
      <c r="D113" s="26"/>
      <c r="E113" s="26"/>
      <c r="F113" s="57"/>
      <c r="G113" s="57"/>
      <c r="H113" s="57"/>
      <c r="I113" s="57"/>
    </row>
    <row r="114" spans="2:9">
      <c r="B114" s="250"/>
      <c r="C114" s="57"/>
      <c r="D114" s="26"/>
      <c r="E114" s="26"/>
      <c r="F114" s="57"/>
      <c r="G114" s="57"/>
      <c r="H114" s="57"/>
      <c r="I114" s="57"/>
    </row>
    <row r="115" spans="2:9">
      <c r="B115" s="57"/>
      <c r="C115" s="57"/>
      <c r="D115" s="26"/>
      <c r="E115" s="26"/>
      <c r="F115" s="57"/>
      <c r="G115" s="57"/>
      <c r="H115" s="57"/>
      <c r="I115" s="57"/>
    </row>
    <row r="116" spans="2:9">
      <c r="B116" s="250"/>
      <c r="C116" s="57"/>
      <c r="D116" s="57"/>
      <c r="E116" s="57"/>
      <c r="F116" s="57"/>
      <c r="G116" s="57"/>
      <c r="H116" s="57"/>
      <c r="I116" s="57"/>
    </row>
    <row r="117" spans="2:9">
      <c r="B117" s="250"/>
      <c r="C117" s="57"/>
      <c r="D117" s="57"/>
      <c r="E117" s="57"/>
      <c r="F117" s="57"/>
      <c r="G117" s="57"/>
      <c r="H117" s="57"/>
      <c r="I117" s="57"/>
    </row>
    <row r="118" spans="2:9">
      <c r="B118" s="250"/>
      <c r="C118" s="57"/>
      <c r="D118" s="57"/>
      <c r="E118" s="57"/>
      <c r="F118" s="57"/>
      <c r="G118" s="57"/>
      <c r="H118" s="57"/>
      <c r="I118" s="57"/>
    </row>
    <row r="119" spans="2:9">
      <c r="B119" s="250"/>
      <c r="C119" s="57"/>
      <c r="D119" s="57"/>
      <c r="E119" s="57"/>
      <c r="F119" s="57"/>
      <c r="G119" s="57"/>
      <c r="H119" s="57"/>
      <c r="I119" s="57"/>
    </row>
    <row r="120" spans="2:9">
      <c r="B120" s="250"/>
      <c r="C120" s="57"/>
      <c r="D120" s="57"/>
      <c r="E120" s="57"/>
      <c r="F120" s="57"/>
      <c r="G120" s="57"/>
      <c r="H120" s="57"/>
      <c r="I120" s="57"/>
    </row>
    <row r="121" spans="2:9">
      <c r="B121" s="250"/>
      <c r="C121" s="57"/>
      <c r="D121" s="57"/>
      <c r="E121" s="57"/>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55" zoomScaleNormal="55" zoomScaleSheetLayoutView="50" workbookViewId="0">
      <selection activeCell="I91" sqref="I91"/>
    </sheetView>
  </sheetViews>
  <sheetFormatPr defaultRowHeight="12.75"/>
  <cols>
    <col min="1" max="1" width="5.140625" style="609"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style="609" customWidth="1"/>
    <col min="9" max="9" width="142" customWidth="1"/>
  </cols>
  <sheetData>
    <row r="3" spans="1:9" ht="18">
      <c r="A3" s="923"/>
      <c r="B3" s="1164" t="s">
        <v>0</v>
      </c>
      <c r="C3" s="1164"/>
      <c r="D3" s="1164"/>
      <c r="E3" s="1164"/>
      <c r="F3" s="1164"/>
      <c r="G3" s="1164"/>
      <c r="H3" s="1164"/>
      <c r="I3" s="1164"/>
    </row>
    <row r="4" spans="1:9" ht="18">
      <c r="A4" s="923"/>
      <c r="B4" s="1165" t="s">
        <v>1</v>
      </c>
      <c r="C4" s="1165"/>
      <c r="D4" s="1165"/>
      <c r="E4" s="1165"/>
      <c r="F4" s="1165"/>
      <c r="G4" s="1165"/>
      <c r="H4" s="1165"/>
      <c r="I4" s="1165"/>
    </row>
    <row r="5" spans="1:9" ht="18">
      <c r="A5" s="923"/>
      <c r="B5" s="1165" t="s">
        <v>404</v>
      </c>
      <c r="C5" s="1165"/>
      <c r="D5" s="1165"/>
      <c r="E5" s="1165"/>
      <c r="F5" s="1165"/>
      <c r="G5" s="1165"/>
      <c r="H5" s="1165"/>
      <c r="I5" s="1165"/>
    </row>
    <row r="6" spans="1:9" ht="15">
      <c r="A6" s="923"/>
      <c r="B6" s="559"/>
      <c r="C6" s="220"/>
      <c r="D6" s="220"/>
      <c r="E6" s="220"/>
      <c r="F6" s="220"/>
      <c r="G6" s="220"/>
      <c r="H6" s="220"/>
      <c r="I6" s="220"/>
    </row>
    <row r="7" spans="1:9" ht="18">
      <c r="A7" s="923"/>
      <c r="B7" s="1075"/>
      <c r="C7" s="4"/>
      <c r="D7" s="221" t="s">
        <v>257</v>
      </c>
      <c r="E7" s="221"/>
      <c r="F7" s="218"/>
      <c r="G7" s="221"/>
      <c r="H7" s="221"/>
      <c r="I7" s="218"/>
    </row>
    <row r="8" spans="1:9" ht="18">
      <c r="A8" s="923"/>
      <c r="B8" s="222"/>
      <c r="C8" s="218"/>
      <c r="D8" s="221" t="s">
        <v>58</v>
      </c>
      <c r="E8" s="221" t="s">
        <v>258</v>
      </c>
      <c r="F8" s="221" t="s">
        <v>259</v>
      </c>
      <c r="G8" s="663"/>
      <c r="H8" s="663" t="s">
        <v>69</v>
      </c>
      <c r="I8" s="878"/>
    </row>
    <row r="9" spans="1:9" ht="18">
      <c r="A9" s="923"/>
      <c r="B9" s="222"/>
      <c r="C9" s="218"/>
      <c r="D9" s="221" t="s">
        <v>260</v>
      </c>
      <c r="E9" s="221" t="s">
        <v>260</v>
      </c>
      <c r="F9" s="221" t="s">
        <v>260</v>
      </c>
      <c r="G9" s="663"/>
      <c r="H9" s="663" t="s">
        <v>261</v>
      </c>
      <c r="I9" s="879"/>
    </row>
    <row r="10" spans="1:9" ht="25.5">
      <c r="A10" s="923"/>
      <c r="B10" s="546"/>
      <c r="C10" s="543"/>
      <c r="D10" s="543"/>
      <c r="E10" s="543"/>
      <c r="F10" s="543"/>
      <c r="G10" s="543"/>
      <c r="H10" s="543"/>
      <c r="I10" s="879"/>
    </row>
    <row r="11" spans="1:9" ht="15">
      <c r="A11" s="923"/>
      <c r="B11" s="222"/>
      <c r="C11" s="218"/>
      <c r="D11" s="218"/>
      <c r="E11" s="218"/>
      <c r="F11" s="218"/>
      <c r="G11" s="218"/>
      <c r="H11" s="218"/>
      <c r="I11" s="218"/>
    </row>
    <row r="12" spans="1:9" ht="15.75">
      <c r="A12" s="606">
        <f>+A11+1</f>
        <v>1</v>
      </c>
      <c r="B12" s="222"/>
      <c r="C12" s="227" t="s">
        <v>273</v>
      </c>
      <c r="D12" s="224">
        <f>+E47</f>
        <v>0</v>
      </c>
      <c r="E12" s="224">
        <f>+F47</f>
        <v>0</v>
      </c>
      <c r="F12" s="224">
        <f>+G47</f>
        <v>0</v>
      </c>
      <c r="G12" s="224"/>
      <c r="H12" s="224"/>
      <c r="I12" s="610" t="str">
        <f>"(Line "&amp;A47&amp;")"</f>
        <v>(Line 26)</v>
      </c>
    </row>
    <row r="13" spans="1:9" s="676" customFormat="1" ht="15.75">
      <c r="A13" s="606">
        <f>+A12+1</f>
        <v>2</v>
      </c>
      <c r="B13" s="222"/>
      <c r="C13" s="227" t="s">
        <v>263</v>
      </c>
      <c r="D13" s="224">
        <f>+E67</f>
        <v>0</v>
      </c>
      <c r="E13" s="224">
        <f>+F67</f>
        <v>0</v>
      </c>
      <c r="F13" s="224">
        <f>+G67</f>
        <v>0</v>
      </c>
      <c r="G13" s="224"/>
      <c r="H13" s="224"/>
      <c r="I13" s="610" t="str">
        <f>"(Line "&amp;A67&amp;")"</f>
        <v>(Line 29)</v>
      </c>
    </row>
    <row r="14" spans="1:9" ht="15.75">
      <c r="A14" s="606">
        <f>+A13+1</f>
        <v>3</v>
      </c>
      <c r="B14" s="222"/>
      <c r="C14" s="227" t="s">
        <v>318</v>
      </c>
      <c r="D14" s="224">
        <f>+E97</f>
        <v>0</v>
      </c>
      <c r="E14" s="224">
        <f>+F97</f>
        <v>0</v>
      </c>
      <c r="F14" s="224">
        <f>+G97</f>
        <v>0</v>
      </c>
      <c r="G14" s="224"/>
      <c r="H14" s="224"/>
      <c r="I14" s="610" t="str">
        <f>"(Line "&amp;A97&amp;")"</f>
        <v>(Line 37)</v>
      </c>
    </row>
    <row r="15" spans="1:9" ht="15.75">
      <c r="A15" s="606">
        <f>+A14+1</f>
        <v>4</v>
      </c>
      <c r="B15" s="222"/>
      <c r="C15" s="227" t="s">
        <v>92</v>
      </c>
      <c r="D15" s="224">
        <f>SUM(D12:D14)</f>
        <v>0</v>
      </c>
      <c r="E15" s="224">
        <f t="shared" ref="E15:F15" si="0">SUM(E12:E14)</f>
        <v>0</v>
      </c>
      <c r="F15" s="224">
        <f t="shared" si="0"/>
        <v>0</v>
      </c>
      <c r="G15" s="224"/>
      <c r="H15" s="224"/>
      <c r="I15" s="610" t="str">
        <f>"(Line "&amp;A12&amp;" + Line "&amp;A13&amp;" + Line "&amp;A14&amp;")"</f>
        <v>(Line 1 + Line 2 + Line 3)</v>
      </c>
    </row>
    <row r="16" spans="1:9" ht="15.75">
      <c r="A16" s="606">
        <f t="shared" ref="A16:A20" si="1">+A15+1</f>
        <v>5</v>
      </c>
      <c r="B16" s="222"/>
      <c r="C16" s="227" t="s">
        <v>14</v>
      </c>
      <c r="D16" s="218"/>
      <c r="E16" s="218"/>
      <c r="F16" s="689">
        <f>+'Appendix A'!H16</f>
        <v>0.15894128950099584</v>
      </c>
      <c r="G16" s="218"/>
      <c r="H16" s="218"/>
      <c r="I16" s="28" t="str">
        <f>"(Appendix A, Line "&amp;'Appendix A'!A16&amp;")"</f>
        <v>(Appendix A, Line 5)</v>
      </c>
    </row>
    <row r="17" spans="1:9" ht="15.75">
      <c r="A17" s="606">
        <f t="shared" si="1"/>
        <v>6</v>
      </c>
      <c r="B17" s="222"/>
      <c r="C17" s="227" t="s">
        <v>22</v>
      </c>
      <c r="D17" s="218"/>
      <c r="E17" s="689">
        <f>+'Appendix A'!H27</f>
        <v>0.22530875362306943</v>
      </c>
      <c r="F17" s="218"/>
      <c r="G17" s="218"/>
      <c r="H17" s="218"/>
      <c r="I17" s="28" t="str">
        <f>"(Appendix A, Line "&amp;'Appendix A'!A27&amp;")"</f>
        <v>(Appendix A, Line 12)</v>
      </c>
    </row>
    <row r="18" spans="1:9" ht="15.75">
      <c r="A18" s="606">
        <f>+A17+1</f>
        <v>7</v>
      </c>
      <c r="B18" s="222"/>
      <c r="C18" s="227" t="s">
        <v>265</v>
      </c>
      <c r="D18" s="816">
        <f>+D15</f>
        <v>0</v>
      </c>
      <c r="E18" s="816">
        <f>+E17*E15</f>
        <v>0</v>
      </c>
      <c r="F18" s="816">
        <f>+F16*F15</f>
        <v>0</v>
      </c>
      <c r="G18" s="816"/>
      <c r="H18" s="816">
        <f>+SUM(D18:G18)</f>
        <v>0</v>
      </c>
      <c r="I18" s="610" t="str">
        <f>"(Line "&amp;A15&amp;" * Line "&amp;A16&amp;" or Line "&amp;A17&amp;")"</f>
        <v>(Line 4 * Line 5 or Line 6)</v>
      </c>
    </row>
    <row r="19" spans="1:9" ht="15.75">
      <c r="A19" s="606">
        <f t="shared" si="1"/>
        <v>8</v>
      </c>
      <c r="B19" s="222"/>
      <c r="C19" s="227" t="s">
        <v>266</v>
      </c>
      <c r="D19" s="816">
        <f>+'1C - ADIT Prior Year'!D15</f>
        <v>-39606905.674874634</v>
      </c>
      <c r="E19" s="816">
        <f>+'1C - ADIT Prior Year'!E15</f>
        <v>97332.02971264426</v>
      </c>
      <c r="F19" s="816">
        <f>+'1C - ADIT Prior Year'!F15</f>
        <v>-515979.69093671587</v>
      </c>
      <c r="G19" s="816"/>
      <c r="H19" s="816">
        <f>+SUM(D19:G19)</f>
        <v>-40025553.336098701</v>
      </c>
      <c r="I19" s="610" t="str">
        <f>"(Attachment 1C - ADIT Prior Year, Line "&amp;A18&amp;")"</f>
        <v>(Attachment 1C - ADIT Prior Year, Line 7)</v>
      </c>
    </row>
    <row r="20" spans="1:9" ht="15.75">
      <c r="A20" s="606">
        <f t="shared" si="1"/>
        <v>9</v>
      </c>
      <c r="B20" s="222"/>
      <c r="C20" s="227" t="s">
        <v>405</v>
      </c>
      <c r="D20" s="816">
        <f>(D18+D19)/2</f>
        <v>-19803452.837437317</v>
      </c>
      <c r="E20" s="816">
        <f>(E18+E19)/2</f>
        <v>48666.01485632213</v>
      </c>
      <c r="F20" s="816">
        <f>(F18+F19)/2</f>
        <v>-257989.84546835793</v>
      </c>
      <c r="G20" s="816"/>
      <c r="H20" s="816">
        <f>+SUM(D20:G20)</f>
        <v>-20012776.66804935</v>
      </c>
      <c r="I20" s="610" t="str">
        <f>"(Average of Line "&amp;A18&amp;" + Line "&amp;A19&amp;")"</f>
        <v>(Average of Line 7 + Line 8)</v>
      </c>
    </row>
    <row r="21" spans="1:9" s="676" customFormat="1" ht="15.75">
      <c r="A21" s="606">
        <f>+A20+1</f>
        <v>10</v>
      </c>
      <c r="B21" s="227"/>
      <c r="C21" s="227" t="s">
        <v>268</v>
      </c>
      <c r="D21" s="816"/>
      <c r="E21" s="816"/>
      <c r="F21" s="816"/>
      <c r="G21" s="816"/>
      <c r="H21" s="816">
        <f>+'1E - ADIT True-Up Proration'!Q27</f>
        <v>0</v>
      </c>
      <c r="I21" s="28" t="str">
        <f>"(Attachment 1E, Line "&amp;'1E - ADIT True-Up Proration'!A27&amp;")"</f>
        <v>(Attachment 1E, Line 13)</v>
      </c>
    </row>
    <row r="22" spans="1:9" s="676" customFormat="1" ht="15.75">
      <c r="A22" s="606">
        <f>+A21+1</f>
        <v>11</v>
      </c>
      <c r="B22" s="227"/>
      <c r="C22" s="227" t="s">
        <v>406</v>
      </c>
      <c r="D22" s="816"/>
      <c r="E22" s="816"/>
      <c r="F22" s="816"/>
      <c r="G22" s="816"/>
      <c r="H22" s="817">
        <f>+H20+H21</f>
        <v>-20012776.66804935</v>
      </c>
      <c r="I22" s="214"/>
    </row>
    <row r="23" spans="1:9" s="676" customFormat="1" ht="15.75">
      <c r="A23" s="606"/>
      <c r="B23" s="227"/>
      <c r="C23" s="227"/>
      <c r="D23" s="224"/>
      <c r="E23" s="218"/>
      <c r="F23" s="218"/>
      <c r="G23" s="218"/>
      <c r="H23" s="225"/>
      <c r="I23" s="214"/>
    </row>
    <row r="24" spans="1:9" ht="15">
      <c r="A24" s="923"/>
      <c r="B24" s="218" t="s">
        <v>270</v>
      </c>
      <c r="C24" s="218"/>
      <c r="D24" s="218"/>
      <c r="E24" s="218"/>
      <c r="F24" s="218"/>
      <c r="G24" s="218"/>
      <c r="H24" s="218"/>
      <c r="I24" s="218"/>
    </row>
    <row r="25" spans="1:9" s="676" customFormat="1" ht="15">
      <c r="A25" s="923"/>
      <c r="B25" s="218"/>
      <c r="C25" s="218"/>
      <c r="D25" s="218"/>
      <c r="E25" s="218"/>
      <c r="F25" s="218"/>
      <c r="G25" s="218"/>
      <c r="H25" s="218"/>
      <c r="I25" s="218"/>
    </row>
    <row r="26" spans="1:9" ht="15">
      <c r="A26" s="923"/>
      <c r="B26" s="222" t="s">
        <v>271</v>
      </c>
      <c r="C26" s="218"/>
      <c r="D26" s="218"/>
      <c r="E26" s="218"/>
      <c r="F26" s="218"/>
      <c r="G26" s="218"/>
      <c r="H26" s="218"/>
      <c r="I26" s="218"/>
    </row>
    <row r="27" spans="1:9" ht="15">
      <c r="A27" s="923"/>
      <c r="B27" s="222" t="s">
        <v>272</v>
      </c>
      <c r="C27" s="218"/>
      <c r="D27" s="218"/>
      <c r="E27" s="218"/>
      <c r="F27" s="218"/>
      <c r="G27" s="218"/>
      <c r="H27" s="218"/>
      <c r="I27" s="218"/>
    </row>
    <row r="28" spans="1:9" ht="15">
      <c r="A28" s="923"/>
      <c r="B28" s="222"/>
      <c r="C28" s="218"/>
      <c r="D28" s="218"/>
      <c r="E28" s="218"/>
      <c r="F28" s="218"/>
      <c r="G28" s="223"/>
      <c r="H28" s="223"/>
      <c r="I28" s="218"/>
    </row>
    <row r="29" spans="1:9" ht="15.75">
      <c r="A29" s="923"/>
      <c r="B29" s="228" t="s">
        <v>209</v>
      </c>
      <c r="C29" s="1089" t="s">
        <v>211</v>
      </c>
      <c r="D29" s="1089" t="s">
        <v>213</v>
      </c>
      <c r="E29" s="1089" t="s">
        <v>215</v>
      </c>
      <c r="F29" s="1089" t="s">
        <v>217</v>
      </c>
      <c r="G29" s="1089" t="s">
        <v>219</v>
      </c>
      <c r="H29" s="228"/>
      <c r="I29" s="1089" t="s">
        <v>221</v>
      </c>
    </row>
    <row r="30" spans="1:9" ht="15">
      <c r="A30" s="923"/>
      <c r="B30" s="222"/>
      <c r="C30" s="221" t="s">
        <v>69</v>
      </c>
      <c r="D30" s="221"/>
      <c r="E30" s="221" t="s">
        <v>257</v>
      </c>
      <c r="F30" s="221"/>
      <c r="G30" s="221"/>
      <c r="H30" s="221"/>
      <c r="I30" s="214"/>
    </row>
    <row r="31" spans="1:9" ht="15">
      <c r="A31" s="923"/>
      <c r="B31" s="229" t="s">
        <v>273</v>
      </c>
      <c r="C31" s="221"/>
      <c r="D31" s="221"/>
      <c r="E31" s="221" t="s">
        <v>58</v>
      </c>
      <c r="F31" s="221" t="s">
        <v>258</v>
      </c>
      <c r="G31" s="221" t="s">
        <v>259</v>
      </c>
      <c r="H31" s="221"/>
      <c r="I31" s="214"/>
    </row>
    <row r="32" spans="1:9" ht="15.75" thickBot="1">
      <c r="A32" s="923"/>
      <c r="B32" s="222"/>
      <c r="C32" s="221"/>
      <c r="D32" s="221" t="s">
        <v>274</v>
      </c>
      <c r="E32" s="221" t="s">
        <v>260</v>
      </c>
      <c r="F32" s="221" t="s">
        <v>260</v>
      </c>
      <c r="G32" s="221" t="s">
        <v>260</v>
      </c>
      <c r="H32" s="662"/>
      <c r="I32" s="221" t="s">
        <v>275</v>
      </c>
    </row>
    <row r="33" spans="1:9" ht="27.6" customHeight="1">
      <c r="A33" s="606">
        <f>+A22+1</f>
        <v>12</v>
      </c>
      <c r="B33" s="528" t="s">
        <v>276</v>
      </c>
      <c r="C33" s="795">
        <v>0</v>
      </c>
      <c r="D33" s="796">
        <v>0</v>
      </c>
      <c r="E33" s="796">
        <v>0</v>
      </c>
      <c r="F33" s="796">
        <v>0</v>
      </c>
      <c r="G33" s="796">
        <v>0</v>
      </c>
      <c r="H33" s="958"/>
      <c r="I33" s="616" t="s">
        <v>277</v>
      </c>
    </row>
    <row r="34" spans="1:9" ht="30.6" customHeight="1">
      <c r="A34" s="606">
        <f>+A33+1</f>
        <v>13</v>
      </c>
      <c r="B34" s="530" t="s">
        <v>278</v>
      </c>
      <c r="C34" s="797">
        <v>0</v>
      </c>
      <c r="D34" s="798">
        <v>0</v>
      </c>
      <c r="E34" s="798">
        <v>0</v>
      </c>
      <c r="F34" s="798">
        <v>0</v>
      </c>
      <c r="G34" s="798">
        <v>0</v>
      </c>
      <c r="H34" s="959"/>
      <c r="I34" s="616" t="s">
        <v>279</v>
      </c>
    </row>
    <row r="35" spans="1:9" ht="32.450000000000003" customHeight="1">
      <c r="A35" s="606">
        <f t="shared" ref="A35:A46" si="2">+A34+1</f>
        <v>14</v>
      </c>
      <c r="B35" s="530" t="s">
        <v>280</v>
      </c>
      <c r="C35" s="797">
        <v>0</v>
      </c>
      <c r="D35" s="798">
        <v>0</v>
      </c>
      <c r="E35" s="798">
        <v>0</v>
      </c>
      <c r="F35" s="798">
        <v>0</v>
      </c>
      <c r="G35" s="798">
        <v>0</v>
      </c>
      <c r="H35" s="959"/>
      <c r="I35" s="616" t="s">
        <v>277</v>
      </c>
    </row>
    <row r="36" spans="1:9" ht="40.15" customHeight="1">
      <c r="A36" s="606">
        <f t="shared" si="2"/>
        <v>15</v>
      </c>
      <c r="B36" s="911" t="s">
        <v>281</v>
      </c>
      <c r="C36" s="797">
        <v>0</v>
      </c>
      <c r="D36" s="798">
        <v>0</v>
      </c>
      <c r="E36" s="798">
        <v>0</v>
      </c>
      <c r="F36" s="798">
        <v>0</v>
      </c>
      <c r="G36" s="798">
        <v>0</v>
      </c>
      <c r="H36" s="959"/>
      <c r="I36" s="616" t="s">
        <v>282</v>
      </c>
    </row>
    <row r="37" spans="1:9" ht="24.75" customHeight="1">
      <c r="A37" s="606">
        <f t="shared" si="2"/>
        <v>16</v>
      </c>
      <c r="B37" s="530" t="s">
        <v>283</v>
      </c>
      <c r="C37" s="797">
        <v>0</v>
      </c>
      <c r="D37" s="798">
        <v>0</v>
      </c>
      <c r="E37" s="798">
        <v>0</v>
      </c>
      <c r="F37" s="798">
        <v>0</v>
      </c>
      <c r="G37" s="798">
        <v>0</v>
      </c>
      <c r="H37" s="959"/>
      <c r="I37" s="616" t="s">
        <v>284</v>
      </c>
    </row>
    <row r="38" spans="1:9" ht="37.9" customHeight="1">
      <c r="A38" s="606">
        <f t="shared" si="2"/>
        <v>17</v>
      </c>
      <c r="B38" s="530" t="s">
        <v>285</v>
      </c>
      <c r="C38" s="797">
        <v>0</v>
      </c>
      <c r="D38" s="798">
        <v>0</v>
      </c>
      <c r="E38" s="798">
        <v>0</v>
      </c>
      <c r="F38" s="798">
        <v>0</v>
      </c>
      <c r="G38" s="798">
        <v>0</v>
      </c>
      <c r="H38" s="959"/>
      <c r="I38" s="616" t="s">
        <v>392</v>
      </c>
    </row>
    <row r="39" spans="1:9" ht="31.9" customHeight="1">
      <c r="A39" s="606">
        <f t="shared" si="2"/>
        <v>18</v>
      </c>
      <c r="B39" s="530" t="s">
        <v>287</v>
      </c>
      <c r="C39" s="797">
        <v>0</v>
      </c>
      <c r="D39" s="798">
        <v>0</v>
      </c>
      <c r="E39" s="798">
        <v>0</v>
      </c>
      <c r="F39" s="798">
        <v>0</v>
      </c>
      <c r="G39" s="798">
        <v>0</v>
      </c>
      <c r="H39" s="959"/>
      <c r="I39" s="616" t="s">
        <v>288</v>
      </c>
    </row>
    <row r="40" spans="1:9" ht="37.15" customHeight="1">
      <c r="A40" s="606">
        <f t="shared" si="2"/>
        <v>19</v>
      </c>
      <c r="B40" s="530" t="s">
        <v>289</v>
      </c>
      <c r="C40" s="797">
        <v>0</v>
      </c>
      <c r="D40" s="798">
        <f>+C40</f>
        <v>0</v>
      </c>
      <c r="E40" s="798">
        <v>0</v>
      </c>
      <c r="F40" s="798">
        <v>0</v>
      </c>
      <c r="G40" s="798">
        <v>0</v>
      </c>
      <c r="H40" s="959"/>
      <c r="I40" s="616" t="s">
        <v>290</v>
      </c>
    </row>
    <row r="41" spans="1:9" ht="24.6" customHeight="1">
      <c r="A41" s="606">
        <f t="shared" si="2"/>
        <v>20</v>
      </c>
      <c r="B41" s="530" t="s">
        <v>291</v>
      </c>
      <c r="C41" s="797">
        <v>0</v>
      </c>
      <c r="D41" s="798">
        <v>0</v>
      </c>
      <c r="E41" s="798">
        <v>0</v>
      </c>
      <c r="F41" s="798">
        <v>0</v>
      </c>
      <c r="G41" s="798">
        <v>0</v>
      </c>
      <c r="H41" s="959"/>
      <c r="I41" s="616" t="s">
        <v>292</v>
      </c>
    </row>
    <row r="42" spans="1:9" ht="24.6" customHeight="1">
      <c r="A42" s="606">
        <f t="shared" si="2"/>
        <v>21</v>
      </c>
      <c r="B42" s="530" t="s">
        <v>293</v>
      </c>
      <c r="C42" s="797">
        <v>0</v>
      </c>
      <c r="D42" s="798">
        <v>0</v>
      </c>
      <c r="E42" s="798">
        <v>0</v>
      </c>
      <c r="F42" s="798">
        <v>0</v>
      </c>
      <c r="G42" s="798">
        <v>0</v>
      </c>
      <c r="H42" s="959"/>
      <c r="I42" s="616" t="s">
        <v>294</v>
      </c>
    </row>
    <row r="43" spans="1:9" ht="39.6" customHeight="1">
      <c r="A43" s="606">
        <f t="shared" si="2"/>
        <v>22</v>
      </c>
      <c r="B43" s="530" t="s">
        <v>295</v>
      </c>
      <c r="C43" s="797">
        <v>0</v>
      </c>
      <c r="D43" s="798">
        <v>0</v>
      </c>
      <c r="E43" s="798">
        <v>0</v>
      </c>
      <c r="F43" s="798">
        <v>0</v>
      </c>
      <c r="G43" s="798">
        <v>0</v>
      </c>
      <c r="H43" s="959"/>
      <c r="I43" s="616" t="s">
        <v>294</v>
      </c>
    </row>
    <row r="44" spans="1:9" ht="27" customHeight="1">
      <c r="A44" s="606">
        <f>+A43+1</f>
        <v>23</v>
      </c>
      <c r="B44" s="530" t="s">
        <v>297</v>
      </c>
      <c r="C44" s="799">
        <v>0</v>
      </c>
      <c r="D44" s="798">
        <v>0</v>
      </c>
      <c r="E44" s="798">
        <v>0</v>
      </c>
      <c r="F44" s="798">
        <v>0</v>
      </c>
      <c r="G44" s="798">
        <v>0</v>
      </c>
      <c r="H44" s="959"/>
      <c r="I44" s="532" t="s">
        <v>298</v>
      </c>
    </row>
    <row r="45" spans="1:9" ht="15.75">
      <c r="A45" s="606">
        <f t="shared" si="2"/>
        <v>24</v>
      </c>
      <c r="B45" s="531" t="s">
        <v>299</v>
      </c>
      <c r="C45" s="800">
        <f t="shared" ref="C45:G45" si="3">SUM(C33:C44)</f>
        <v>0</v>
      </c>
      <c r="D45" s="800">
        <f t="shared" si="3"/>
        <v>0</v>
      </c>
      <c r="E45" s="800">
        <f t="shared" si="3"/>
        <v>0</v>
      </c>
      <c r="F45" s="800">
        <f t="shared" si="3"/>
        <v>0</v>
      </c>
      <c r="G45" s="800">
        <f t="shared" si="3"/>
        <v>0</v>
      </c>
      <c r="H45" s="800"/>
      <c r="I45" s="230"/>
    </row>
    <row r="46" spans="1:9" ht="47.25">
      <c r="A46" s="606">
        <f t="shared" si="2"/>
        <v>25</v>
      </c>
      <c r="B46" s="692" t="s">
        <v>300</v>
      </c>
      <c r="C46" s="801">
        <f>SUM(D46:H46)</f>
        <v>0</v>
      </c>
      <c r="D46" s="801">
        <f>D36</f>
        <v>0</v>
      </c>
      <c r="E46" s="802">
        <f>+E36</f>
        <v>0</v>
      </c>
      <c r="F46" s="803">
        <f>F36</f>
        <v>0</v>
      </c>
      <c r="G46" s="803">
        <f>+G36</f>
        <v>0</v>
      </c>
      <c r="H46" s="803"/>
      <c r="I46" s="243" t="str">
        <f>+'1A - ADIT'!I44</f>
        <v>All FAS 109 items excluded from formula rate</v>
      </c>
    </row>
    <row r="47" spans="1:9" ht="16.5" thickBot="1">
      <c r="A47" s="606">
        <f>+A46+1</f>
        <v>26</v>
      </c>
      <c r="B47" s="526" t="s">
        <v>69</v>
      </c>
      <c r="C47" s="804">
        <f>+C45-C46</f>
        <v>0</v>
      </c>
      <c r="D47" s="804">
        <f t="shared" ref="D47:G47" si="4">+D45-D46</f>
        <v>0</v>
      </c>
      <c r="E47" s="804">
        <f t="shared" si="4"/>
        <v>0</v>
      </c>
      <c r="F47" s="804">
        <f t="shared" si="4"/>
        <v>0</v>
      </c>
      <c r="G47" s="804">
        <f t="shared" si="4"/>
        <v>0</v>
      </c>
      <c r="H47" s="804"/>
      <c r="I47" s="525"/>
    </row>
    <row r="48" spans="1:9" s="609" customFormat="1" ht="15.75">
      <c r="A48" s="606"/>
      <c r="B48" s="217"/>
      <c r="C48" s="614"/>
      <c r="D48" s="615"/>
      <c r="E48" s="615"/>
      <c r="F48" s="615"/>
      <c r="G48" s="615"/>
      <c r="H48" s="615"/>
      <c r="I48" s="607"/>
    </row>
    <row r="49" spans="1:9" ht="15">
      <c r="A49" s="923"/>
      <c r="B49" s="57" t="s">
        <v>302</v>
      </c>
      <c r="C49" s="57"/>
      <c r="D49" s="245"/>
      <c r="E49" s="695"/>
      <c r="F49" s="72"/>
      <c r="G49" s="216"/>
      <c r="H49" s="216"/>
      <c r="I49" s="696"/>
    </row>
    <row r="50" spans="1:9" ht="15">
      <c r="A50" s="923"/>
      <c r="B50" s="1169" t="s">
        <v>397</v>
      </c>
      <c r="C50" s="1170"/>
      <c r="D50" s="1170"/>
      <c r="E50" s="1170"/>
      <c r="F50" s="1170"/>
      <c r="G50" s="1170"/>
      <c r="H50" s="1170"/>
      <c r="I50" s="1170"/>
    </row>
    <row r="51" spans="1:9" ht="15">
      <c r="A51" s="923"/>
      <c r="B51" s="250" t="s">
        <v>304</v>
      </c>
      <c r="C51" s="57"/>
      <c r="D51" s="216"/>
      <c r="E51" s="57"/>
      <c r="F51" s="57"/>
      <c r="G51" s="72"/>
      <c r="H51" s="72"/>
      <c r="I51" s="72"/>
    </row>
    <row r="52" spans="1:9" ht="15">
      <c r="A52" s="923"/>
      <c r="B52" s="250" t="s">
        <v>316</v>
      </c>
      <c r="C52" s="57"/>
      <c r="D52" s="216"/>
      <c r="E52" s="57"/>
      <c r="F52" s="57"/>
      <c r="G52" s="72"/>
      <c r="H52" s="72"/>
      <c r="I52" s="72"/>
    </row>
    <row r="53" spans="1:9" ht="15">
      <c r="A53" s="923"/>
      <c r="B53" s="250" t="s">
        <v>398</v>
      </c>
      <c r="C53" s="57"/>
      <c r="D53" s="216"/>
      <c r="E53" s="57"/>
      <c r="F53" s="57"/>
      <c r="G53" s="72"/>
      <c r="H53" s="72"/>
      <c r="I53" s="72"/>
    </row>
    <row r="54" spans="1:9" ht="15" customHeight="1">
      <c r="A54" s="923"/>
      <c r="B54" s="1170" t="s">
        <v>307</v>
      </c>
      <c r="C54" s="1170"/>
      <c r="D54" s="1170"/>
      <c r="E54" s="1170"/>
      <c r="F54" s="1170"/>
      <c r="G54" s="1170"/>
      <c r="H54" s="1170"/>
      <c r="I54" s="1170"/>
    </row>
    <row r="55" spans="1:9" s="676" customFormat="1" ht="15">
      <c r="A55" s="923"/>
      <c r="B55" s="233" t="s">
        <v>308</v>
      </c>
      <c r="C55" s="613"/>
      <c r="D55" s="697"/>
      <c r="E55" s="613"/>
      <c r="F55" s="613"/>
      <c r="G55" s="613"/>
      <c r="H55" s="613"/>
      <c r="I55" s="1078"/>
    </row>
    <row r="56" spans="1:9" s="676" customFormat="1" ht="15.75">
      <c r="A56" s="923"/>
      <c r="B56" s="674"/>
      <c r="C56" s="674"/>
      <c r="D56" s="674"/>
      <c r="E56" s="674"/>
      <c r="F56" s="674"/>
      <c r="G56" s="674"/>
      <c r="H56" s="674"/>
      <c r="I56" s="674"/>
    </row>
    <row r="57" spans="1:9" s="676" customFormat="1" ht="18">
      <c r="A57" s="213"/>
      <c r="B57" s="1167" t="str">
        <f>+B3</f>
        <v>Dayton Power and Light</v>
      </c>
      <c r="C57" s="1171"/>
      <c r="D57" s="1171"/>
      <c r="E57" s="1171"/>
      <c r="F57" s="1171"/>
      <c r="G57" s="1171"/>
      <c r="H57" s="1171"/>
      <c r="I57" s="1171"/>
    </row>
    <row r="58" spans="1:9" s="676" customFormat="1" ht="18">
      <c r="A58" s="213"/>
      <c r="B58" s="1166" t="str">
        <f>+B4</f>
        <v xml:space="preserve">ATTACHMENT H-15A </v>
      </c>
      <c r="C58" s="1166"/>
      <c r="D58" s="1166"/>
      <c r="E58" s="1166"/>
      <c r="F58" s="1166"/>
      <c r="G58" s="1166"/>
      <c r="H58" s="1166"/>
      <c r="I58" s="1166"/>
    </row>
    <row r="59" spans="1:9" s="676" customFormat="1" ht="18">
      <c r="A59" s="213"/>
      <c r="B59" s="1166" t="str">
        <f>+B5</f>
        <v xml:space="preserve">Attachment 1D - Accumulated Deferred Income Taxes for Annual True-up - December 31, </v>
      </c>
      <c r="C59" s="1166"/>
      <c r="D59" s="1166"/>
      <c r="E59" s="1166"/>
      <c r="F59" s="1166"/>
      <c r="G59" s="1166"/>
      <c r="H59" s="1166"/>
      <c r="I59" s="1166"/>
    </row>
    <row r="60" spans="1:9" s="676" customFormat="1" ht="18">
      <c r="A60" s="214"/>
      <c r="B60" s="235"/>
      <c r="C60" s="234"/>
      <c r="D60" s="234"/>
      <c r="E60" s="234"/>
      <c r="F60" s="234"/>
      <c r="G60" s="234"/>
      <c r="H60" s="234"/>
      <c r="I60" s="878"/>
    </row>
    <row r="61" spans="1:9" s="676" customFormat="1" ht="18">
      <c r="A61" s="214"/>
      <c r="B61" s="675" t="s">
        <v>209</v>
      </c>
      <c r="C61" s="675" t="s">
        <v>211</v>
      </c>
      <c r="D61" s="675" t="s">
        <v>213</v>
      </c>
      <c r="E61" s="675" t="s">
        <v>215</v>
      </c>
      <c r="F61" s="675" t="s">
        <v>217</v>
      </c>
      <c r="G61" s="675" t="s">
        <v>219</v>
      </c>
      <c r="H61" s="228"/>
      <c r="I61" s="879"/>
    </row>
    <row r="62" spans="1:9" s="676" customFormat="1" ht="18">
      <c r="A62" s="214"/>
      <c r="B62" s="216"/>
      <c r="C62" s="236" t="s">
        <v>309</v>
      </c>
      <c r="D62" s="236"/>
      <c r="E62" s="236"/>
      <c r="F62" s="236"/>
      <c r="G62" s="236"/>
      <c r="H62" s="221"/>
      <c r="I62" s="879"/>
    </row>
    <row r="63" spans="1:9" s="676" customFormat="1" ht="15.75">
      <c r="A63" s="214"/>
      <c r="B63" s="237" t="s">
        <v>310</v>
      </c>
      <c r="C63" s="236"/>
      <c r="D63" s="236"/>
      <c r="E63" s="236" t="s">
        <v>58</v>
      </c>
      <c r="F63" s="236" t="s">
        <v>258</v>
      </c>
      <c r="G63" s="236" t="s">
        <v>259</v>
      </c>
      <c r="H63" s="221"/>
      <c r="I63" s="675" t="s">
        <v>221</v>
      </c>
    </row>
    <row r="64" spans="1:9" s="676" customFormat="1" ht="15.75" thickBot="1">
      <c r="A64" s="214"/>
      <c r="B64" s="233"/>
      <c r="C64" s="236"/>
      <c r="D64" s="236" t="s">
        <v>274</v>
      </c>
      <c r="E64" s="236" t="s">
        <v>260</v>
      </c>
      <c r="F64" s="236" t="s">
        <v>260</v>
      </c>
      <c r="G64" s="236" t="s">
        <v>260</v>
      </c>
      <c r="H64" s="662"/>
      <c r="I64" s="236" t="s">
        <v>275</v>
      </c>
    </row>
    <row r="65" spans="1:9" s="676" customFormat="1" ht="30">
      <c r="A65" s="214">
        <f>+A47+1</f>
        <v>27</v>
      </c>
      <c r="B65" s="528" t="s">
        <v>311</v>
      </c>
      <c r="C65" s="805">
        <v>0</v>
      </c>
      <c r="D65" s="806">
        <v>0</v>
      </c>
      <c r="E65" s="807">
        <v>0</v>
      </c>
      <c r="F65" s="807">
        <v>0</v>
      </c>
      <c r="G65" s="807">
        <v>0</v>
      </c>
      <c r="H65" s="960"/>
      <c r="I65" s="910" t="str">
        <f>+'1C - ADIT Prior Year'!I59</f>
        <v>Tax and book differences resulting from accelerated tax depreciation .  Included in prorated amount</v>
      </c>
    </row>
    <row r="66" spans="1:9" ht="30">
      <c r="A66" s="214">
        <f>+A65+1</f>
        <v>28</v>
      </c>
      <c r="B66" s="530" t="s">
        <v>312</v>
      </c>
      <c r="C66" s="798">
        <v>0</v>
      </c>
      <c r="D66" s="808">
        <v>0</v>
      </c>
      <c r="E66" s="808">
        <v>0</v>
      </c>
      <c r="F66" s="808">
        <v>0</v>
      </c>
      <c r="G66" s="808">
        <v>0</v>
      </c>
      <c r="H66" s="959"/>
      <c r="I66" s="538" t="s">
        <v>313</v>
      </c>
    </row>
    <row r="67" spans="1:9" s="676" customFormat="1" ht="16.5" thickBot="1">
      <c r="A67" s="214">
        <f>+A66+1</f>
        <v>29</v>
      </c>
      <c r="B67" s="526" t="s">
        <v>69</v>
      </c>
      <c r="C67" s="804">
        <f>+SUM(C65:C66)</f>
        <v>0</v>
      </c>
      <c r="D67" s="804">
        <f t="shared" ref="D67:G67" si="5">+SUM(D65:D66)</f>
        <v>0</v>
      </c>
      <c r="E67" s="804">
        <f t="shared" si="5"/>
        <v>0</v>
      </c>
      <c r="F67" s="804">
        <f t="shared" si="5"/>
        <v>0</v>
      </c>
      <c r="G67" s="804">
        <f t="shared" si="5"/>
        <v>0</v>
      </c>
      <c r="H67" s="804"/>
      <c r="I67" s="525"/>
    </row>
    <row r="68" spans="1:9" s="676" customFormat="1" ht="15">
      <c r="A68" s="214"/>
      <c r="B68" s="57" t="s">
        <v>314</v>
      </c>
      <c r="C68" s="57"/>
      <c r="D68" s="57"/>
      <c r="E68" s="72"/>
      <c r="F68" s="695"/>
      <c r="G68" s="216"/>
      <c r="H68" s="57"/>
      <c r="I68" s="1078"/>
    </row>
    <row r="69" spans="1:9" s="676" customFormat="1" ht="15">
      <c r="A69" s="214"/>
      <c r="B69" s="250" t="s">
        <v>315</v>
      </c>
      <c r="C69" s="57"/>
      <c r="D69" s="216"/>
      <c r="E69" s="57"/>
      <c r="F69" s="57"/>
      <c r="G69" s="72"/>
      <c r="H69" s="72"/>
      <c r="I69" s="72"/>
    </row>
    <row r="70" spans="1:9" s="676" customFormat="1" ht="15">
      <c r="A70" s="214"/>
      <c r="B70" s="250" t="s">
        <v>304</v>
      </c>
      <c r="C70" s="57"/>
      <c r="D70" s="216"/>
      <c r="E70" s="57"/>
      <c r="F70" s="57"/>
      <c r="G70" s="72"/>
      <c r="H70" s="72"/>
      <c r="I70" s="72"/>
    </row>
    <row r="71" spans="1:9" s="676" customFormat="1" ht="15">
      <c r="A71" s="214"/>
      <c r="B71" s="250" t="s">
        <v>316</v>
      </c>
      <c r="C71" s="57"/>
      <c r="D71" s="216"/>
      <c r="E71" s="57"/>
      <c r="F71" s="57"/>
      <c r="G71" s="72"/>
      <c r="H71" s="72"/>
      <c r="I71" s="72"/>
    </row>
    <row r="72" spans="1:9" s="676" customFormat="1" ht="15">
      <c r="A72" s="214"/>
      <c r="B72" s="250" t="s">
        <v>317</v>
      </c>
      <c r="C72" s="57"/>
      <c r="D72" s="216"/>
      <c r="E72" s="57"/>
      <c r="F72" s="57"/>
      <c r="G72" s="72"/>
      <c r="H72" s="72"/>
      <c r="I72" s="72"/>
    </row>
    <row r="73" spans="1:9" s="676" customFormat="1" ht="15">
      <c r="A73" s="214"/>
      <c r="B73" s="1170" t="s">
        <v>307</v>
      </c>
      <c r="C73" s="1170"/>
      <c r="D73" s="1170"/>
      <c r="E73" s="1170"/>
      <c r="F73" s="1170"/>
      <c r="G73" s="1170"/>
      <c r="H73" s="1170"/>
      <c r="I73" s="1170"/>
    </row>
    <row r="74" spans="1:9" s="676" customFormat="1" ht="15">
      <c r="A74" s="214"/>
      <c r="B74" s="233" t="s">
        <v>308</v>
      </c>
      <c r="C74" s="613"/>
      <c r="D74" s="697"/>
      <c r="E74" s="613"/>
      <c r="F74" s="613"/>
      <c r="G74" s="613"/>
      <c r="H74" s="613"/>
      <c r="I74" s="1078"/>
    </row>
    <row r="75" spans="1:9" s="676" customFormat="1" ht="15.75">
      <c r="A75" s="214"/>
      <c r="B75" s="600"/>
      <c r="C75" s="216"/>
      <c r="D75" s="57"/>
      <c r="E75" s="57"/>
      <c r="F75" s="72"/>
      <c r="G75" s="72"/>
      <c r="H75" s="72"/>
      <c r="I75" s="1078"/>
    </row>
    <row r="76" spans="1:9" s="676" customFormat="1" ht="15">
      <c r="A76" s="214"/>
      <c r="B76" s="233"/>
      <c r="C76" s="216"/>
      <c r="D76" s="57"/>
      <c r="E76" s="57"/>
      <c r="F76" s="72"/>
      <c r="G76" s="72"/>
      <c r="H76" s="72"/>
      <c r="I76" s="1078"/>
    </row>
    <row r="77" spans="1:9" s="676" customFormat="1" ht="15.75">
      <c r="A77" s="214"/>
      <c r="B77" s="675"/>
      <c r="C77" s="234"/>
      <c r="D77" s="234"/>
      <c r="E77" s="234"/>
      <c r="F77" s="234"/>
      <c r="G77" s="234"/>
      <c r="H77" s="234"/>
      <c r="I77" s="234"/>
    </row>
    <row r="78" spans="1:9" ht="18">
      <c r="A78" s="923"/>
      <c r="B78" s="251" t="str">
        <f>B3</f>
        <v>Dayton Power and Light</v>
      </c>
      <c r="C78" s="252"/>
      <c r="D78" s="252"/>
      <c r="E78" s="252"/>
      <c r="F78" s="252"/>
      <c r="G78" s="252"/>
      <c r="H78" s="252"/>
      <c r="I78" s="253"/>
    </row>
    <row r="79" spans="1:9" ht="18">
      <c r="A79" s="923"/>
      <c r="B79" s="1167" t="str">
        <f>+'Appendix A'!A4</f>
        <v xml:space="preserve">ATTACHMENT H-15A </v>
      </c>
      <c r="C79" s="1167"/>
      <c r="D79" s="1167"/>
      <c r="E79" s="1167"/>
      <c r="F79" s="1167"/>
      <c r="G79" s="1167"/>
      <c r="H79" s="1167"/>
      <c r="I79" s="1167"/>
    </row>
    <row r="80" spans="1:9" ht="18">
      <c r="A80" s="923"/>
      <c r="B80" s="1167" t="str">
        <f>+B5</f>
        <v xml:space="preserve">Attachment 1D - Accumulated Deferred Income Taxes for Annual True-up - December 31, </v>
      </c>
      <c r="C80" s="1167"/>
      <c r="D80" s="1167"/>
      <c r="E80" s="1167"/>
      <c r="F80" s="1167"/>
      <c r="G80" s="1167"/>
      <c r="H80" s="1167"/>
      <c r="I80" s="1167"/>
    </row>
    <row r="81" spans="1:9" ht="18.75">
      <c r="A81" s="923"/>
      <c r="B81" s="238"/>
      <c r="C81" s="215"/>
      <c r="D81" s="215"/>
      <c r="E81" s="215"/>
      <c r="F81" s="215"/>
      <c r="G81" s="211"/>
      <c r="H81" s="211"/>
      <c r="I81" s="239"/>
    </row>
    <row r="82" spans="1:9" ht="15.75">
      <c r="A82" s="923"/>
      <c r="B82" s="233"/>
      <c r="C82" s="216"/>
      <c r="D82" s="216"/>
      <c r="E82" s="216"/>
      <c r="F82" s="216"/>
      <c r="G82" s="237"/>
      <c r="H82" s="237"/>
      <c r="I82" s="267"/>
    </row>
    <row r="83" spans="1:9" ht="15">
      <c r="A83" s="923"/>
      <c r="B83" s="233"/>
      <c r="C83" s="216"/>
      <c r="D83" s="216"/>
      <c r="E83" s="216"/>
      <c r="F83" s="216"/>
      <c r="G83" s="237"/>
      <c r="H83" s="237"/>
      <c r="I83" s="1078"/>
    </row>
    <row r="84" spans="1:9" ht="15.75">
      <c r="A84" s="923"/>
      <c r="B84" s="228" t="s">
        <v>209</v>
      </c>
      <c r="C84" s="1089" t="s">
        <v>211</v>
      </c>
      <c r="D84" s="1089" t="s">
        <v>213</v>
      </c>
      <c r="E84" s="1089" t="s">
        <v>215</v>
      </c>
      <c r="F84" s="1089" t="s">
        <v>217</v>
      </c>
      <c r="G84" s="1089" t="s">
        <v>219</v>
      </c>
      <c r="H84" s="228"/>
      <c r="I84" s="1089" t="s">
        <v>221</v>
      </c>
    </row>
    <row r="85" spans="1:9" ht="31.5">
      <c r="A85" s="923"/>
      <c r="B85" s="237" t="s">
        <v>318</v>
      </c>
      <c r="C85" s="221" t="s">
        <v>69</v>
      </c>
      <c r="D85" s="240" t="s">
        <v>274</v>
      </c>
      <c r="E85" s="240" t="s">
        <v>407</v>
      </c>
      <c r="F85" s="240" t="s">
        <v>258</v>
      </c>
      <c r="G85" s="240" t="s">
        <v>259</v>
      </c>
      <c r="H85" s="221"/>
      <c r="I85" s="236" t="s">
        <v>275</v>
      </c>
    </row>
    <row r="86" spans="1:9" ht="15.75" thickBot="1">
      <c r="A86" s="923"/>
      <c r="B86" s="241"/>
      <c r="C86" s="221"/>
      <c r="D86" s="221"/>
      <c r="E86" s="221"/>
      <c r="F86" s="221"/>
      <c r="G86" s="221"/>
      <c r="H86" s="662"/>
      <c r="I86" s="214"/>
    </row>
    <row r="87" spans="1:9" ht="15">
      <c r="A87" s="606">
        <f>+A47+1</f>
        <v>27</v>
      </c>
      <c r="B87" s="528" t="s">
        <v>319</v>
      </c>
      <c r="C87" s="796">
        <v>0</v>
      </c>
      <c r="D87" s="796">
        <v>0</v>
      </c>
      <c r="E87" s="796">
        <v>0</v>
      </c>
      <c r="F87" s="796">
        <v>0</v>
      </c>
      <c r="G87" s="796">
        <v>0</v>
      </c>
      <c r="H87" s="960"/>
      <c r="I87" s="909" t="s">
        <v>320</v>
      </c>
    </row>
    <row r="88" spans="1:9" ht="30">
      <c r="A88" s="606">
        <f>+A87+1</f>
        <v>28</v>
      </c>
      <c r="B88" s="530" t="s">
        <v>321</v>
      </c>
      <c r="C88" s="798">
        <v>0</v>
      </c>
      <c r="D88" s="798">
        <v>0</v>
      </c>
      <c r="E88" s="798">
        <v>0</v>
      </c>
      <c r="F88" s="798">
        <v>0</v>
      </c>
      <c r="G88" s="798">
        <v>0</v>
      </c>
      <c r="H88" s="959"/>
      <c r="I88" s="617" t="s">
        <v>322</v>
      </c>
    </row>
    <row r="89" spans="1:9" ht="30">
      <c r="A89" s="606">
        <f t="shared" ref="A89:A97" si="6">+A88+1</f>
        <v>29</v>
      </c>
      <c r="B89" s="530" t="s">
        <v>323</v>
      </c>
      <c r="C89" s="798">
        <v>0</v>
      </c>
      <c r="D89" s="798">
        <v>0</v>
      </c>
      <c r="E89" s="798">
        <v>0</v>
      </c>
      <c r="F89" s="798">
        <v>0</v>
      </c>
      <c r="G89" s="798">
        <v>0</v>
      </c>
      <c r="H89" s="959"/>
      <c r="I89" s="617" t="s">
        <v>324</v>
      </c>
    </row>
    <row r="90" spans="1:9" ht="37.5" customHeight="1">
      <c r="A90" s="606">
        <f t="shared" si="6"/>
        <v>30</v>
      </c>
      <c r="B90" s="530" t="s">
        <v>325</v>
      </c>
      <c r="C90" s="798">
        <v>0</v>
      </c>
      <c r="D90" s="798">
        <v>0</v>
      </c>
      <c r="E90" s="798">
        <v>0</v>
      </c>
      <c r="F90" s="798">
        <v>0</v>
      </c>
      <c r="G90" s="798">
        <v>0</v>
      </c>
      <c r="H90" s="959"/>
      <c r="I90" s="617" t="s">
        <v>326</v>
      </c>
    </row>
    <row r="91" spans="1:9" ht="15">
      <c r="A91" s="606">
        <f t="shared" si="6"/>
        <v>31</v>
      </c>
      <c r="B91" s="530" t="s">
        <v>327</v>
      </c>
      <c r="C91" s="798">
        <v>0</v>
      </c>
      <c r="D91" s="798">
        <v>0</v>
      </c>
      <c r="E91" s="798">
        <v>0</v>
      </c>
      <c r="F91" s="798">
        <v>0</v>
      </c>
      <c r="G91" s="798">
        <v>0</v>
      </c>
      <c r="H91" s="959"/>
      <c r="I91" s="617" t="s">
        <v>282</v>
      </c>
    </row>
    <row r="92" spans="1:9" ht="15">
      <c r="A92" s="606">
        <f t="shared" si="6"/>
        <v>32</v>
      </c>
      <c r="B92" s="530" t="s">
        <v>328</v>
      </c>
      <c r="C92" s="798">
        <v>0</v>
      </c>
      <c r="D92" s="798">
        <v>0</v>
      </c>
      <c r="E92" s="798">
        <v>0</v>
      </c>
      <c r="F92" s="798">
        <v>0</v>
      </c>
      <c r="G92" s="798">
        <v>0</v>
      </c>
      <c r="H92" s="959"/>
      <c r="I92" s="617" t="s">
        <v>329</v>
      </c>
    </row>
    <row r="93" spans="1:9" ht="15.75" thickBot="1">
      <c r="A93" s="606">
        <f t="shared" si="6"/>
        <v>33</v>
      </c>
      <c r="B93" s="530" t="s">
        <v>297</v>
      </c>
      <c r="C93" s="798">
        <v>0</v>
      </c>
      <c r="D93" s="798">
        <v>0</v>
      </c>
      <c r="E93" s="798">
        <v>0</v>
      </c>
      <c r="F93" s="798">
        <v>0</v>
      </c>
      <c r="G93" s="798">
        <v>0</v>
      </c>
      <c r="H93" s="959"/>
      <c r="I93" s="617"/>
    </row>
    <row r="94" spans="1:9" ht="15.75">
      <c r="A94" s="606">
        <f t="shared" si="6"/>
        <v>34</v>
      </c>
      <c r="B94" s="254" t="s">
        <v>331</v>
      </c>
      <c r="C94" s="809">
        <f t="shared" ref="C94:G94" si="7">SUM(C87:C93)</f>
        <v>0</v>
      </c>
      <c r="D94" s="809">
        <f>SUM(D87:D93)</f>
        <v>0</v>
      </c>
      <c r="E94" s="809">
        <f t="shared" si="7"/>
        <v>0</v>
      </c>
      <c r="F94" s="809">
        <f>SUM(F87:F93)</f>
        <v>0</v>
      </c>
      <c r="G94" s="809">
        <f t="shared" si="7"/>
        <v>0</v>
      </c>
      <c r="H94" s="963"/>
      <c r="I94" s="255"/>
    </row>
    <row r="95" spans="1:9" ht="47.25">
      <c r="A95" s="606">
        <f t="shared" si="6"/>
        <v>35</v>
      </c>
      <c r="B95" s="693" t="s">
        <v>332</v>
      </c>
      <c r="C95" s="801">
        <f>+C91</f>
        <v>0</v>
      </c>
      <c r="D95" s="801">
        <f t="shared" ref="D95:G95" si="8">+D91</f>
        <v>0</v>
      </c>
      <c r="E95" s="801">
        <f t="shared" si="8"/>
        <v>0</v>
      </c>
      <c r="F95" s="801">
        <f t="shared" si="8"/>
        <v>0</v>
      </c>
      <c r="G95" s="801">
        <f t="shared" si="8"/>
        <v>0</v>
      </c>
      <c r="H95" s="814"/>
      <c r="I95" s="243"/>
    </row>
    <row r="96" spans="1:9" ht="31.5">
      <c r="A96" s="606">
        <f t="shared" si="6"/>
        <v>36</v>
      </c>
      <c r="B96" s="694" t="s">
        <v>333</v>
      </c>
      <c r="C96" s="810">
        <f>+C88</f>
        <v>0</v>
      </c>
      <c r="D96" s="810">
        <f>+D88</f>
        <v>0</v>
      </c>
      <c r="E96" s="810">
        <f t="shared" ref="E96:G96" si="9">+E88</f>
        <v>0</v>
      </c>
      <c r="F96" s="810">
        <f t="shared" si="9"/>
        <v>0</v>
      </c>
      <c r="G96" s="810">
        <f t="shared" si="9"/>
        <v>0</v>
      </c>
      <c r="H96" s="815"/>
      <c r="I96" s="602" t="s">
        <v>408</v>
      </c>
    </row>
    <row r="97" spans="1:9" ht="16.5" thickBot="1">
      <c r="A97" s="606">
        <f t="shared" si="6"/>
        <v>37</v>
      </c>
      <c r="B97" s="526" t="s">
        <v>69</v>
      </c>
      <c r="C97" s="804">
        <f>+C94-C95-C96</f>
        <v>0</v>
      </c>
      <c r="D97" s="804">
        <f t="shared" ref="D97:G97" si="10">+D94-D95-D96</f>
        <v>0</v>
      </c>
      <c r="E97" s="804">
        <f t="shared" si="10"/>
        <v>0</v>
      </c>
      <c r="F97" s="804">
        <f t="shared" si="10"/>
        <v>0</v>
      </c>
      <c r="G97" s="804">
        <f t="shared" si="10"/>
        <v>0</v>
      </c>
      <c r="H97" s="804"/>
      <c r="I97" s="525"/>
    </row>
    <row r="98" spans="1:9" ht="15">
      <c r="A98" s="923"/>
      <c r="B98" s="233"/>
      <c r="C98" s="244"/>
      <c r="D98" s="245"/>
      <c r="E98" s="245"/>
      <c r="F98" s="245"/>
      <c r="G98" s="245"/>
      <c r="H98" s="245"/>
      <c r="I98" s="1078"/>
    </row>
    <row r="99" spans="1:9" ht="15">
      <c r="A99" s="923"/>
      <c r="B99" s="57" t="s">
        <v>335</v>
      </c>
      <c r="C99" s="57"/>
      <c r="D99" s="57"/>
      <c r="E99" s="72"/>
      <c r="F99" s="72"/>
      <c r="G99" s="216"/>
      <c r="H99" s="216"/>
      <c r="I99" s="246"/>
    </row>
    <row r="100" spans="1:9" ht="15">
      <c r="A100" s="923"/>
      <c r="B100" s="250" t="str">
        <f>+'1A - ADIT'!B95</f>
        <v>1.  ADIT items related only to Non-Electric Operations or Production are directly assigned to Column C</v>
      </c>
      <c r="C100" s="57"/>
      <c r="D100" s="216"/>
      <c r="E100" s="57"/>
      <c r="F100" s="57"/>
      <c r="G100" s="72"/>
      <c r="H100" s="72"/>
      <c r="I100" s="72"/>
    </row>
    <row r="101" spans="1:9" ht="15">
      <c r="A101" s="923"/>
      <c r="B101" s="250" t="s">
        <v>304</v>
      </c>
      <c r="C101" s="57"/>
      <c r="D101" s="216"/>
      <c r="E101" s="57"/>
      <c r="F101" s="57"/>
      <c r="G101" s="72"/>
      <c r="H101" s="72"/>
      <c r="I101" s="72"/>
    </row>
    <row r="102" spans="1:9" ht="15">
      <c r="A102" s="923"/>
      <c r="B102" s="250" t="s">
        <v>316</v>
      </c>
      <c r="C102" s="57"/>
      <c r="D102" s="216"/>
      <c r="E102" s="57"/>
      <c r="F102" s="57"/>
      <c r="G102" s="72"/>
      <c r="H102" s="72"/>
      <c r="I102" s="72"/>
    </row>
    <row r="103" spans="1:9" ht="15">
      <c r="A103" s="923"/>
      <c r="B103" s="250" t="s">
        <v>317</v>
      </c>
      <c r="C103" s="57"/>
      <c r="D103" s="216"/>
      <c r="E103" s="57"/>
      <c r="F103" s="57"/>
      <c r="G103" s="72"/>
      <c r="H103" s="72"/>
      <c r="I103" s="72"/>
    </row>
    <row r="104" spans="1:9" ht="15">
      <c r="A104" s="923"/>
      <c r="B104" s="1170" t="s">
        <v>307</v>
      </c>
      <c r="C104" s="1170"/>
      <c r="D104" s="1170"/>
      <c r="E104" s="1170"/>
      <c r="F104" s="1170"/>
      <c r="G104" s="1170"/>
      <c r="H104" s="1170"/>
      <c r="I104" s="1170"/>
    </row>
    <row r="105" spans="1:9" ht="15">
      <c r="A105" s="923"/>
      <c r="B105" s="233" t="s">
        <v>308</v>
      </c>
      <c r="C105" s="613"/>
      <c r="D105" s="697"/>
      <c r="E105" s="613"/>
      <c r="F105" s="613"/>
      <c r="G105" s="613"/>
      <c r="H105" s="613"/>
      <c r="I105" s="1078"/>
    </row>
    <row r="106" spans="1:9" ht="15.75">
      <c r="A106" s="923"/>
      <c r="B106" s="247"/>
      <c r="C106" s="248"/>
      <c r="D106" s="248"/>
      <c r="E106" s="248"/>
      <c r="F106" s="248"/>
      <c r="G106" s="248"/>
      <c r="H106" s="248"/>
      <c r="I106" s="248"/>
    </row>
    <row r="107" spans="1:9" ht="15.75">
      <c r="A107" s="923"/>
      <c r="B107" s="1168" t="s">
        <v>409</v>
      </c>
      <c r="C107" s="1168"/>
      <c r="D107" s="1168"/>
      <c r="E107" s="1168"/>
      <c r="F107" s="1168"/>
      <c r="G107" s="1168"/>
      <c r="H107" s="1168"/>
      <c r="I107" s="1168"/>
    </row>
    <row r="108" spans="1:9" ht="15">
      <c r="A108" s="923"/>
      <c r="B108" s="57" t="s">
        <v>410</v>
      </c>
      <c r="C108" s="57"/>
      <c r="D108" s="57"/>
      <c r="E108" s="57"/>
      <c r="F108" s="57"/>
      <c r="G108" s="57"/>
      <c r="H108" s="57"/>
      <c r="I108" s="57"/>
    </row>
    <row r="109" spans="1:9" ht="15">
      <c r="A109" s="923"/>
      <c r="B109" s="57" t="s">
        <v>411</v>
      </c>
      <c r="C109" s="57"/>
      <c r="D109" s="57"/>
      <c r="E109" s="57"/>
      <c r="F109" s="57"/>
      <c r="G109" s="57"/>
      <c r="H109" s="57"/>
      <c r="I109" s="57"/>
    </row>
    <row r="110" spans="1:9" ht="15">
      <c r="A110" s="923"/>
      <c r="B110" s="57" t="s">
        <v>412</v>
      </c>
      <c r="C110" s="57"/>
      <c r="D110" s="57"/>
      <c r="E110" s="57"/>
      <c r="F110" s="57"/>
      <c r="G110" s="57"/>
      <c r="H110" s="57"/>
      <c r="I110" s="57"/>
    </row>
    <row r="111" spans="1:9" ht="15.75">
      <c r="A111" s="923"/>
      <c r="B111" s="57" t="s">
        <v>413</v>
      </c>
      <c r="C111" s="57"/>
      <c r="D111" s="249"/>
      <c r="E111" s="249"/>
      <c r="F111" s="249"/>
      <c r="G111" s="249"/>
      <c r="H111" s="249"/>
      <c r="I111" s="249"/>
    </row>
    <row r="112" spans="1:9" ht="15.75">
      <c r="A112" s="923"/>
      <c r="B112" s="57" t="s">
        <v>414</v>
      </c>
      <c r="C112" s="57"/>
      <c r="D112" s="249"/>
      <c r="E112" s="249"/>
      <c r="F112" s="249"/>
      <c r="G112" s="249"/>
      <c r="H112" s="249"/>
      <c r="I112" s="249"/>
    </row>
    <row r="113" spans="2:9" ht="15">
      <c r="B113" s="250"/>
      <c r="C113" s="57"/>
      <c r="D113" s="72"/>
      <c r="E113" s="72"/>
      <c r="F113" s="57"/>
      <c r="G113" s="57"/>
      <c r="H113" s="57"/>
      <c r="I113" s="57"/>
    </row>
    <row r="114" spans="2:9" ht="15">
      <c r="B114" s="250"/>
      <c r="C114" s="57"/>
      <c r="D114" s="26"/>
      <c r="E114" s="26"/>
      <c r="F114" s="57"/>
      <c r="G114" s="57"/>
      <c r="H114" s="57"/>
      <c r="I114" s="57"/>
    </row>
    <row r="115" spans="2:9" ht="15">
      <c r="B115" s="250"/>
      <c r="C115" s="57"/>
      <c r="D115" s="26"/>
      <c r="E115" s="26"/>
      <c r="F115" s="57"/>
      <c r="G115" s="57"/>
      <c r="H115" s="57"/>
      <c r="I115" s="57"/>
    </row>
    <row r="116" spans="2:9" ht="15">
      <c r="B116" s="250"/>
      <c r="C116" s="57"/>
      <c r="D116" s="26"/>
      <c r="E116" s="26"/>
      <c r="F116" s="57"/>
      <c r="G116" s="57"/>
      <c r="H116" s="57"/>
      <c r="I116" s="57"/>
    </row>
    <row r="117" spans="2:9" ht="15">
      <c r="B117" s="250"/>
      <c r="C117" s="57"/>
      <c r="D117" s="26"/>
      <c r="E117" s="26"/>
      <c r="F117" s="57"/>
      <c r="G117" s="57"/>
      <c r="H117" s="57"/>
      <c r="I117" s="57"/>
    </row>
    <row r="118" spans="2:9" ht="15">
      <c r="B118" s="250"/>
      <c r="C118" s="57"/>
      <c r="D118" s="26"/>
      <c r="E118" s="26"/>
      <c r="F118" s="57"/>
      <c r="G118" s="57"/>
      <c r="H118" s="57"/>
      <c r="I118" s="57"/>
    </row>
    <row r="119" spans="2:9" ht="15">
      <c r="B119" s="250"/>
      <c r="C119" s="57"/>
      <c r="D119" s="26"/>
      <c r="E119" s="26"/>
      <c r="F119" s="57"/>
      <c r="G119" s="57"/>
      <c r="H119" s="57"/>
      <c r="I119" s="57"/>
    </row>
    <row r="120" spans="2:9" ht="15">
      <c r="B120" s="250"/>
      <c r="C120" s="57"/>
      <c r="D120" s="26"/>
      <c r="E120" s="26"/>
      <c r="F120" s="57"/>
      <c r="G120" s="57"/>
      <c r="H120" s="57"/>
      <c r="I120" s="57"/>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1:Q56"/>
  <sheetViews>
    <sheetView zoomScale="70" zoomScaleNormal="70" workbookViewId="0"/>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1" spans="1:17" s="590" customFormat="1">
      <c r="A1" s="923"/>
      <c r="B1" s="923"/>
      <c r="C1" s="923"/>
      <c r="D1" s="923"/>
      <c r="E1" s="923"/>
      <c r="F1" s="923"/>
      <c r="G1" s="923"/>
      <c r="H1" s="923"/>
      <c r="I1" s="923"/>
      <c r="J1" s="923"/>
      <c r="K1" s="923"/>
      <c r="L1" s="923"/>
      <c r="M1" s="923"/>
      <c r="N1" s="923"/>
      <c r="O1" s="923"/>
      <c r="P1" s="923"/>
      <c r="Q1" s="923"/>
    </row>
    <row r="2" spans="1:17" s="590" customFormat="1" ht="18">
      <c r="A2" s="923"/>
      <c r="B2" s="923"/>
      <c r="C2" s="923"/>
      <c r="D2" s="923"/>
      <c r="E2" s="923"/>
      <c r="F2" s="923"/>
      <c r="G2" s="923"/>
      <c r="H2" s="923"/>
      <c r="I2" s="1090" t="str">
        <f>+'Appendix A'!A3</f>
        <v>Dayton Power and Light</v>
      </c>
      <c r="J2" s="923"/>
      <c r="K2" s="923"/>
      <c r="L2" s="923"/>
      <c r="M2" s="923"/>
      <c r="N2" s="923"/>
      <c r="O2" s="923"/>
      <c r="P2" s="923"/>
      <c r="Q2" s="923"/>
    </row>
    <row r="3" spans="1:17" s="590" customFormat="1" ht="18">
      <c r="A3" s="923"/>
      <c r="B3" s="923"/>
      <c r="C3" s="923"/>
      <c r="D3" s="923"/>
      <c r="E3" s="923"/>
      <c r="F3" s="923"/>
      <c r="G3" s="923"/>
      <c r="H3" s="923"/>
      <c r="I3" s="1090" t="str">
        <f>+'Appendix A'!A4</f>
        <v xml:space="preserve">ATTACHMENT H-15A </v>
      </c>
      <c r="J3" s="923"/>
      <c r="K3" s="923"/>
      <c r="L3" s="923"/>
      <c r="M3" s="923"/>
      <c r="N3" s="923"/>
      <c r="O3" s="923"/>
      <c r="P3" s="923"/>
      <c r="Q3" s="923"/>
    </row>
    <row r="4" spans="1:17" s="609" customFormat="1" ht="18">
      <c r="A4" s="923"/>
      <c r="B4" s="923"/>
      <c r="C4" s="923"/>
      <c r="D4" s="923"/>
      <c r="E4" s="923"/>
      <c r="F4" s="923"/>
      <c r="G4" s="923"/>
      <c r="H4" s="923"/>
      <c r="I4" s="1076" t="s">
        <v>415</v>
      </c>
      <c r="J4" s="1076"/>
      <c r="K4" s="1076"/>
      <c r="L4" s="1076"/>
      <c r="M4" s="1076"/>
      <c r="N4" s="1076"/>
      <c r="O4" s="1076"/>
      <c r="P4" s="923"/>
      <c r="Q4" s="923"/>
    </row>
    <row r="5" spans="1:17" s="590" customFormat="1" ht="18">
      <c r="A5" s="923"/>
      <c r="B5" s="923"/>
      <c r="C5" s="923"/>
      <c r="D5" s="923"/>
      <c r="E5" s="923"/>
      <c r="F5" s="923"/>
      <c r="G5" s="923"/>
      <c r="H5" s="923"/>
      <c r="I5" s="1090" t="s">
        <v>416</v>
      </c>
      <c r="J5" s="923"/>
      <c r="K5" s="923"/>
      <c r="L5" s="923"/>
      <c r="M5" s="923"/>
      <c r="N5" s="923"/>
      <c r="O5" s="923"/>
      <c r="P5" s="923"/>
      <c r="Q5" s="878"/>
    </row>
    <row r="6" spans="1:17" s="590" customFormat="1">
      <c r="A6" s="923"/>
      <c r="B6" s="923"/>
      <c r="C6" s="923"/>
      <c r="D6" s="923"/>
      <c r="E6" s="923"/>
      <c r="F6" s="923"/>
      <c r="G6" s="923"/>
      <c r="H6" s="923"/>
      <c r="I6" s="559"/>
      <c r="J6" s="923"/>
      <c r="K6" s="923"/>
      <c r="L6" s="923"/>
      <c r="M6" s="923"/>
      <c r="N6" s="923"/>
      <c r="O6" s="923"/>
      <c r="P6" s="923"/>
      <c r="Q6" s="923"/>
    </row>
    <row r="7" spans="1:17" s="590" customFormat="1" ht="15">
      <c r="A7" s="214"/>
      <c r="B7" s="214" t="s">
        <v>417</v>
      </c>
      <c r="C7" s="214"/>
      <c r="D7" s="214"/>
      <c r="E7" s="214"/>
      <c r="F7" s="214"/>
      <c r="G7" s="214"/>
      <c r="H7" s="214"/>
      <c r="I7" s="214"/>
      <c r="J7" s="214"/>
      <c r="K7" s="214"/>
      <c r="L7" s="214"/>
      <c r="M7" s="214"/>
      <c r="N7" s="214"/>
      <c r="O7" s="214"/>
      <c r="P7" s="214"/>
      <c r="Q7" s="214"/>
    </row>
    <row r="8" spans="1:17" s="590" customFormat="1" ht="15">
      <c r="A8" s="214"/>
      <c r="B8" s="214"/>
      <c r="C8" s="214"/>
      <c r="D8" s="214"/>
      <c r="E8" s="214"/>
      <c r="F8" s="214"/>
      <c r="G8" s="214"/>
      <c r="H8" s="214"/>
      <c r="I8" s="214"/>
      <c r="J8" s="214"/>
      <c r="K8" s="214"/>
      <c r="L8" s="214"/>
      <c r="M8" s="214"/>
      <c r="N8" s="214"/>
      <c r="O8" s="214"/>
      <c r="P8" s="214"/>
      <c r="Q8" s="214"/>
    </row>
    <row r="10" spans="1:17" ht="15.75">
      <c r="A10" s="621"/>
      <c r="B10" s="622" t="s">
        <v>418</v>
      </c>
      <c r="C10" s="621"/>
      <c r="D10" s="621"/>
      <c r="E10" s="621"/>
      <c r="F10" s="621"/>
      <c r="G10" s="621"/>
      <c r="H10" s="621"/>
      <c r="I10" s="621"/>
      <c r="J10" s="621"/>
      <c r="K10" s="621"/>
      <c r="L10" s="622"/>
      <c r="M10" s="621"/>
      <c r="N10" s="621"/>
      <c r="O10" s="621"/>
      <c r="P10" s="621"/>
      <c r="Q10" s="621"/>
    </row>
    <row r="11" spans="1:17" ht="15.75">
      <c r="A11" s="621"/>
      <c r="B11" s="1174" t="s">
        <v>419</v>
      </c>
      <c r="C11" s="1175"/>
      <c r="D11" s="1175"/>
      <c r="E11" s="1175"/>
      <c r="F11" s="1176"/>
      <c r="G11" s="623"/>
      <c r="H11" s="1177" t="s">
        <v>420</v>
      </c>
      <c r="I11" s="1178"/>
      <c r="J11" s="1179"/>
      <c r="K11" s="624"/>
      <c r="L11" s="1180" t="s">
        <v>421</v>
      </c>
      <c r="M11" s="1181"/>
      <c r="N11" s="1181"/>
      <c r="O11" s="1181"/>
      <c r="P11" s="1181"/>
      <c r="Q11" s="1181"/>
    </row>
    <row r="12" spans="1:17" ht="15.75">
      <c r="A12" s="621"/>
      <c r="B12" s="625" t="s">
        <v>209</v>
      </c>
      <c r="C12" s="625" t="s">
        <v>211</v>
      </c>
      <c r="D12" s="625" t="s">
        <v>213</v>
      </c>
      <c r="E12" s="625" t="s">
        <v>215</v>
      </c>
      <c r="F12" s="625" t="s">
        <v>217</v>
      </c>
      <c r="G12" s="623"/>
      <c r="H12" s="625" t="s">
        <v>219</v>
      </c>
      <c r="I12" s="625" t="s">
        <v>221</v>
      </c>
      <c r="J12" s="625" t="s">
        <v>223</v>
      </c>
      <c r="K12" s="626"/>
      <c r="L12" s="627" t="s">
        <v>225</v>
      </c>
      <c r="M12" s="627" t="s">
        <v>227</v>
      </c>
      <c r="N12" s="627" t="s">
        <v>229</v>
      </c>
      <c r="O12" s="627" t="s">
        <v>231</v>
      </c>
      <c r="P12" s="627" t="s">
        <v>233</v>
      </c>
      <c r="Q12" s="627" t="s">
        <v>235</v>
      </c>
    </row>
    <row r="13" spans="1:17" ht="150">
      <c r="A13" s="621"/>
      <c r="B13" s="628" t="s">
        <v>422</v>
      </c>
      <c r="C13" s="628" t="s">
        <v>361</v>
      </c>
      <c r="D13" s="628" t="s">
        <v>423</v>
      </c>
      <c r="E13" s="628" t="s">
        <v>424</v>
      </c>
      <c r="F13" s="628" t="s">
        <v>425</v>
      </c>
      <c r="G13" s="629"/>
      <c r="H13" s="628" t="s">
        <v>426</v>
      </c>
      <c r="I13" s="628" t="s">
        <v>427</v>
      </c>
      <c r="J13" s="628" t="s">
        <v>428</v>
      </c>
      <c r="K13" s="629"/>
      <c r="L13" s="630" t="s">
        <v>429</v>
      </c>
      <c r="M13" s="630" t="s">
        <v>430</v>
      </c>
      <c r="N13" s="630" t="s">
        <v>431</v>
      </c>
      <c r="O13" s="630" t="s">
        <v>432</v>
      </c>
      <c r="P13" s="630" t="s">
        <v>433</v>
      </c>
      <c r="Q13" s="630" t="s">
        <v>434</v>
      </c>
    </row>
    <row r="14" spans="1:17" ht="15">
      <c r="A14" s="621"/>
      <c r="B14" s="621"/>
      <c r="C14" s="629"/>
      <c r="D14" s="629"/>
      <c r="E14" s="629"/>
      <c r="F14" s="629"/>
      <c r="G14" s="629"/>
      <c r="H14" s="629"/>
      <c r="I14" s="629"/>
      <c r="J14" s="629"/>
      <c r="K14" s="629"/>
      <c r="L14" s="631"/>
      <c r="M14" s="631"/>
      <c r="N14" s="631"/>
      <c r="O14" s="631"/>
      <c r="P14" s="631"/>
      <c r="Q14" s="631"/>
    </row>
    <row r="15" spans="1:17" ht="15">
      <c r="A15" s="621">
        <v>1</v>
      </c>
      <c r="B15" s="632" t="s">
        <v>435</v>
      </c>
      <c r="C15" s="633"/>
      <c r="D15" s="619"/>
      <c r="E15" s="619"/>
      <c r="F15" s="619"/>
      <c r="G15" s="619"/>
      <c r="H15" s="818"/>
      <c r="I15" s="818"/>
      <c r="J15" s="819">
        <v>0</v>
      </c>
      <c r="K15" s="820"/>
      <c r="L15" s="821" t="str">
        <f>+B15</f>
        <v>December 31st balance (FF1 274.2.b)</v>
      </c>
      <c r="M15" s="822"/>
      <c r="N15" s="822"/>
      <c r="O15" s="822"/>
      <c r="P15" s="822"/>
      <c r="Q15" s="823">
        <f>+J15</f>
        <v>0</v>
      </c>
    </row>
    <row r="16" spans="1:17" ht="15">
      <c r="A16" s="621">
        <f t="shared" ref="A16:A28" si="0">+A15+1</f>
        <v>2</v>
      </c>
      <c r="B16" s="633" t="s">
        <v>375</v>
      </c>
      <c r="C16" s="618">
        <v>31</v>
      </c>
      <c r="D16" s="619">
        <f t="shared" ref="D16:D26" si="1">D17+C17</f>
        <v>335</v>
      </c>
      <c r="E16" s="619">
        <f>SUM(C16:C27)</f>
        <v>365</v>
      </c>
      <c r="F16" s="55">
        <f>335/365</f>
        <v>0.9178082191780822</v>
      </c>
      <c r="G16" s="619"/>
      <c r="H16" s="819">
        <v>0</v>
      </c>
      <c r="I16" s="818">
        <f t="shared" ref="I16:I27" si="2">+H16*F16</f>
        <v>0</v>
      </c>
      <c r="J16" s="818">
        <f t="shared" ref="J16:J18" si="3">+I16+J15</f>
        <v>0</v>
      </c>
      <c r="K16" s="820"/>
      <c r="L16" s="824">
        <f t="shared" ref="L16:L27" si="4">+N34</f>
        <v>0</v>
      </c>
      <c r="M16" s="822">
        <f>L16-H16</f>
        <v>0</v>
      </c>
      <c r="N16" s="823">
        <f>IF(AND(H16&gt;=0,L16&gt;=0),IF(M16&gt;=0,I16,L16/H16*I16),IF(AND(H16&lt;0,L16&lt;0),IF(M16&lt;0,I16,L16/H16*I16),0))</f>
        <v>0</v>
      </c>
      <c r="O16" s="823">
        <f t="shared" ref="O16:O27" si="5">IF(AND(H16&gt;=0,L16&gt;=0),IF(M16&gt;=0,M16,0),IF(AND(H16&lt;0,L16&lt;0),IF(M16&lt;0,M16,0),0))</f>
        <v>0</v>
      </c>
      <c r="P16" s="823">
        <f>IF(AND(H16&gt;=0,L16&lt;0),L16,IF(AND(H16&lt;0,L16&gt;=0),L16,0))</f>
        <v>0</v>
      </c>
      <c r="Q16" s="823">
        <f>Q15+N16+(O16+P16)*0.5</f>
        <v>0</v>
      </c>
    </row>
    <row r="17" spans="1:17" ht="15">
      <c r="A17" s="621">
        <f t="shared" si="0"/>
        <v>3</v>
      </c>
      <c r="B17" s="633" t="s">
        <v>376</v>
      </c>
      <c r="C17" s="620">
        <v>28</v>
      </c>
      <c r="D17" s="619">
        <f t="shared" si="1"/>
        <v>307</v>
      </c>
      <c r="E17" s="619">
        <f>E16</f>
        <v>365</v>
      </c>
      <c r="F17" s="55">
        <f>307/365</f>
        <v>0.84109589041095889</v>
      </c>
      <c r="G17" s="619"/>
      <c r="H17" s="819">
        <v>0</v>
      </c>
      <c r="I17" s="818">
        <f t="shared" si="2"/>
        <v>0</v>
      </c>
      <c r="J17" s="818">
        <f t="shared" si="3"/>
        <v>0</v>
      </c>
      <c r="K17" s="820"/>
      <c r="L17" s="824">
        <f t="shared" si="4"/>
        <v>0</v>
      </c>
      <c r="M17" s="822">
        <f>L17-H17</f>
        <v>0</v>
      </c>
      <c r="N17" s="823">
        <f t="shared" ref="N17:N27" si="6">IF(AND(H17&gt;=0,L17&gt;=0),IF(M17&gt;=0,I17,L17/H17*I17),IF(AND(H17&lt;0,L17&lt;0),IF(M17&lt;0,I17,L17/H17*I17),0))</f>
        <v>0</v>
      </c>
      <c r="O17" s="823">
        <f t="shared" si="5"/>
        <v>0</v>
      </c>
      <c r="P17" s="823">
        <f t="shared" ref="P17:P27" si="7">IF(AND(H17&gt;=0,L17&lt;0),L17,IF(AND(H17&lt;0,L17&gt;=0),L17,0))</f>
        <v>0</v>
      </c>
      <c r="Q17" s="823">
        <f>Q16+N17+(O17+P17)*0.5</f>
        <v>0</v>
      </c>
    </row>
    <row r="18" spans="1:17" ht="15">
      <c r="A18" s="621">
        <f t="shared" si="0"/>
        <v>4</v>
      </c>
      <c r="B18" s="633" t="s">
        <v>377</v>
      </c>
      <c r="C18" s="618">
        <v>31</v>
      </c>
      <c r="D18" s="619">
        <f t="shared" si="1"/>
        <v>276</v>
      </c>
      <c r="E18" s="619">
        <f t="shared" ref="E18:E27" si="8">E17</f>
        <v>365</v>
      </c>
      <c r="F18" s="55">
        <f>276/365</f>
        <v>0.75616438356164384</v>
      </c>
      <c r="G18" s="619"/>
      <c r="H18" s="819">
        <v>0</v>
      </c>
      <c r="I18" s="818">
        <f t="shared" si="2"/>
        <v>0</v>
      </c>
      <c r="J18" s="818">
        <f t="shared" si="3"/>
        <v>0</v>
      </c>
      <c r="K18" s="820"/>
      <c r="L18" s="824">
        <f t="shared" si="4"/>
        <v>0</v>
      </c>
      <c r="M18" s="822">
        <f t="shared" ref="M18:M27" si="9">L18-H18</f>
        <v>0</v>
      </c>
      <c r="N18" s="823">
        <f t="shared" si="6"/>
        <v>0</v>
      </c>
      <c r="O18" s="823">
        <f t="shared" si="5"/>
        <v>0</v>
      </c>
      <c r="P18" s="823">
        <f t="shared" si="7"/>
        <v>0</v>
      </c>
      <c r="Q18" s="823">
        <f>Q17+N18+(O18+P18)*0.5</f>
        <v>0</v>
      </c>
    </row>
    <row r="19" spans="1:17" ht="15">
      <c r="A19" s="621">
        <f t="shared" si="0"/>
        <v>5</v>
      </c>
      <c r="B19" s="633" t="s">
        <v>378</v>
      </c>
      <c r="C19" s="618">
        <v>30</v>
      </c>
      <c r="D19" s="619">
        <f t="shared" si="1"/>
        <v>246</v>
      </c>
      <c r="E19" s="619">
        <f t="shared" si="8"/>
        <v>365</v>
      </c>
      <c r="F19" s="55">
        <f>246/365</f>
        <v>0.67397260273972603</v>
      </c>
      <c r="G19" s="619"/>
      <c r="H19" s="819">
        <v>0</v>
      </c>
      <c r="I19" s="818">
        <f t="shared" si="2"/>
        <v>0</v>
      </c>
      <c r="J19" s="818">
        <f>+I19+J18</f>
        <v>0</v>
      </c>
      <c r="K19" s="820"/>
      <c r="L19" s="824">
        <f t="shared" si="4"/>
        <v>0</v>
      </c>
      <c r="M19" s="822">
        <f t="shared" si="9"/>
        <v>0</v>
      </c>
      <c r="N19" s="823">
        <f t="shared" si="6"/>
        <v>0</v>
      </c>
      <c r="O19" s="823">
        <f t="shared" si="5"/>
        <v>0</v>
      </c>
      <c r="P19" s="823">
        <f t="shared" si="7"/>
        <v>0</v>
      </c>
      <c r="Q19" s="823">
        <f t="shared" ref="Q19:Q27" si="10">Q18+N19+(O19+P19)*0.5</f>
        <v>0</v>
      </c>
    </row>
    <row r="20" spans="1:17" ht="15">
      <c r="A20" s="621">
        <f t="shared" si="0"/>
        <v>6</v>
      </c>
      <c r="B20" s="633" t="s">
        <v>379</v>
      </c>
      <c r="C20" s="618">
        <v>31</v>
      </c>
      <c r="D20" s="619">
        <f t="shared" si="1"/>
        <v>215</v>
      </c>
      <c r="E20" s="619">
        <f t="shared" si="8"/>
        <v>365</v>
      </c>
      <c r="F20" s="55">
        <f>215/365</f>
        <v>0.58904109589041098</v>
      </c>
      <c r="G20" s="619"/>
      <c r="H20" s="819">
        <v>0</v>
      </c>
      <c r="I20" s="818">
        <f t="shared" si="2"/>
        <v>0</v>
      </c>
      <c r="J20" s="818">
        <f t="shared" ref="J20:J27" si="11">+I20+J19</f>
        <v>0</v>
      </c>
      <c r="K20" s="820"/>
      <c r="L20" s="824">
        <f t="shared" si="4"/>
        <v>0</v>
      </c>
      <c r="M20" s="822">
        <f t="shared" si="9"/>
        <v>0</v>
      </c>
      <c r="N20" s="823">
        <f t="shared" si="6"/>
        <v>0</v>
      </c>
      <c r="O20" s="823">
        <f t="shared" si="5"/>
        <v>0</v>
      </c>
      <c r="P20" s="823">
        <f t="shared" si="7"/>
        <v>0</v>
      </c>
      <c r="Q20" s="823">
        <f t="shared" si="10"/>
        <v>0</v>
      </c>
    </row>
    <row r="21" spans="1:17" ht="15">
      <c r="A21" s="621">
        <f t="shared" si="0"/>
        <v>7</v>
      </c>
      <c r="B21" s="633" t="s">
        <v>380</v>
      </c>
      <c r="C21" s="618">
        <v>30</v>
      </c>
      <c r="D21" s="619">
        <f t="shared" si="1"/>
        <v>185</v>
      </c>
      <c r="E21" s="619">
        <f t="shared" si="8"/>
        <v>365</v>
      </c>
      <c r="F21" s="55">
        <f>185/365</f>
        <v>0.50684931506849318</v>
      </c>
      <c r="G21" s="619"/>
      <c r="H21" s="819">
        <v>0</v>
      </c>
      <c r="I21" s="818">
        <f t="shared" si="2"/>
        <v>0</v>
      </c>
      <c r="J21" s="818">
        <f t="shared" si="11"/>
        <v>0</v>
      </c>
      <c r="K21" s="820"/>
      <c r="L21" s="824">
        <f t="shared" si="4"/>
        <v>0</v>
      </c>
      <c r="M21" s="822">
        <f t="shared" si="9"/>
        <v>0</v>
      </c>
      <c r="N21" s="823">
        <f t="shared" si="6"/>
        <v>0</v>
      </c>
      <c r="O21" s="823">
        <f t="shared" si="5"/>
        <v>0</v>
      </c>
      <c r="P21" s="823">
        <f t="shared" si="7"/>
        <v>0</v>
      </c>
      <c r="Q21" s="823">
        <f t="shared" si="10"/>
        <v>0</v>
      </c>
    </row>
    <row r="22" spans="1:17" ht="15">
      <c r="A22" s="621">
        <f t="shared" si="0"/>
        <v>8</v>
      </c>
      <c r="B22" s="633" t="s">
        <v>381</v>
      </c>
      <c r="C22" s="618">
        <v>31</v>
      </c>
      <c r="D22" s="619">
        <f t="shared" si="1"/>
        <v>154</v>
      </c>
      <c r="E22" s="619">
        <f t="shared" si="8"/>
        <v>365</v>
      </c>
      <c r="F22" s="55">
        <f>154/365</f>
        <v>0.42191780821917807</v>
      </c>
      <c r="G22" s="619"/>
      <c r="H22" s="819">
        <v>0</v>
      </c>
      <c r="I22" s="818">
        <f t="shared" si="2"/>
        <v>0</v>
      </c>
      <c r="J22" s="818">
        <f t="shared" si="11"/>
        <v>0</v>
      </c>
      <c r="K22" s="820"/>
      <c r="L22" s="824">
        <f t="shared" si="4"/>
        <v>0</v>
      </c>
      <c r="M22" s="822">
        <f t="shared" si="9"/>
        <v>0</v>
      </c>
      <c r="N22" s="823">
        <f t="shared" si="6"/>
        <v>0</v>
      </c>
      <c r="O22" s="823">
        <f t="shared" si="5"/>
        <v>0</v>
      </c>
      <c r="P22" s="823">
        <f t="shared" si="7"/>
        <v>0</v>
      </c>
      <c r="Q22" s="823">
        <f t="shared" si="10"/>
        <v>0</v>
      </c>
    </row>
    <row r="23" spans="1:17" ht="15">
      <c r="A23" s="621">
        <f t="shared" si="0"/>
        <v>9</v>
      </c>
      <c r="B23" s="633" t="s">
        <v>382</v>
      </c>
      <c r="C23" s="618">
        <v>31</v>
      </c>
      <c r="D23" s="619">
        <f t="shared" si="1"/>
        <v>123</v>
      </c>
      <c r="E23" s="619">
        <f t="shared" si="8"/>
        <v>365</v>
      </c>
      <c r="F23" s="55">
        <f>123/365</f>
        <v>0.33698630136986302</v>
      </c>
      <c r="G23" s="619"/>
      <c r="H23" s="819">
        <v>0</v>
      </c>
      <c r="I23" s="818">
        <f t="shared" si="2"/>
        <v>0</v>
      </c>
      <c r="J23" s="818">
        <f t="shared" si="11"/>
        <v>0</v>
      </c>
      <c r="K23" s="820"/>
      <c r="L23" s="824">
        <f t="shared" si="4"/>
        <v>0</v>
      </c>
      <c r="M23" s="822">
        <f t="shared" si="9"/>
        <v>0</v>
      </c>
      <c r="N23" s="823">
        <f t="shared" si="6"/>
        <v>0</v>
      </c>
      <c r="O23" s="823">
        <f t="shared" si="5"/>
        <v>0</v>
      </c>
      <c r="P23" s="823">
        <f t="shared" si="7"/>
        <v>0</v>
      </c>
      <c r="Q23" s="823">
        <f t="shared" si="10"/>
        <v>0</v>
      </c>
    </row>
    <row r="24" spans="1:17" ht="15">
      <c r="A24" s="621">
        <f t="shared" si="0"/>
        <v>10</v>
      </c>
      <c r="B24" s="633" t="s">
        <v>383</v>
      </c>
      <c r="C24" s="618">
        <v>30</v>
      </c>
      <c r="D24" s="619">
        <f t="shared" si="1"/>
        <v>93</v>
      </c>
      <c r="E24" s="619">
        <f t="shared" si="8"/>
        <v>365</v>
      </c>
      <c r="F24" s="55">
        <f>93/365</f>
        <v>0.25479452054794521</v>
      </c>
      <c r="G24" s="619"/>
      <c r="H24" s="819">
        <v>0</v>
      </c>
      <c r="I24" s="818">
        <f t="shared" si="2"/>
        <v>0</v>
      </c>
      <c r="J24" s="818">
        <f t="shared" si="11"/>
        <v>0</v>
      </c>
      <c r="K24" s="820"/>
      <c r="L24" s="824">
        <f t="shared" si="4"/>
        <v>0</v>
      </c>
      <c r="M24" s="822">
        <f t="shared" si="9"/>
        <v>0</v>
      </c>
      <c r="N24" s="823">
        <f t="shared" si="6"/>
        <v>0</v>
      </c>
      <c r="O24" s="823">
        <f t="shared" si="5"/>
        <v>0</v>
      </c>
      <c r="P24" s="823">
        <f t="shared" si="7"/>
        <v>0</v>
      </c>
      <c r="Q24" s="823">
        <f t="shared" si="10"/>
        <v>0</v>
      </c>
    </row>
    <row r="25" spans="1:17" ht="15">
      <c r="A25" s="621">
        <f t="shared" si="0"/>
        <v>11</v>
      </c>
      <c r="B25" s="633" t="s">
        <v>384</v>
      </c>
      <c r="C25" s="618">
        <v>31</v>
      </c>
      <c r="D25" s="619">
        <f t="shared" si="1"/>
        <v>62</v>
      </c>
      <c r="E25" s="619">
        <f t="shared" si="8"/>
        <v>365</v>
      </c>
      <c r="F25" s="55">
        <f>62/365</f>
        <v>0.16986301369863013</v>
      </c>
      <c r="G25" s="619"/>
      <c r="H25" s="819">
        <v>0</v>
      </c>
      <c r="I25" s="818">
        <f t="shared" si="2"/>
        <v>0</v>
      </c>
      <c r="J25" s="818">
        <f t="shared" si="11"/>
        <v>0</v>
      </c>
      <c r="K25" s="820"/>
      <c r="L25" s="824">
        <f t="shared" si="4"/>
        <v>0</v>
      </c>
      <c r="M25" s="822">
        <f t="shared" si="9"/>
        <v>0</v>
      </c>
      <c r="N25" s="823">
        <f t="shared" si="6"/>
        <v>0</v>
      </c>
      <c r="O25" s="823">
        <f t="shared" si="5"/>
        <v>0</v>
      </c>
      <c r="P25" s="823">
        <f t="shared" si="7"/>
        <v>0</v>
      </c>
      <c r="Q25" s="823">
        <f t="shared" si="10"/>
        <v>0</v>
      </c>
    </row>
    <row r="26" spans="1:17" ht="15">
      <c r="A26" s="621">
        <f t="shared" si="0"/>
        <v>12</v>
      </c>
      <c r="B26" s="633" t="s">
        <v>385</v>
      </c>
      <c r="C26" s="618">
        <v>30</v>
      </c>
      <c r="D26" s="619">
        <f t="shared" si="1"/>
        <v>32</v>
      </c>
      <c r="E26" s="619">
        <f t="shared" si="8"/>
        <v>365</v>
      </c>
      <c r="F26" s="55">
        <f>32/365</f>
        <v>8.7671232876712329E-2</v>
      </c>
      <c r="G26" s="619"/>
      <c r="H26" s="819">
        <v>0</v>
      </c>
      <c r="I26" s="818">
        <f t="shared" si="2"/>
        <v>0</v>
      </c>
      <c r="J26" s="818">
        <f t="shared" si="11"/>
        <v>0</v>
      </c>
      <c r="K26" s="820"/>
      <c r="L26" s="824">
        <f t="shared" si="4"/>
        <v>0</v>
      </c>
      <c r="M26" s="822">
        <f t="shared" si="9"/>
        <v>0</v>
      </c>
      <c r="N26" s="823">
        <f t="shared" si="6"/>
        <v>0</v>
      </c>
      <c r="O26" s="823">
        <f t="shared" si="5"/>
        <v>0</v>
      </c>
      <c r="P26" s="823">
        <f t="shared" si="7"/>
        <v>0</v>
      </c>
      <c r="Q26" s="823">
        <f t="shared" si="10"/>
        <v>0</v>
      </c>
    </row>
    <row r="27" spans="1:17" ht="15">
      <c r="A27" s="621">
        <f t="shared" si="0"/>
        <v>13</v>
      </c>
      <c r="B27" s="633" t="s">
        <v>386</v>
      </c>
      <c r="C27" s="618">
        <v>31</v>
      </c>
      <c r="D27" s="619">
        <v>1</v>
      </c>
      <c r="E27" s="619">
        <f t="shared" si="8"/>
        <v>365</v>
      </c>
      <c r="F27" s="55">
        <f>1/365</f>
        <v>2.7397260273972603E-3</v>
      </c>
      <c r="G27" s="619"/>
      <c r="H27" s="819">
        <v>0</v>
      </c>
      <c r="I27" s="818">
        <f t="shared" si="2"/>
        <v>0</v>
      </c>
      <c r="J27" s="818">
        <f t="shared" si="11"/>
        <v>0</v>
      </c>
      <c r="K27" s="820"/>
      <c r="L27" s="824">
        <f t="shared" si="4"/>
        <v>0</v>
      </c>
      <c r="M27" s="822">
        <f t="shared" si="9"/>
        <v>0</v>
      </c>
      <c r="N27" s="823">
        <f t="shared" si="6"/>
        <v>0</v>
      </c>
      <c r="O27" s="823">
        <f t="shared" si="5"/>
        <v>0</v>
      </c>
      <c r="P27" s="823">
        <f t="shared" si="7"/>
        <v>0</v>
      </c>
      <c r="Q27" s="823">
        <f t="shared" si="10"/>
        <v>0</v>
      </c>
    </row>
    <row r="28" spans="1:17" ht="15">
      <c r="A28" s="621">
        <f t="shared" si="0"/>
        <v>14</v>
      </c>
      <c r="B28" s="634" t="s">
        <v>69</v>
      </c>
      <c r="C28" s="635">
        <f>SUM(C16:C27)</f>
        <v>365</v>
      </c>
      <c r="D28" s="634"/>
      <c r="E28" s="634"/>
      <c r="F28" s="636"/>
      <c r="G28" s="619"/>
      <c r="H28" s="825">
        <f>SUM(H16:H27)</f>
        <v>0</v>
      </c>
      <c r="I28" s="825">
        <f>SUM(I16:I27)</f>
        <v>0</v>
      </c>
      <c r="J28" s="826"/>
      <c r="K28" s="820"/>
      <c r="L28" s="825">
        <f>SUM(L16:L27)</f>
        <v>0</v>
      </c>
      <c r="M28" s="825">
        <f t="shared" ref="M28:P28" si="12">SUM(M16:M27)</f>
        <v>0</v>
      </c>
      <c r="N28" s="827">
        <f t="shared" si="12"/>
        <v>0</v>
      </c>
      <c r="O28" s="827">
        <f t="shared" si="12"/>
        <v>0</v>
      </c>
      <c r="P28" s="827">
        <f t="shared" si="12"/>
        <v>0</v>
      </c>
      <c r="Q28" s="828"/>
    </row>
    <row r="29" spans="1:17" ht="15">
      <c r="A29" s="621"/>
      <c r="B29" s="637"/>
      <c r="C29" s="637"/>
      <c r="D29" s="637"/>
      <c r="E29" s="637"/>
      <c r="F29" s="638"/>
      <c r="G29" s="638"/>
      <c r="H29" s="621"/>
      <c r="I29" s="639"/>
      <c r="J29" s="638"/>
      <c r="K29" s="638"/>
      <c r="L29" s="621"/>
      <c r="M29" s="621"/>
      <c r="N29" s="621"/>
      <c r="O29" s="621"/>
      <c r="P29" s="621"/>
      <c r="Q29" s="621"/>
    </row>
    <row r="30" spans="1:17" ht="16.899999999999999" customHeight="1">
      <c r="A30" s="214"/>
      <c r="B30" s="214"/>
      <c r="C30" s="214"/>
      <c r="D30" s="214"/>
      <c r="E30" s="214"/>
      <c r="F30" s="214"/>
      <c r="G30" s="214"/>
      <c r="H30" s="214"/>
      <c r="I30" s="214"/>
      <c r="J30" s="214"/>
      <c r="K30" s="214"/>
      <c r="L30" s="214"/>
      <c r="M30" s="214"/>
      <c r="N30" s="214"/>
      <c r="O30" s="214"/>
      <c r="P30" s="214"/>
      <c r="Q30" s="214"/>
    </row>
    <row r="31" spans="1:17" ht="16.899999999999999" customHeight="1">
      <c r="A31" s="214"/>
      <c r="B31" s="214"/>
      <c r="C31" s="214"/>
      <c r="D31" s="214"/>
      <c r="E31" s="214"/>
      <c r="F31" s="611" t="s">
        <v>18</v>
      </c>
      <c r="G31" s="214"/>
      <c r="H31" s="214"/>
      <c r="I31" s="214"/>
      <c r="J31" s="611" t="s">
        <v>436</v>
      </c>
      <c r="K31" s="214"/>
      <c r="L31" s="214"/>
      <c r="M31" s="218"/>
      <c r="N31" s="218"/>
      <c r="O31" s="972"/>
      <c r="P31" s="218"/>
      <c r="Q31" s="214"/>
    </row>
    <row r="32" spans="1:17" ht="16.899999999999999" customHeight="1">
      <c r="A32" s="214"/>
      <c r="B32" s="214"/>
      <c r="C32" s="605" t="s">
        <v>58</v>
      </c>
      <c r="D32" s="605"/>
      <c r="E32" s="605" t="s">
        <v>367</v>
      </c>
      <c r="F32" s="640" t="s">
        <v>437</v>
      </c>
      <c r="G32" s="640" t="s">
        <v>69</v>
      </c>
      <c r="H32" s="605"/>
      <c r="I32" s="605" t="s">
        <v>370</v>
      </c>
      <c r="J32" s="640" t="s">
        <v>437</v>
      </c>
      <c r="K32" s="214"/>
      <c r="L32" s="640" t="s">
        <v>69</v>
      </c>
      <c r="M32" s="218"/>
      <c r="N32" s="640" t="s">
        <v>438</v>
      </c>
      <c r="O32" s="973"/>
      <c r="P32" s="973"/>
      <c r="Q32" s="923"/>
    </row>
    <row r="33" spans="1:17" ht="16.899999999999999" customHeight="1">
      <c r="A33" s="214"/>
      <c r="B33" s="214" t="s">
        <v>429</v>
      </c>
      <c r="C33" s="214"/>
      <c r="D33" s="214"/>
      <c r="E33" s="214"/>
      <c r="F33" s="214"/>
      <c r="G33" s="214"/>
      <c r="H33" s="214"/>
      <c r="I33" s="214"/>
      <c r="J33" s="214"/>
      <c r="K33" s="214"/>
      <c r="L33" s="214"/>
      <c r="M33" s="218"/>
      <c r="N33" s="214"/>
      <c r="O33" s="218"/>
      <c r="P33" s="914"/>
      <c r="Q33" s="923"/>
    </row>
    <row r="34" spans="1:17" ht="16.899999999999999" customHeight="1">
      <c r="A34" s="214">
        <f>+A28+1</f>
        <v>15</v>
      </c>
      <c r="B34" s="214" t="s">
        <v>375</v>
      </c>
      <c r="C34" s="829">
        <v>0</v>
      </c>
      <c r="D34" s="542"/>
      <c r="E34" s="829">
        <v>0</v>
      </c>
      <c r="F34" s="690">
        <f>+'Appendix A'!$H$27</f>
        <v>0.22530875362306943</v>
      </c>
      <c r="G34" s="542">
        <f t="shared" ref="G34:G45" si="13">+E34*F34</f>
        <v>0</v>
      </c>
      <c r="H34" s="542"/>
      <c r="I34" s="829">
        <v>0</v>
      </c>
      <c r="J34" s="690">
        <f>+'Appendix A'!$H$16</f>
        <v>0.15894128950099584</v>
      </c>
      <c r="K34" s="214"/>
      <c r="L34" s="542">
        <f>+I34*J34</f>
        <v>0</v>
      </c>
      <c r="M34" s="816"/>
      <c r="N34" s="542">
        <f t="shared" ref="N34:N45" si="14">+C34+G34+L34+P34</f>
        <v>0</v>
      </c>
      <c r="O34" s="689"/>
      <c r="P34" s="816"/>
      <c r="Q34" s="923"/>
    </row>
    <row r="35" spans="1:17" ht="16.899999999999999" customHeight="1">
      <c r="A35" s="214">
        <f>+A34+1</f>
        <v>16</v>
      </c>
      <c r="B35" s="214" t="s">
        <v>376</v>
      </c>
      <c r="C35" s="829">
        <v>0</v>
      </c>
      <c r="D35" s="542"/>
      <c r="E35" s="829">
        <v>0</v>
      </c>
      <c r="F35" s="690">
        <f>+'Appendix A'!$H$27</f>
        <v>0.22530875362306943</v>
      </c>
      <c r="G35" s="542">
        <f t="shared" si="13"/>
        <v>0</v>
      </c>
      <c r="H35" s="542"/>
      <c r="I35" s="829">
        <v>0</v>
      </c>
      <c r="J35" s="690">
        <f>+'Appendix A'!$H$16</f>
        <v>0.15894128950099584</v>
      </c>
      <c r="K35" s="214"/>
      <c r="L35" s="542">
        <f t="shared" ref="L35:L45" si="15">+I35*J35</f>
        <v>0</v>
      </c>
      <c r="M35" s="816"/>
      <c r="N35" s="542">
        <f t="shared" si="14"/>
        <v>0</v>
      </c>
      <c r="O35" s="689"/>
      <c r="P35" s="816"/>
      <c r="Q35" s="923"/>
    </row>
    <row r="36" spans="1:17" ht="16.899999999999999" customHeight="1">
      <c r="A36" s="214">
        <f t="shared" ref="A36:A45" si="16">+A35+1</f>
        <v>17</v>
      </c>
      <c r="B36" s="214" t="s">
        <v>377</v>
      </c>
      <c r="C36" s="829">
        <v>0</v>
      </c>
      <c r="D36" s="542"/>
      <c r="E36" s="829">
        <v>0</v>
      </c>
      <c r="F36" s="690">
        <f>+'Appendix A'!$H$27</f>
        <v>0.22530875362306943</v>
      </c>
      <c r="G36" s="542">
        <f t="shared" si="13"/>
        <v>0</v>
      </c>
      <c r="H36" s="542"/>
      <c r="I36" s="829">
        <v>0</v>
      </c>
      <c r="J36" s="690">
        <f>+'Appendix A'!$H$16</f>
        <v>0.15894128950099584</v>
      </c>
      <c r="K36" s="214"/>
      <c r="L36" s="542">
        <f t="shared" si="15"/>
        <v>0</v>
      </c>
      <c r="M36" s="816"/>
      <c r="N36" s="542">
        <f t="shared" si="14"/>
        <v>0</v>
      </c>
      <c r="O36" s="689"/>
      <c r="P36" s="816"/>
      <c r="Q36" s="923"/>
    </row>
    <row r="37" spans="1:17" ht="16.899999999999999" customHeight="1">
      <c r="A37" s="214">
        <f t="shared" si="16"/>
        <v>18</v>
      </c>
      <c r="B37" s="214" t="s">
        <v>378</v>
      </c>
      <c r="C37" s="829">
        <v>0</v>
      </c>
      <c r="D37" s="542"/>
      <c r="E37" s="829">
        <v>0</v>
      </c>
      <c r="F37" s="690">
        <f>+'Appendix A'!$H$27</f>
        <v>0.22530875362306943</v>
      </c>
      <c r="G37" s="542">
        <f t="shared" si="13"/>
        <v>0</v>
      </c>
      <c r="H37" s="542"/>
      <c r="I37" s="829">
        <v>0</v>
      </c>
      <c r="J37" s="690">
        <f>+'Appendix A'!$H$16</f>
        <v>0.15894128950099584</v>
      </c>
      <c r="K37" s="214"/>
      <c r="L37" s="542">
        <f t="shared" si="15"/>
        <v>0</v>
      </c>
      <c r="M37" s="816"/>
      <c r="N37" s="542">
        <f t="shared" si="14"/>
        <v>0</v>
      </c>
      <c r="O37" s="689"/>
      <c r="P37" s="816"/>
      <c r="Q37" s="923"/>
    </row>
    <row r="38" spans="1:17" ht="16.899999999999999" customHeight="1">
      <c r="A38" s="214">
        <f t="shared" si="16"/>
        <v>19</v>
      </c>
      <c r="B38" s="214" t="s">
        <v>379</v>
      </c>
      <c r="C38" s="829">
        <v>0</v>
      </c>
      <c r="D38" s="542"/>
      <c r="E38" s="829">
        <v>0</v>
      </c>
      <c r="F38" s="690">
        <f>+'Appendix A'!$H$27</f>
        <v>0.22530875362306943</v>
      </c>
      <c r="G38" s="542">
        <f t="shared" si="13"/>
        <v>0</v>
      </c>
      <c r="H38" s="542"/>
      <c r="I38" s="829">
        <v>0</v>
      </c>
      <c r="J38" s="690">
        <f>+'Appendix A'!$H$16</f>
        <v>0.15894128950099584</v>
      </c>
      <c r="K38" s="214"/>
      <c r="L38" s="542">
        <f t="shared" si="15"/>
        <v>0</v>
      </c>
      <c r="M38" s="816"/>
      <c r="N38" s="542">
        <f t="shared" si="14"/>
        <v>0</v>
      </c>
      <c r="O38" s="689"/>
      <c r="P38" s="816"/>
      <c r="Q38" s="923"/>
    </row>
    <row r="39" spans="1:17" ht="16.899999999999999" customHeight="1">
      <c r="A39" s="214">
        <f t="shared" si="16"/>
        <v>20</v>
      </c>
      <c r="B39" s="214" t="s">
        <v>380</v>
      </c>
      <c r="C39" s="829">
        <v>0</v>
      </c>
      <c r="D39" s="542"/>
      <c r="E39" s="829">
        <v>0</v>
      </c>
      <c r="F39" s="690">
        <f>+'Appendix A'!$H$27</f>
        <v>0.22530875362306943</v>
      </c>
      <c r="G39" s="542">
        <f t="shared" si="13"/>
        <v>0</v>
      </c>
      <c r="H39" s="542"/>
      <c r="I39" s="829">
        <v>0</v>
      </c>
      <c r="J39" s="690">
        <f>+'Appendix A'!$H$16</f>
        <v>0.15894128950099584</v>
      </c>
      <c r="K39" s="214"/>
      <c r="L39" s="542">
        <f t="shared" si="15"/>
        <v>0</v>
      </c>
      <c r="M39" s="816"/>
      <c r="N39" s="542">
        <f t="shared" si="14"/>
        <v>0</v>
      </c>
      <c r="O39" s="689"/>
      <c r="P39" s="816"/>
      <c r="Q39" s="923"/>
    </row>
    <row r="40" spans="1:17" ht="15">
      <c r="A40" s="214">
        <f t="shared" si="16"/>
        <v>21</v>
      </c>
      <c r="B40" s="214" t="s">
        <v>381</v>
      </c>
      <c r="C40" s="829">
        <v>0</v>
      </c>
      <c r="D40" s="542"/>
      <c r="E40" s="829">
        <v>0</v>
      </c>
      <c r="F40" s="690">
        <f>+'Appendix A'!$H$27</f>
        <v>0.22530875362306943</v>
      </c>
      <c r="G40" s="542">
        <f t="shared" si="13"/>
        <v>0</v>
      </c>
      <c r="H40" s="542"/>
      <c r="I40" s="829">
        <v>0</v>
      </c>
      <c r="J40" s="690">
        <f>+'Appendix A'!$H$16</f>
        <v>0.15894128950099584</v>
      </c>
      <c r="K40" s="214"/>
      <c r="L40" s="542">
        <f t="shared" si="15"/>
        <v>0</v>
      </c>
      <c r="M40" s="816"/>
      <c r="N40" s="542">
        <f t="shared" si="14"/>
        <v>0</v>
      </c>
      <c r="O40" s="689"/>
      <c r="P40" s="816"/>
      <c r="Q40" s="923"/>
    </row>
    <row r="41" spans="1:17" ht="15">
      <c r="A41" s="214">
        <f t="shared" si="16"/>
        <v>22</v>
      </c>
      <c r="B41" s="214" t="s">
        <v>382</v>
      </c>
      <c r="C41" s="829">
        <v>0</v>
      </c>
      <c r="D41" s="542"/>
      <c r="E41" s="829">
        <v>0</v>
      </c>
      <c r="F41" s="690">
        <f>+'Appendix A'!$H$27</f>
        <v>0.22530875362306943</v>
      </c>
      <c r="G41" s="542">
        <f t="shared" si="13"/>
        <v>0</v>
      </c>
      <c r="H41" s="542"/>
      <c r="I41" s="829">
        <v>0</v>
      </c>
      <c r="J41" s="690">
        <f>+'Appendix A'!$H$16</f>
        <v>0.15894128950099584</v>
      </c>
      <c r="K41" s="214"/>
      <c r="L41" s="542">
        <f t="shared" si="15"/>
        <v>0</v>
      </c>
      <c r="M41" s="816"/>
      <c r="N41" s="542">
        <f t="shared" si="14"/>
        <v>0</v>
      </c>
      <c r="O41" s="689"/>
      <c r="P41" s="816"/>
      <c r="Q41" s="923"/>
    </row>
    <row r="42" spans="1:17" ht="15">
      <c r="A42" s="214">
        <f t="shared" si="16"/>
        <v>23</v>
      </c>
      <c r="B42" s="214" t="s">
        <v>383</v>
      </c>
      <c r="C42" s="829">
        <v>0</v>
      </c>
      <c r="D42" s="542"/>
      <c r="E42" s="829">
        <v>0</v>
      </c>
      <c r="F42" s="690">
        <f>+'Appendix A'!$H$27</f>
        <v>0.22530875362306943</v>
      </c>
      <c r="G42" s="542">
        <f t="shared" si="13"/>
        <v>0</v>
      </c>
      <c r="H42" s="542"/>
      <c r="I42" s="829">
        <v>0</v>
      </c>
      <c r="J42" s="690">
        <f>+'Appendix A'!$H$16</f>
        <v>0.15894128950099584</v>
      </c>
      <c r="K42" s="214"/>
      <c r="L42" s="542">
        <f t="shared" si="15"/>
        <v>0</v>
      </c>
      <c r="M42" s="816"/>
      <c r="N42" s="542">
        <f t="shared" si="14"/>
        <v>0</v>
      </c>
      <c r="O42" s="689"/>
      <c r="P42" s="816"/>
      <c r="Q42" s="923"/>
    </row>
    <row r="43" spans="1:17" ht="15">
      <c r="A43" s="214">
        <f t="shared" si="16"/>
        <v>24</v>
      </c>
      <c r="B43" s="214" t="s">
        <v>384</v>
      </c>
      <c r="C43" s="829">
        <v>0</v>
      </c>
      <c r="D43" s="542"/>
      <c r="E43" s="829">
        <v>0</v>
      </c>
      <c r="F43" s="690">
        <f>+'Appendix A'!$H$27</f>
        <v>0.22530875362306943</v>
      </c>
      <c r="G43" s="542">
        <f t="shared" si="13"/>
        <v>0</v>
      </c>
      <c r="H43" s="542"/>
      <c r="I43" s="829">
        <v>0</v>
      </c>
      <c r="J43" s="690">
        <f>+'Appendix A'!$H$16</f>
        <v>0.15894128950099584</v>
      </c>
      <c r="K43" s="214"/>
      <c r="L43" s="542">
        <f t="shared" si="15"/>
        <v>0</v>
      </c>
      <c r="M43" s="816"/>
      <c r="N43" s="542">
        <f t="shared" si="14"/>
        <v>0</v>
      </c>
      <c r="O43" s="689"/>
      <c r="P43" s="816"/>
      <c r="Q43" s="923"/>
    </row>
    <row r="44" spans="1:17" ht="15">
      <c r="A44" s="214">
        <f t="shared" si="16"/>
        <v>25</v>
      </c>
      <c r="B44" s="214" t="s">
        <v>385</v>
      </c>
      <c r="C44" s="829">
        <v>0</v>
      </c>
      <c r="D44" s="542"/>
      <c r="E44" s="829">
        <v>0</v>
      </c>
      <c r="F44" s="690">
        <f>+'Appendix A'!$H$27</f>
        <v>0.22530875362306943</v>
      </c>
      <c r="G44" s="542">
        <f t="shared" si="13"/>
        <v>0</v>
      </c>
      <c r="H44" s="542"/>
      <c r="I44" s="829">
        <v>0</v>
      </c>
      <c r="J44" s="690">
        <f>+'Appendix A'!$H$16</f>
        <v>0.15894128950099584</v>
      </c>
      <c r="K44" s="214"/>
      <c r="L44" s="542">
        <f t="shared" si="15"/>
        <v>0</v>
      </c>
      <c r="M44" s="816"/>
      <c r="N44" s="542">
        <f t="shared" si="14"/>
        <v>0</v>
      </c>
      <c r="O44" s="689"/>
      <c r="P44" s="816"/>
      <c r="Q44" s="923"/>
    </row>
    <row r="45" spans="1:17" ht="15">
      <c r="A45" s="214">
        <f t="shared" si="16"/>
        <v>26</v>
      </c>
      <c r="B45" s="214" t="s">
        <v>386</v>
      </c>
      <c r="C45" s="829">
        <v>0</v>
      </c>
      <c r="D45" s="542"/>
      <c r="E45" s="829">
        <v>0</v>
      </c>
      <c r="F45" s="690">
        <f>+'Appendix A'!$H$27</f>
        <v>0.22530875362306943</v>
      </c>
      <c r="G45" s="542">
        <f t="shared" si="13"/>
        <v>0</v>
      </c>
      <c r="H45" s="542"/>
      <c r="I45" s="829">
        <v>0</v>
      </c>
      <c r="J45" s="690">
        <f>+'Appendix A'!$H$16</f>
        <v>0.15894128950099584</v>
      </c>
      <c r="K45" s="214"/>
      <c r="L45" s="542">
        <f t="shared" si="15"/>
        <v>0</v>
      </c>
      <c r="M45" s="816"/>
      <c r="N45" s="542">
        <f t="shared" si="14"/>
        <v>0</v>
      </c>
      <c r="O45" s="689"/>
      <c r="P45" s="816"/>
      <c r="Q45" s="923"/>
    </row>
    <row r="46" spans="1:17" ht="15">
      <c r="A46" s="214"/>
      <c r="B46" s="214"/>
      <c r="C46" s="214"/>
      <c r="D46" s="214"/>
      <c r="E46" s="214"/>
      <c r="F46" s="214"/>
      <c r="G46" s="641"/>
      <c r="H46" s="214"/>
      <c r="I46" s="214"/>
      <c r="J46" s="214"/>
      <c r="K46" s="214"/>
      <c r="L46" s="214"/>
      <c r="M46" s="218"/>
      <c r="N46" s="218"/>
      <c r="O46" s="218"/>
      <c r="P46" s="218"/>
      <c r="Q46" s="214"/>
    </row>
    <row r="47" spans="1:17" ht="15">
      <c r="A47" s="214"/>
      <c r="B47" s="214"/>
      <c r="C47" s="214"/>
      <c r="D47" s="214"/>
      <c r="E47" s="214"/>
      <c r="F47" s="214"/>
      <c r="G47" s="214"/>
      <c r="H47" s="214"/>
      <c r="I47" s="214"/>
      <c r="J47" s="214"/>
      <c r="K47" s="214"/>
      <c r="L47" s="214"/>
      <c r="M47" s="214"/>
      <c r="N47" s="214"/>
      <c r="O47" s="214"/>
      <c r="P47" s="214"/>
      <c r="Q47" s="214"/>
    </row>
    <row r="48" spans="1:17" ht="15">
      <c r="A48" s="214"/>
      <c r="B48" s="57" t="s">
        <v>439</v>
      </c>
      <c r="C48" s="214"/>
      <c r="D48" s="214"/>
      <c r="E48" s="214"/>
      <c r="F48" s="214"/>
      <c r="G48" s="214"/>
      <c r="H48" s="214"/>
      <c r="I48" s="214"/>
      <c r="J48" s="214"/>
      <c r="K48" s="214"/>
      <c r="L48" s="214"/>
      <c r="M48" s="214"/>
      <c r="N48" s="214"/>
      <c r="O48" s="214"/>
      <c r="P48" s="214"/>
      <c r="Q48" s="214"/>
    </row>
    <row r="49" spans="1:17" ht="15">
      <c r="A49" s="214"/>
      <c r="B49" s="57" t="s">
        <v>411</v>
      </c>
      <c r="C49" s="214"/>
      <c r="D49" s="214"/>
      <c r="E49" s="214"/>
      <c r="F49" s="214"/>
      <c r="G49" s="214"/>
      <c r="H49" s="214"/>
      <c r="I49" s="214"/>
      <c r="J49" s="214"/>
      <c r="K49" s="214"/>
      <c r="L49" s="214"/>
      <c r="M49" s="214"/>
      <c r="N49" s="214"/>
      <c r="O49" s="214"/>
      <c r="P49" s="214"/>
      <c r="Q49" s="214"/>
    </row>
    <row r="50" spans="1:17" ht="15">
      <c r="A50" s="214"/>
      <c r="B50" s="57" t="s">
        <v>412</v>
      </c>
      <c r="C50" s="214"/>
      <c r="D50" s="214"/>
      <c r="E50" s="214"/>
      <c r="F50" s="214"/>
      <c r="G50" s="214"/>
      <c r="H50" s="214"/>
      <c r="I50" s="214"/>
      <c r="J50" s="214"/>
      <c r="K50" s="214"/>
      <c r="L50" s="214"/>
      <c r="M50" s="214"/>
      <c r="N50" s="214"/>
      <c r="O50" s="214"/>
      <c r="P50" s="214"/>
      <c r="Q50" s="214"/>
    </row>
    <row r="51" spans="1:17" ht="15">
      <c r="A51" s="214"/>
      <c r="B51" s="57" t="s">
        <v>413</v>
      </c>
      <c r="C51" s="214"/>
      <c r="D51" s="214"/>
      <c r="E51" s="214"/>
      <c r="F51" s="214"/>
      <c r="G51" s="214"/>
      <c r="H51" s="214"/>
      <c r="I51" s="214"/>
      <c r="J51" s="214"/>
      <c r="K51" s="214"/>
      <c r="L51" s="214"/>
      <c r="M51" s="214"/>
      <c r="N51" s="214"/>
      <c r="O51" s="214"/>
      <c r="P51" s="214"/>
      <c r="Q51" s="214"/>
    </row>
    <row r="52" spans="1:17" ht="15">
      <c r="A52" s="923"/>
      <c r="B52" s="57" t="s">
        <v>414</v>
      </c>
      <c r="C52" s="923"/>
      <c r="D52" s="923"/>
      <c r="E52" s="923"/>
      <c r="F52" s="923"/>
      <c r="G52" s="923"/>
      <c r="H52" s="923"/>
      <c r="I52" s="923"/>
      <c r="J52" s="923"/>
      <c r="K52" s="923"/>
      <c r="L52" s="923"/>
      <c r="M52" s="923"/>
      <c r="N52" s="923"/>
      <c r="O52" s="923"/>
      <c r="P52" s="923"/>
      <c r="Q52" s="923"/>
    </row>
    <row r="53" spans="1:17">
      <c r="A53" s="923"/>
      <c r="B53" s="923"/>
      <c r="C53" s="923"/>
      <c r="D53" s="923"/>
      <c r="E53" s="923"/>
      <c r="F53" s="923"/>
      <c r="G53" s="923"/>
      <c r="H53" s="923"/>
      <c r="I53" s="923"/>
      <c r="J53" s="923"/>
      <c r="K53" s="923"/>
      <c r="L53" s="923"/>
      <c r="M53" s="923"/>
      <c r="N53" s="923"/>
      <c r="O53" s="923"/>
      <c r="P53" s="923"/>
      <c r="Q53" s="923"/>
    </row>
    <row r="54" spans="1:17">
      <c r="A54" s="923"/>
      <c r="B54" s="923"/>
      <c r="C54" s="923"/>
      <c r="D54" s="923"/>
      <c r="E54" s="923"/>
      <c r="F54" s="923"/>
      <c r="G54" s="923"/>
      <c r="H54" s="923"/>
      <c r="I54" s="923"/>
      <c r="J54" s="923"/>
      <c r="K54" s="923"/>
      <c r="L54" s="923"/>
      <c r="M54" s="923"/>
      <c r="N54" s="923"/>
      <c r="O54" s="923"/>
      <c r="P54" s="923"/>
      <c r="Q54" s="923"/>
    </row>
    <row r="55" spans="1:17" s="771" customFormat="1">
      <c r="A55" s="923"/>
      <c r="B55" s="923"/>
      <c r="C55" s="923"/>
      <c r="D55" s="923"/>
      <c r="E55" s="923"/>
      <c r="F55" s="923"/>
      <c r="G55" s="923"/>
      <c r="H55" s="923"/>
      <c r="I55" s="923"/>
      <c r="J55" s="923"/>
      <c r="K55" s="923"/>
      <c r="L55" s="923"/>
      <c r="M55" s="923"/>
      <c r="N55" s="923"/>
      <c r="O55" s="923"/>
      <c r="P55" s="923"/>
      <c r="Q55" s="923"/>
    </row>
    <row r="56" spans="1:17">
      <c r="A56" s="923"/>
      <c r="B56" s="923"/>
      <c r="C56" s="923"/>
      <c r="D56" s="923"/>
      <c r="E56" s="923"/>
      <c r="F56" s="923"/>
      <c r="G56" s="923"/>
      <c r="H56" s="923"/>
      <c r="I56" s="923"/>
      <c r="J56" s="923"/>
      <c r="K56" s="923"/>
      <c r="L56" s="923"/>
      <c r="M56" s="923"/>
      <c r="N56" s="923"/>
      <c r="O56" s="923"/>
      <c r="P56" s="923"/>
      <c r="Q56" s="923"/>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election activeCell="H23" sqref="H23"/>
    </sheetView>
  </sheetViews>
  <sheetFormatPr defaultColWidth="9.28515625" defaultRowHeight="15"/>
  <cols>
    <col min="1" max="2" width="4.7109375" style="32" customWidth="1"/>
    <col min="3" max="3" width="59.7109375" style="32" customWidth="1"/>
    <col min="4" max="4" width="3.28515625" style="32" customWidth="1"/>
    <col min="5" max="5" width="16.5703125" style="38" customWidth="1"/>
    <col min="6" max="6" width="15.28515625" style="32" customWidth="1"/>
    <col min="7" max="8" width="20.28515625" style="32" customWidth="1"/>
    <col min="9" max="9" width="17.28515625" style="32" customWidth="1"/>
    <col min="10" max="10" width="9.28515625" style="32"/>
    <col min="11" max="11" width="18" style="32" bestFit="1" customWidth="1"/>
    <col min="12" max="12" width="9.28515625" style="32" bestFit="1" customWidth="1"/>
    <col min="13" max="13" width="18" style="32" bestFit="1" customWidth="1"/>
    <col min="14" max="16384" width="9.28515625" style="32"/>
  </cols>
  <sheetData>
    <row r="1" spans="1:9" ht="18">
      <c r="A1" s="27"/>
      <c r="B1" s="27"/>
      <c r="C1" s="27"/>
      <c r="D1" s="27"/>
      <c r="E1" s="44"/>
      <c r="F1" s="27"/>
      <c r="G1" s="27"/>
      <c r="H1" s="27"/>
      <c r="I1" s="2"/>
    </row>
    <row r="2" spans="1:9" ht="18">
      <c r="A2" s="1182" t="str">
        <f>+'Appendix A'!A3</f>
        <v>Dayton Power and Light</v>
      </c>
      <c r="B2" s="1182"/>
      <c r="C2" s="1182"/>
      <c r="D2" s="1182"/>
      <c r="E2" s="1182"/>
      <c r="F2" s="1182"/>
      <c r="G2" s="1182"/>
      <c r="H2" s="1182"/>
      <c r="I2" s="878"/>
    </row>
    <row r="3" spans="1:9" ht="18">
      <c r="A3" s="1182" t="str">
        <f>+'Appendix A'!A4</f>
        <v xml:space="preserve">ATTACHMENT H-15A </v>
      </c>
      <c r="B3" s="1182"/>
      <c r="C3" s="1182"/>
      <c r="D3" s="1182"/>
      <c r="E3" s="1182"/>
      <c r="F3" s="1183"/>
      <c r="G3" s="1183"/>
      <c r="H3" s="1183"/>
      <c r="I3" s="644"/>
    </row>
    <row r="4" spans="1:9" s="27" customFormat="1" ht="18">
      <c r="A4" s="1182" t="s">
        <v>440</v>
      </c>
      <c r="B4" s="1182"/>
      <c r="C4" s="1182"/>
      <c r="D4" s="1182"/>
      <c r="E4" s="1182"/>
      <c r="F4" s="1183"/>
      <c r="G4" s="1183"/>
      <c r="H4" s="1183"/>
    </row>
    <row r="5" spans="1:9">
      <c r="A5" s="2" t="s">
        <v>441</v>
      </c>
      <c r="B5" s="2"/>
      <c r="C5" s="2"/>
      <c r="D5" s="2"/>
      <c r="E5" s="6"/>
      <c r="F5" s="2"/>
      <c r="G5" s="2"/>
      <c r="H5" s="2"/>
      <c r="I5" s="2"/>
    </row>
    <row r="6" spans="1:9" s="2" customFormat="1" ht="15.75">
      <c r="A6" s="2" t="s">
        <v>417</v>
      </c>
      <c r="D6" s="33"/>
      <c r="E6" s="6"/>
      <c r="G6" s="4"/>
      <c r="H6" s="4"/>
    </row>
    <row r="7" spans="1:9" s="2" customFormat="1">
      <c r="E7" s="6"/>
    </row>
    <row r="8" spans="1:9">
      <c r="A8" s="2"/>
      <c r="B8" s="2"/>
      <c r="C8" s="2"/>
      <c r="D8" s="11"/>
      <c r="E8" s="11" t="s">
        <v>442</v>
      </c>
      <c r="F8" s="11"/>
      <c r="G8" s="11" t="s">
        <v>443</v>
      </c>
      <c r="H8" s="11"/>
      <c r="I8" s="2"/>
    </row>
    <row r="9" spans="1:9">
      <c r="A9" s="35" t="s">
        <v>444</v>
      </c>
      <c r="B9" s="35"/>
      <c r="C9" s="2"/>
      <c r="D9" s="11"/>
      <c r="E9" s="11" t="s">
        <v>445</v>
      </c>
      <c r="F9" s="11" t="s">
        <v>437</v>
      </c>
      <c r="G9" s="11" t="s">
        <v>446</v>
      </c>
      <c r="H9" s="11"/>
      <c r="I9" s="2"/>
    </row>
    <row r="10" spans="1:9">
      <c r="A10" s="35"/>
      <c r="B10" s="35"/>
      <c r="C10" s="2"/>
      <c r="D10" s="11"/>
      <c r="E10" s="34"/>
      <c r="F10" s="11"/>
      <c r="G10" s="11"/>
      <c r="H10" s="11"/>
      <c r="I10" s="2"/>
    </row>
    <row r="11" spans="1:9">
      <c r="A11" s="35"/>
      <c r="B11" s="35" t="s">
        <v>447</v>
      </c>
      <c r="C11" s="2"/>
      <c r="D11" s="11"/>
      <c r="E11" s="34"/>
      <c r="F11" s="11"/>
      <c r="G11" s="11"/>
      <c r="H11" s="11"/>
      <c r="I11" s="2"/>
    </row>
    <row r="12" spans="1:9">
      <c r="A12" s="7">
        <v>1</v>
      </c>
      <c r="B12" s="2"/>
      <c r="C12" s="4" t="s">
        <v>448</v>
      </c>
      <c r="D12" s="25"/>
      <c r="E12" s="830">
        <f>+'4 - Cost Support'!T117</f>
        <v>17885103.838067949</v>
      </c>
      <c r="F12" s="831" t="s">
        <v>449</v>
      </c>
      <c r="G12" s="647">
        <f>+E12</f>
        <v>17885103.838067949</v>
      </c>
      <c r="H12" s="557" t="str">
        <f>"(Attachment 4, Line "&amp;'4 - Cost Support'!A117&amp;")"</f>
        <v>(Attachment 4, Line 41)</v>
      </c>
      <c r="I12" s="2"/>
    </row>
    <row r="13" spans="1:9">
      <c r="A13" s="7">
        <f>+A12+1</f>
        <v>2</v>
      </c>
      <c r="B13" s="2"/>
      <c r="C13" s="561" t="s">
        <v>450</v>
      </c>
      <c r="D13" s="2"/>
      <c r="E13" s="832">
        <v>0</v>
      </c>
      <c r="F13" s="833" t="s">
        <v>449</v>
      </c>
      <c r="G13" s="834">
        <f t="shared" ref="G13:G14" si="0">+E13</f>
        <v>0</v>
      </c>
      <c r="H13" s="25"/>
      <c r="I13" s="2"/>
    </row>
    <row r="14" spans="1:9">
      <c r="A14" s="7">
        <f>+A13+1</f>
        <v>3</v>
      </c>
      <c r="B14" s="2"/>
      <c r="C14" s="561" t="s">
        <v>450</v>
      </c>
      <c r="D14" s="2"/>
      <c r="E14" s="835">
        <v>0</v>
      </c>
      <c r="F14" s="836" t="s">
        <v>449</v>
      </c>
      <c r="G14" s="837">
        <f t="shared" si="0"/>
        <v>0</v>
      </c>
      <c r="H14" s="25"/>
      <c r="I14" s="2"/>
    </row>
    <row r="15" spans="1:9">
      <c r="A15" s="7">
        <f>+A14+1</f>
        <v>4</v>
      </c>
      <c r="B15" s="35" t="s">
        <v>451</v>
      </c>
      <c r="C15" s="2"/>
      <c r="D15" s="23"/>
      <c r="E15" s="924">
        <f>+E12+E13+E14</f>
        <v>17885103.838067949</v>
      </c>
      <c r="F15" s="838" t="s">
        <v>449</v>
      </c>
      <c r="G15" s="925">
        <f>+E15</f>
        <v>17885103.838067949</v>
      </c>
      <c r="H15" s="25"/>
      <c r="I15" s="2"/>
    </row>
    <row r="16" spans="1:9">
      <c r="A16" s="2"/>
      <c r="B16" s="2"/>
      <c r="C16" s="2"/>
      <c r="D16" s="11"/>
      <c r="E16" s="839"/>
      <c r="F16" s="840"/>
      <c r="G16" s="841"/>
      <c r="H16" s="11"/>
      <c r="I16" s="2"/>
    </row>
    <row r="17" spans="1:13">
      <c r="A17" s="7"/>
      <c r="B17" s="35" t="s">
        <v>452</v>
      </c>
      <c r="C17" s="2"/>
      <c r="D17" s="11"/>
      <c r="E17" s="842"/>
      <c r="F17" s="843"/>
      <c r="G17" s="841"/>
      <c r="H17" s="11"/>
      <c r="I17" s="2"/>
      <c r="J17" s="2"/>
      <c r="K17" s="2"/>
      <c r="L17" s="2"/>
      <c r="M17" s="2"/>
    </row>
    <row r="18" spans="1:13" s="2" customFormat="1">
      <c r="A18" s="7"/>
      <c r="D18" s="11"/>
      <c r="E18" s="926"/>
      <c r="F18" s="843"/>
      <c r="G18" s="843"/>
      <c r="H18" s="927"/>
    </row>
    <row r="19" spans="1:13" s="2" customFormat="1">
      <c r="A19" s="7">
        <f>+A15+1</f>
        <v>5</v>
      </c>
      <c r="C19" s="560" t="s">
        <v>450</v>
      </c>
      <c r="D19" s="25"/>
      <c r="E19" s="844">
        <v>0</v>
      </c>
      <c r="F19" s="845"/>
      <c r="G19" s="846"/>
      <c r="H19" s="25"/>
      <c r="K19" s="261"/>
      <c r="L19" s="261"/>
      <c r="M19" s="261"/>
    </row>
    <row r="20" spans="1:13" s="2" customFormat="1">
      <c r="A20" s="7">
        <f>+A19+1</f>
        <v>6</v>
      </c>
      <c r="B20" s="35" t="s">
        <v>453</v>
      </c>
      <c r="D20" s="23"/>
      <c r="E20" s="541">
        <f>SUM(E19:E19)</f>
        <v>0</v>
      </c>
      <c r="F20" s="787">
        <f>+'Appendix A'!H27</f>
        <v>0.22530875362306943</v>
      </c>
      <c r="G20" s="541">
        <f>+E20*F20</f>
        <v>0</v>
      </c>
      <c r="H20" s="541"/>
      <c r="K20" s="261"/>
      <c r="L20" s="261"/>
      <c r="M20" s="261"/>
    </row>
    <row r="21" spans="1:13" s="2" customFormat="1" ht="12.75" customHeight="1">
      <c r="A21" s="7"/>
      <c r="D21" s="23"/>
      <c r="E21" s="36"/>
      <c r="F21" s="23"/>
      <c r="G21" s="37"/>
      <c r="H21" s="37"/>
      <c r="K21" s="261"/>
      <c r="L21" s="261"/>
      <c r="M21" s="261"/>
    </row>
    <row r="22" spans="1:13" s="2" customFormat="1" ht="12.75" customHeight="1">
      <c r="A22" s="7"/>
      <c r="B22" s="35" t="s">
        <v>370</v>
      </c>
      <c r="D22" s="23"/>
      <c r="E22" s="36"/>
      <c r="F22" s="928" t="s">
        <v>454</v>
      </c>
      <c r="G22" s="23"/>
      <c r="H22" s="23"/>
      <c r="K22" s="261"/>
      <c r="L22" s="261"/>
      <c r="M22" s="261"/>
    </row>
    <row r="23" spans="1:13" s="2" customFormat="1" ht="12.75" customHeight="1">
      <c r="A23" s="7"/>
      <c r="D23" s="23"/>
      <c r="E23" s="36"/>
      <c r="F23" s="23"/>
      <c r="G23" s="23"/>
      <c r="H23" s="23"/>
      <c r="K23" s="261"/>
      <c r="L23" s="261"/>
      <c r="M23" s="261"/>
    </row>
    <row r="24" spans="1:13" s="2" customFormat="1">
      <c r="A24" s="7">
        <f>+A20+1</f>
        <v>7</v>
      </c>
      <c r="C24" s="2" t="s">
        <v>455</v>
      </c>
      <c r="E24" s="39">
        <f>+'4 - Cost Support'!S118</f>
        <v>3389984</v>
      </c>
      <c r="K24" s="261"/>
      <c r="L24" s="261"/>
      <c r="M24" s="261"/>
    </row>
    <row r="25" spans="1:13" s="2" customFormat="1">
      <c r="A25" s="7">
        <f>1+A24</f>
        <v>8</v>
      </c>
      <c r="C25" s="2" t="s">
        <v>456</v>
      </c>
      <c r="E25" s="39">
        <f>+'4 - Cost Support'!S119</f>
        <v>0</v>
      </c>
      <c r="K25" s="261"/>
      <c r="L25" s="261"/>
      <c r="M25" s="261"/>
    </row>
    <row r="26" spans="1:13" s="2" customFormat="1">
      <c r="A26" s="7">
        <f>1+A25</f>
        <v>9</v>
      </c>
      <c r="C26" s="560" t="s">
        <v>457</v>
      </c>
      <c r="E26" s="1103">
        <v>1302784.7396227075</v>
      </c>
      <c r="F26" s="10"/>
      <c r="G26" s="10"/>
      <c r="H26" s="503"/>
      <c r="K26" s="261"/>
      <c r="L26" s="261"/>
      <c r="M26" s="261"/>
    </row>
    <row r="27" spans="1:13">
      <c r="A27" s="7">
        <f>1+A26</f>
        <v>10</v>
      </c>
      <c r="B27" s="35" t="s">
        <v>458</v>
      </c>
      <c r="C27" s="2"/>
      <c r="D27" s="2"/>
      <c r="E27" s="541">
        <f>SUM(E24:E26)</f>
        <v>4692768.7396227075</v>
      </c>
      <c r="F27" s="929">
        <f>+'Appendix A'!H16</f>
        <v>0.15894128950099584</v>
      </c>
      <c r="G27" s="541">
        <f>+E27*F27</f>
        <v>745874.71480559616</v>
      </c>
      <c r="H27" s="541"/>
      <c r="I27" s="2"/>
      <c r="J27" s="2"/>
      <c r="K27" s="261"/>
      <c r="L27" s="261"/>
      <c r="M27" s="261"/>
    </row>
    <row r="28" spans="1:13">
      <c r="A28" s="7"/>
      <c r="B28" s="35"/>
      <c r="C28" s="2"/>
      <c r="D28" s="2"/>
      <c r="E28" s="541"/>
      <c r="F28" s="930"/>
      <c r="G28" s="541"/>
      <c r="H28" s="541"/>
      <c r="I28" s="2"/>
      <c r="J28" s="2"/>
      <c r="K28" s="261"/>
      <c r="L28" s="261"/>
      <c r="M28" s="261"/>
    </row>
    <row r="29" spans="1:13" s="2" customFormat="1" ht="15.75" thickBot="1">
      <c r="A29" s="7">
        <f>+A27+1</f>
        <v>11</v>
      </c>
      <c r="B29" s="35" t="s">
        <v>459</v>
      </c>
      <c r="E29" s="887">
        <f>+E15+E20+E27</f>
        <v>22577872.577690657</v>
      </c>
      <c r="F29" s="931"/>
      <c r="G29" s="887">
        <f>+G15+G20+G27</f>
        <v>18630978.552873544</v>
      </c>
      <c r="H29" s="504"/>
      <c r="K29" s="261"/>
      <c r="L29" s="261"/>
      <c r="M29" s="261"/>
    </row>
    <row r="30" spans="1:13" s="2" customFormat="1" ht="15.75" thickTop="1">
      <c r="A30" s="7"/>
      <c r="C30" s="29"/>
      <c r="E30" s="6"/>
      <c r="K30" s="261"/>
      <c r="L30" s="261"/>
      <c r="M30" s="261"/>
    </row>
    <row r="31" spans="1:13" s="2" customFormat="1">
      <c r="A31" s="7"/>
      <c r="C31" s="29"/>
      <c r="E31" s="6"/>
      <c r="F31" s="39"/>
      <c r="K31" s="261"/>
      <c r="L31" s="261"/>
      <c r="M31" s="261"/>
    </row>
    <row r="32" spans="1:13">
      <c r="A32" s="7"/>
      <c r="B32" s="2"/>
      <c r="C32" s="35" t="s">
        <v>274</v>
      </c>
      <c r="D32" s="2"/>
      <c r="E32" s="6"/>
      <c r="F32" s="2"/>
      <c r="G32" s="2"/>
      <c r="H32" s="2"/>
      <c r="I32" s="2"/>
      <c r="J32" s="2"/>
      <c r="K32" s="261"/>
      <c r="L32" s="261"/>
      <c r="M32" s="261"/>
    </row>
    <row r="33" spans="1:13" s="2" customFormat="1">
      <c r="A33" s="7"/>
      <c r="E33" s="6"/>
      <c r="G33" s="932"/>
      <c r="H33" s="932"/>
      <c r="K33" s="261"/>
      <c r="L33" s="261"/>
      <c r="M33" s="261"/>
    </row>
    <row r="34" spans="1:13">
      <c r="A34" s="7">
        <f>1+A29</f>
        <v>12</v>
      </c>
      <c r="B34" s="2"/>
      <c r="C34" s="562" t="s">
        <v>460</v>
      </c>
      <c r="D34" s="4"/>
      <c r="E34" s="1104">
        <v>0</v>
      </c>
      <c r="F34" s="40"/>
      <c r="G34" s="4"/>
      <c r="H34" s="4"/>
      <c r="I34" s="2"/>
      <c r="J34" s="2"/>
      <c r="K34" s="261"/>
      <c r="L34" s="261"/>
      <c r="M34" s="261"/>
    </row>
    <row r="35" spans="1:13">
      <c r="A35" s="7">
        <f>1+A34</f>
        <v>13</v>
      </c>
      <c r="B35" s="2"/>
      <c r="C35" s="562" t="s">
        <v>461</v>
      </c>
      <c r="D35" s="4"/>
      <c r="E35" s="1104">
        <v>0</v>
      </c>
      <c r="F35" s="40"/>
      <c r="G35" s="4"/>
      <c r="H35" s="4"/>
      <c r="I35" s="2"/>
      <c r="J35" s="2"/>
      <c r="K35" s="261"/>
      <c r="L35" s="261"/>
      <c r="M35" s="261"/>
    </row>
    <row r="36" spans="1:13">
      <c r="A36" s="7">
        <f t="shared" ref="A36:A41" si="1">1+A35</f>
        <v>14</v>
      </c>
      <c r="B36" s="2"/>
      <c r="C36" s="562" t="s">
        <v>462</v>
      </c>
      <c r="D36" s="4"/>
      <c r="E36" s="1104">
        <v>0</v>
      </c>
      <c r="F36" s="40"/>
      <c r="G36" s="4"/>
      <c r="H36" s="4"/>
      <c r="I36" s="2"/>
      <c r="J36" s="2"/>
      <c r="K36" s="261"/>
      <c r="L36" s="261"/>
      <c r="M36" s="261"/>
    </row>
    <row r="37" spans="1:13">
      <c r="A37" s="7">
        <f t="shared" si="1"/>
        <v>15</v>
      </c>
      <c r="B37" s="2"/>
      <c r="C37" s="562" t="s">
        <v>463</v>
      </c>
      <c r="D37" s="4"/>
      <c r="E37" s="1104">
        <v>0</v>
      </c>
      <c r="F37" s="40"/>
      <c r="G37" s="4"/>
      <c r="H37" s="4"/>
      <c r="I37" s="2"/>
      <c r="J37" s="2"/>
      <c r="K37" s="261"/>
      <c r="L37" s="261"/>
      <c r="M37" s="261"/>
    </row>
    <row r="38" spans="1:13">
      <c r="A38" s="7">
        <f t="shared" si="1"/>
        <v>16</v>
      </c>
      <c r="B38" s="2"/>
      <c r="C38" s="560" t="s">
        <v>450</v>
      </c>
      <c r="D38" s="25"/>
      <c r="E38" s="847">
        <v>0</v>
      </c>
      <c r="F38" s="40"/>
      <c r="G38" s="4"/>
      <c r="H38" s="4"/>
      <c r="I38" s="2"/>
      <c r="J38" s="2"/>
      <c r="K38" s="261"/>
      <c r="L38" s="261"/>
      <c r="M38" s="261"/>
    </row>
    <row r="39" spans="1:13">
      <c r="A39" s="7">
        <f t="shared" si="1"/>
        <v>17</v>
      </c>
      <c r="B39" s="2"/>
      <c r="C39" s="560" t="s">
        <v>450</v>
      </c>
      <c r="D39" s="25"/>
      <c r="E39" s="847">
        <v>0</v>
      </c>
      <c r="F39" s="40"/>
      <c r="G39" s="2"/>
      <c r="H39" s="2"/>
      <c r="I39" s="2"/>
      <c r="J39" s="2"/>
      <c r="K39" s="261"/>
      <c r="L39" s="261"/>
      <c r="M39" s="261"/>
    </row>
    <row r="40" spans="1:13">
      <c r="A40" s="7">
        <f t="shared" si="1"/>
        <v>18</v>
      </c>
      <c r="B40" s="2"/>
      <c r="C40" s="560" t="s">
        <v>450</v>
      </c>
      <c r="D40" s="4"/>
      <c r="E40" s="847">
        <v>0</v>
      </c>
      <c r="F40" s="40"/>
      <c r="G40" s="2"/>
      <c r="H40" s="2"/>
      <c r="I40" s="2"/>
      <c r="J40" s="2"/>
      <c r="K40" s="261"/>
      <c r="L40" s="261"/>
      <c r="M40" s="261"/>
    </row>
    <row r="41" spans="1:13" s="2" customFormat="1" ht="15.75">
      <c r="A41" s="7">
        <f t="shared" si="1"/>
        <v>19</v>
      </c>
      <c r="C41" s="673" t="s">
        <v>464</v>
      </c>
      <c r="D41" s="4"/>
      <c r="E41" s="933">
        <f>SUM(E34:E40)</f>
        <v>0</v>
      </c>
      <c r="K41" s="261"/>
      <c r="L41" s="261"/>
      <c r="M41" s="261"/>
    </row>
    <row r="42" spans="1:13" s="2" customFormat="1">
      <c r="A42" s="7"/>
      <c r="C42" s="4"/>
      <c r="D42" s="4"/>
      <c r="E42" s="848"/>
      <c r="K42" s="261"/>
      <c r="L42" s="261"/>
      <c r="M42" s="261"/>
    </row>
    <row r="43" spans="1:13" ht="15.75">
      <c r="A43" s="7">
        <f>1+A41</f>
        <v>20</v>
      </c>
      <c r="B43" s="673" t="s">
        <v>465</v>
      </c>
      <c r="C43" s="934"/>
      <c r="D43" s="4"/>
      <c r="E43" s="935">
        <f>+E29+E41</f>
        <v>22577872.577690657</v>
      </c>
      <c r="F43" s="2"/>
      <c r="G43" s="2"/>
      <c r="H43" s="2"/>
      <c r="I43" s="2"/>
      <c r="J43" s="2"/>
      <c r="K43" s="261"/>
      <c r="L43" s="261"/>
      <c r="M43" s="261"/>
    </row>
    <row r="44" spans="1:13">
      <c r="A44" s="7"/>
      <c r="B44" s="4"/>
      <c r="C44" s="936"/>
      <c r="D44" s="4"/>
      <c r="E44" s="848"/>
      <c r="F44" s="4"/>
      <c r="G44" s="2"/>
      <c r="H44" s="2"/>
      <c r="I44" s="2"/>
      <c r="J44" s="2"/>
      <c r="K44" s="261"/>
      <c r="L44" s="261"/>
      <c r="M44" s="261"/>
    </row>
    <row r="45" spans="1:13" ht="15.75">
      <c r="A45" s="7">
        <f>1+A43</f>
        <v>21</v>
      </c>
      <c r="B45" s="673" t="s">
        <v>466</v>
      </c>
      <c r="C45" s="934"/>
      <c r="D45" s="937"/>
      <c r="E45" s="847">
        <v>0</v>
      </c>
      <c r="F45" s="41"/>
      <c r="G45" s="41"/>
      <c r="H45" s="41"/>
      <c r="I45" s="2"/>
      <c r="J45" s="2"/>
      <c r="K45" s="261"/>
      <c r="L45" s="261"/>
      <c r="M45" s="261"/>
    </row>
    <row r="46" spans="1:13">
      <c r="A46" s="2"/>
      <c r="B46" s="4"/>
      <c r="C46" s="938"/>
      <c r="D46" s="938"/>
      <c r="E46" s="939"/>
      <c r="F46" s="41"/>
      <c r="G46" s="41"/>
      <c r="H46" s="41"/>
      <c r="I46" s="2"/>
      <c r="J46" s="2"/>
      <c r="K46" s="261"/>
      <c r="L46" s="261"/>
      <c r="M46" s="261"/>
    </row>
    <row r="47" spans="1:13">
      <c r="A47" s="7">
        <f>1+A45</f>
        <v>22</v>
      </c>
      <c r="B47" s="4"/>
      <c r="C47" s="938" t="s">
        <v>467</v>
      </c>
      <c r="D47" s="938"/>
      <c r="E47" s="940">
        <f>+E43-E45</f>
        <v>22577872.577690657</v>
      </c>
      <c r="F47" s="2"/>
      <c r="G47" s="41"/>
      <c r="H47" s="41"/>
      <c r="I47" s="2"/>
      <c r="J47" s="2"/>
      <c r="K47" s="261"/>
      <c r="L47" s="261"/>
      <c r="M47" s="261"/>
    </row>
    <row r="48" spans="1:13">
      <c r="A48" s="2"/>
      <c r="B48" s="4"/>
      <c r="C48" s="938"/>
      <c r="D48" s="938"/>
      <c r="E48" s="941"/>
      <c r="F48" s="41"/>
      <c r="G48" s="41"/>
      <c r="H48" s="41"/>
      <c r="I48" s="2"/>
      <c r="J48" s="2"/>
      <c r="K48" s="2"/>
      <c r="L48" s="2"/>
      <c r="M48" s="2"/>
    </row>
    <row r="49" spans="2:8">
      <c r="B49" s="4"/>
      <c r="C49" s="938"/>
      <c r="D49" s="938"/>
      <c r="E49" s="941"/>
      <c r="F49" s="41"/>
      <c r="G49" s="41"/>
      <c r="H49" s="41"/>
    </row>
    <row r="50" spans="2:8">
      <c r="B50" s="4"/>
      <c r="C50" s="938"/>
      <c r="D50" s="938"/>
      <c r="E50" s="941"/>
      <c r="F50" s="41"/>
      <c r="G50" s="41"/>
      <c r="H50" s="41"/>
    </row>
    <row r="51" spans="2:8">
      <c r="B51" s="4"/>
      <c r="C51" s="938"/>
      <c r="D51" s="938"/>
      <c r="E51" s="941"/>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892"/>
      <c r="D54" s="4"/>
      <c r="E54" s="39"/>
      <c r="F54" s="4"/>
      <c r="G54" s="40"/>
      <c r="H54" s="40"/>
    </row>
    <row r="55" spans="2:8" ht="25.15" customHeight="1">
      <c r="B55" s="4"/>
      <c r="C55" s="4"/>
      <c r="D55" s="4"/>
      <c r="E55" s="39"/>
      <c r="F55" s="4"/>
      <c r="G55" s="40"/>
      <c r="H55" s="40"/>
    </row>
    <row r="56" spans="2:8" ht="25.15" customHeight="1">
      <c r="B56" s="4"/>
      <c r="C56" s="892"/>
      <c r="D56" s="4"/>
      <c r="E56" s="39"/>
      <c r="F56" s="4"/>
      <c r="G56" s="40"/>
      <c r="H56" s="40"/>
    </row>
    <row r="57" spans="2:8" ht="25.15" customHeight="1">
      <c r="B57" s="4"/>
      <c r="C57" s="4"/>
      <c r="D57" s="4"/>
      <c r="E57" s="39"/>
      <c r="F57" s="4"/>
      <c r="G57" s="40"/>
      <c r="H57" s="40"/>
    </row>
    <row r="58" spans="2:8" ht="25.15" customHeight="1">
      <c r="B58" s="4"/>
      <c r="C58" s="892"/>
      <c r="D58" s="4"/>
      <c r="E58" s="39"/>
      <c r="F58" s="4"/>
      <c r="G58" s="40"/>
      <c r="H58" s="40"/>
    </row>
    <row r="59" spans="2:8" ht="25.15" customHeight="1">
      <c r="B59" s="4"/>
      <c r="C59" s="4"/>
      <c r="D59" s="4"/>
      <c r="E59" s="39"/>
      <c r="F59" s="4"/>
      <c r="G59" s="4"/>
      <c r="H59" s="4"/>
    </row>
    <row r="60" spans="2:8" ht="25.15" customHeight="1">
      <c r="B60" s="4"/>
      <c r="C60" s="4"/>
      <c r="D60" s="4"/>
      <c r="E60" s="942"/>
      <c r="F60" s="4"/>
      <c r="G60" s="4"/>
      <c r="H60" s="4"/>
    </row>
    <row r="61" spans="2:8" ht="25.15" customHeight="1">
      <c r="B61" s="4"/>
      <c r="C61" s="4"/>
      <c r="D61" s="4"/>
      <c r="E61" s="942"/>
      <c r="F61" s="4"/>
      <c r="G61" s="4"/>
      <c r="H61" s="4"/>
    </row>
    <row r="62" spans="2:8">
      <c r="B62" s="2"/>
      <c r="C62" s="4"/>
      <c r="D62" s="2"/>
      <c r="E62" s="6"/>
      <c r="F62" s="2"/>
      <c r="G62" s="2"/>
      <c r="H62" s="2"/>
    </row>
    <row r="63" spans="2:8">
      <c r="B63" s="2"/>
      <c r="C63" s="4"/>
      <c r="D63" s="2"/>
      <c r="E63" s="6"/>
      <c r="F63" s="2"/>
      <c r="G63" s="2"/>
      <c r="H63" s="2"/>
    </row>
    <row r="64" spans="2:8">
      <c r="B64" s="2"/>
      <c r="C64" s="4"/>
      <c r="D64" s="2"/>
      <c r="E64" s="6"/>
      <c r="F64" s="2"/>
      <c r="G64" s="2"/>
      <c r="H64" s="2"/>
    </row>
    <row r="65" spans="3:3">
      <c r="C65" s="4"/>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zoomScale="75" zoomScaleNormal="75" workbookViewId="0">
      <selection activeCell="H14" sqref="H14"/>
    </sheetView>
  </sheetViews>
  <sheetFormatPr defaultColWidth="9.28515625" defaultRowHeight="15"/>
  <cols>
    <col min="1" max="1" width="7.28515625" style="7" customWidth="1"/>
    <col min="2" max="2" width="120.5703125" style="2" customWidth="1"/>
    <col min="3" max="3" width="23.7109375" style="2" customWidth="1"/>
    <col min="4" max="4" width="17" style="22" bestFit="1" customWidth="1"/>
    <col min="5" max="5" width="17.5703125" style="2" customWidth="1"/>
    <col min="6" max="6" width="9.28515625" style="2"/>
    <col min="7" max="7" width="12.5703125" style="2" bestFit="1" customWidth="1"/>
    <col min="8" max="9" width="9.28515625" style="2"/>
    <col min="10" max="10" width="13.28515625" style="2" bestFit="1" customWidth="1"/>
    <col min="11" max="14" width="9.28515625" style="2"/>
    <col min="15" max="15" width="14.5703125" style="2" bestFit="1" customWidth="1"/>
    <col min="16" max="16384" width="9.28515625" style="2"/>
  </cols>
  <sheetData>
    <row r="1" spans="1:5" ht="18">
      <c r="A1" s="42"/>
      <c r="B1" s="27"/>
      <c r="C1" s="27"/>
      <c r="D1" s="43"/>
    </row>
    <row r="2" spans="1:5" ht="18">
      <c r="A2" s="1182" t="str">
        <f>+'Appendix A'!A3</f>
        <v>Dayton Power and Light</v>
      </c>
      <c r="B2" s="1182"/>
      <c r="C2" s="1182"/>
      <c r="D2" s="1182"/>
    </row>
    <row r="3" spans="1:5" ht="18">
      <c r="A3" s="1182" t="str">
        <f>+'Appendix A'!A4</f>
        <v xml:space="preserve">ATTACHMENT H-15A </v>
      </c>
      <c r="B3" s="1182"/>
      <c r="C3" s="1182"/>
      <c r="D3" s="1182"/>
      <c r="E3" s="878"/>
    </row>
    <row r="4" spans="1:5" ht="18">
      <c r="A4" s="1182" t="s">
        <v>468</v>
      </c>
      <c r="B4" s="1182"/>
      <c r="C4" s="1182"/>
      <c r="D4" s="1182"/>
    </row>
    <row r="5" spans="1:5">
      <c r="B5" s="21"/>
      <c r="C5" s="8"/>
    </row>
    <row r="6" spans="1:5">
      <c r="A6" s="5" t="s">
        <v>417</v>
      </c>
      <c r="B6" s="21"/>
      <c r="C6" s="7"/>
      <c r="D6" s="11"/>
    </row>
    <row r="7" spans="1:5">
      <c r="B7" s="21"/>
      <c r="C7" s="7"/>
      <c r="D7" s="18"/>
    </row>
    <row r="8" spans="1:5">
      <c r="B8" s="21"/>
      <c r="C8" s="7"/>
    </row>
    <row r="9" spans="1:5" ht="15" customHeight="1">
      <c r="C9" s="7"/>
      <c r="D9" s="645"/>
    </row>
    <row r="10" spans="1:5" ht="15.75">
      <c r="B10" s="646" t="s">
        <v>469</v>
      </c>
      <c r="C10" s="7"/>
      <c r="D10" s="849"/>
    </row>
    <row r="11" spans="1:5">
      <c r="A11" s="7">
        <v>1</v>
      </c>
      <c r="B11" s="668" t="s">
        <v>470</v>
      </c>
      <c r="C11" s="669"/>
      <c r="D11" s="1105">
        <v>0</v>
      </c>
      <c r="E11" s="529" t="s">
        <v>471</v>
      </c>
    </row>
    <row r="12" spans="1:5" ht="15.75">
      <c r="B12" s="646"/>
      <c r="C12" s="7"/>
      <c r="D12" s="849"/>
    </row>
    <row r="13" spans="1:5" ht="15.75">
      <c r="B13" s="943" t="s">
        <v>472</v>
      </c>
      <c r="D13" s="849"/>
    </row>
    <row r="14" spans="1:5">
      <c r="A14" s="7">
        <f>+A11+1</f>
        <v>2</v>
      </c>
      <c r="B14" s="3" t="s">
        <v>473</v>
      </c>
      <c r="C14" s="3"/>
      <c r="D14" s="1106">
        <v>0</v>
      </c>
      <c r="E14" s="529" t="s">
        <v>471</v>
      </c>
    </row>
    <row r="15" spans="1:5">
      <c r="A15" s="7">
        <f>+A14+1</f>
        <v>3</v>
      </c>
      <c r="B15" s="3" t="s">
        <v>474</v>
      </c>
      <c r="C15" s="3"/>
      <c r="D15" s="1106">
        <v>0</v>
      </c>
      <c r="E15" s="529" t="s">
        <v>471</v>
      </c>
    </row>
    <row r="16" spans="1:5">
      <c r="A16" s="7">
        <f t="shared" ref="A16:A17" si="0">+A15+1</f>
        <v>4</v>
      </c>
      <c r="B16" s="3" t="s">
        <v>475</v>
      </c>
      <c r="C16" s="3"/>
      <c r="D16" s="1106">
        <v>0</v>
      </c>
      <c r="E16" s="529" t="s">
        <v>471</v>
      </c>
    </row>
    <row r="17" spans="1:39">
      <c r="A17" s="7">
        <f t="shared" si="0"/>
        <v>5</v>
      </c>
      <c r="B17" s="3" t="s">
        <v>476</v>
      </c>
      <c r="C17" s="3"/>
      <c r="D17" s="1107">
        <v>-43800</v>
      </c>
      <c r="E17" s="529" t="s">
        <v>471</v>
      </c>
    </row>
    <row r="18" spans="1:39">
      <c r="A18" s="7">
        <f>+A17+1</f>
        <v>6</v>
      </c>
      <c r="B18" s="3" t="s">
        <v>477</v>
      </c>
      <c r="C18" s="3"/>
      <c r="D18" s="965">
        <f>+SUM(D14:D17)</f>
        <v>-43800</v>
      </c>
      <c r="E18" s="529"/>
    </row>
    <row r="19" spans="1:39">
      <c r="B19" s="3"/>
      <c r="C19" s="3"/>
      <c r="D19" s="849"/>
      <c r="E19" s="529"/>
    </row>
    <row r="20" spans="1:39" s="24" customFormat="1" ht="15.75">
      <c r="A20" s="8"/>
      <c r="B20" s="648" t="s">
        <v>478</v>
      </c>
      <c r="C20" s="3"/>
      <c r="D20" s="513"/>
      <c r="E20" s="52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c r="A21" s="8">
        <f>+A18+1</f>
        <v>7</v>
      </c>
      <c r="B21" s="5" t="s">
        <v>479</v>
      </c>
      <c r="C21" s="23"/>
      <c r="D21" s="1106">
        <v>-1326368</v>
      </c>
      <c r="E21" s="529" t="s">
        <v>471</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c r="A22" s="8">
        <f>+A21+1</f>
        <v>8</v>
      </c>
      <c r="B22" s="3" t="s">
        <v>480</v>
      </c>
      <c r="C22" s="3"/>
      <c r="D22" s="1106">
        <v>0</v>
      </c>
      <c r="E22" s="529" t="s">
        <v>471</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c r="A23" s="8">
        <f>+A22+1</f>
        <v>9</v>
      </c>
      <c r="B23" s="3" t="s">
        <v>481</v>
      </c>
      <c r="C23" s="4"/>
      <c r="D23" s="1106">
        <v>0</v>
      </c>
      <c r="E23" s="529" t="s">
        <v>471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8">
        <f>+A23+1</f>
        <v>10</v>
      </c>
      <c r="B24" s="3" t="s">
        <v>482</v>
      </c>
      <c r="C24" s="3"/>
      <c r="D24" s="1106">
        <v>0</v>
      </c>
      <c r="E24" s="529" t="s">
        <v>471</v>
      </c>
    </row>
    <row r="25" spans="1:39">
      <c r="A25" s="8">
        <f>+A24+1</f>
        <v>11</v>
      </c>
      <c r="B25" s="3" t="s">
        <v>483</v>
      </c>
      <c r="C25" s="3"/>
      <c r="D25" s="1107">
        <v>-620541.09999999986</v>
      </c>
      <c r="E25" s="529" t="s">
        <v>471</v>
      </c>
    </row>
    <row r="26" spans="1:39">
      <c r="A26" s="8">
        <f>+A25+1</f>
        <v>12</v>
      </c>
      <c r="B26" s="3" t="s">
        <v>484</v>
      </c>
      <c r="C26" s="3"/>
      <c r="D26" s="513">
        <f>+SUM(D21:D25)</f>
        <v>-1946909.0999999999</v>
      </c>
      <c r="E26" s="529"/>
    </row>
    <row r="27" spans="1:39" ht="30" customHeight="1">
      <c r="A27" s="8"/>
      <c r="B27" s="648" t="s">
        <v>485</v>
      </c>
      <c r="C27" s="3"/>
      <c r="D27" s="513"/>
      <c r="E27" s="529"/>
    </row>
    <row r="28" spans="1:39" ht="45">
      <c r="A28" s="643">
        <f>+A26+1</f>
        <v>13</v>
      </c>
      <c r="B28" s="25" t="s">
        <v>486</v>
      </c>
      <c r="C28" s="23"/>
      <c r="D28" s="1105">
        <v>0</v>
      </c>
      <c r="E28" s="529" t="s">
        <v>471</v>
      </c>
    </row>
    <row r="29" spans="1:39">
      <c r="A29" s="8">
        <f>+A28+1</f>
        <v>14</v>
      </c>
      <c r="B29" s="1" t="s">
        <v>487</v>
      </c>
      <c r="C29" s="23"/>
      <c r="D29" s="1106">
        <v>-588043.92000000004</v>
      </c>
      <c r="E29" s="529" t="s">
        <v>471</v>
      </c>
    </row>
    <row r="30" spans="1:39">
      <c r="A30" s="8">
        <f>+A29+1</f>
        <v>15</v>
      </c>
      <c r="B30" s="1" t="s">
        <v>488</v>
      </c>
      <c r="C30" s="23"/>
      <c r="D30" s="964">
        <f>+D28+D29</f>
        <v>-588043.92000000004</v>
      </c>
      <c r="E30" s="529"/>
    </row>
    <row r="31" spans="1:39" ht="30">
      <c r="A31" s="7">
        <f>+A29+1</f>
        <v>15</v>
      </c>
      <c r="B31" s="1" t="s">
        <v>489</v>
      </c>
      <c r="C31" s="649" t="str">
        <f>"(Sum of Lines "&amp;A11&amp;", "&amp;A18&amp;", "&amp;A26&amp;" and "&amp;A30&amp;")"</f>
        <v>(Sum of Lines 1, 6, 12 and 15)</v>
      </c>
      <c r="D31" s="542">
        <f>+D11+D18+D26+D30</f>
        <v>-2578753.02</v>
      </c>
      <c r="G31" s="840"/>
    </row>
    <row r="32" spans="1:39">
      <c r="A32" s="8"/>
      <c r="B32" s="4"/>
      <c r="C32" s="4"/>
      <c r="D32" s="850"/>
      <c r="E32" s="529"/>
      <c r="F32" s="529"/>
      <c r="G32" s="529"/>
      <c r="H32" s="529"/>
      <c r="I32" s="529"/>
      <c r="J32" s="529"/>
      <c r="K32" s="529"/>
      <c r="L32" s="529"/>
      <c r="M32" s="529"/>
      <c r="N32" s="529"/>
      <c r="O32" s="529"/>
    </row>
    <row r="33" spans="1:16" ht="15.75">
      <c r="A33" s="8">
        <f>+A31+1</f>
        <v>16</v>
      </c>
      <c r="B33" s="3" t="s">
        <v>490</v>
      </c>
      <c r="C33" s="4"/>
      <c r="D33" s="851">
        <f>+D37</f>
        <v>0</v>
      </c>
      <c r="E33" s="277"/>
      <c r="F33" s="277"/>
      <c r="G33" s="277"/>
      <c r="H33" s="277"/>
      <c r="I33" s="277"/>
      <c r="J33" s="277"/>
      <c r="K33" s="277"/>
      <c r="L33" s="277"/>
      <c r="M33" s="277"/>
      <c r="N33" s="277"/>
      <c r="O33" s="277"/>
    </row>
    <row r="34" spans="1:16" ht="15.75">
      <c r="A34" s="8">
        <f>A33+1</f>
        <v>17</v>
      </c>
      <c r="B34" s="3" t="s">
        <v>491</v>
      </c>
      <c r="C34" s="649" t="str">
        <f>"(Line "&amp;A31&amp;" - "&amp;A33&amp;")"</f>
        <v>(Line 15 - 16)</v>
      </c>
      <c r="D34" s="60">
        <f>+D31-D33</f>
        <v>-2578753.02</v>
      </c>
      <c r="E34" s="278"/>
      <c r="F34" s="277"/>
      <c r="G34" s="277"/>
      <c r="H34" s="277"/>
      <c r="I34" s="277"/>
      <c r="J34" s="278"/>
      <c r="K34" s="277"/>
      <c r="L34" s="277"/>
      <c r="M34" s="277"/>
      <c r="N34" s="277"/>
      <c r="O34" s="277"/>
    </row>
    <row r="35" spans="1:16" ht="15.75">
      <c r="A35" s="8"/>
      <c r="B35" s="19"/>
      <c r="D35" s="850"/>
      <c r="E35" s="9"/>
      <c r="F35" s="9"/>
      <c r="G35" s="9"/>
      <c r="H35" s="9"/>
      <c r="I35" s="9"/>
      <c r="J35" s="9"/>
      <c r="K35" s="529"/>
      <c r="L35" s="529"/>
      <c r="M35" s="529"/>
      <c r="N35" s="529"/>
      <c r="O35" s="529"/>
    </row>
    <row r="36" spans="1:16" ht="28.9" customHeight="1">
      <c r="A36" s="643">
        <f>A34+1</f>
        <v>18</v>
      </c>
      <c r="B36" s="1079" t="s">
        <v>492</v>
      </c>
      <c r="C36" s="649" t="str">
        <f>"(Sum of Lines "&amp;A14&amp;" , "&amp;A15&amp;" , "&amp;A16&amp;", "&amp;A22&amp;" and "&amp;A24&amp;")"</f>
        <v>(Sum of Lines 2 , 3 , 4, 8 and 10)</v>
      </c>
      <c r="D36" s="852">
        <f>+D14+D15+D16+D22+D24</f>
        <v>0</v>
      </c>
      <c r="E36" s="529"/>
      <c r="F36" s="529"/>
      <c r="G36" s="529"/>
      <c r="H36" s="529"/>
      <c r="I36" s="529"/>
      <c r="J36" s="529"/>
      <c r="K36" s="529"/>
      <c r="L36" s="529"/>
      <c r="M36" s="529"/>
      <c r="N36" s="529"/>
      <c r="O36" s="529"/>
      <c r="P36" s="529"/>
    </row>
    <row r="37" spans="1:16" ht="15" customHeight="1">
      <c r="A37" s="643">
        <f>+A36+1</f>
        <v>19</v>
      </c>
      <c r="B37" s="1079" t="s">
        <v>493</v>
      </c>
      <c r="C37" s="649" t="str">
        <f>"(50% of Line "&amp;A36&amp;")"</f>
        <v>(50% of Line 18)</v>
      </c>
      <c r="D37" s="852">
        <f>+D36*0.5</f>
        <v>0</v>
      </c>
      <c r="E37" s="529"/>
      <c r="F37" s="529"/>
      <c r="G37" s="529"/>
      <c r="H37" s="529"/>
      <c r="I37" s="529"/>
      <c r="J37" s="529"/>
      <c r="K37" s="529"/>
      <c r="L37" s="529"/>
      <c r="M37" s="529"/>
      <c r="N37" s="529"/>
      <c r="O37" s="272"/>
    </row>
    <row r="38" spans="1:16">
      <c r="A38" s="643"/>
      <c r="B38" s="3"/>
      <c r="C38" s="4"/>
      <c r="D38" s="851"/>
      <c r="O38" s="276"/>
    </row>
    <row r="40" spans="1:16" s="4" customFormat="1" ht="31.9" customHeight="1">
      <c r="A40" s="643" t="s">
        <v>494</v>
      </c>
      <c r="B40" s="1184" t="s">
        <v>495</v>
      </c>
      <c r="C40" s="1184"/>
      <c r="D40" s="1184"/>
    </row>
    <row r="41" spans="1:16" s="4" customFormat="1" ht="88.9" customHeight="1">
      <c r="A41" s="643" t="s">
        <v>496</v>
      </c>
      <c r="B41" s="1185" t="s">
        <v>497</v>
      </c>
      <c r="C41" s="1186"/>
      <c r="D41" s="1186"/>
    </row>
    <row r="42" spans="1:16">
      <c r="A42" s="7" t="s">
        <v>498</v>
      </c>
      <c r="B42" s="2" t="s">
        <v>499</v>
      </c>
      <c r="O42" s="261"/>
    </row>
    <row r="43" spans="1:16">
      <c r="O43" s="261"/>
    </row>
    <row r="44" spans="1:16">
      <c r="O44" s="261"/>
    </row>
    <row r="45" spans="1:16">
      <c r="O45" s="261"/>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5"/>
  <sheetViews>
    <sheetView showGridLines="0" showWhiteSpace="0" topLeftCell="D142" zoomScale="55" zoomScaleNormal="55" zoomScaleSheetLayoutView="40" zoomScalePageLayoutView="50" workbookViewId="0">
      <selection activeCell="T168" sqref="T168"/>
    </sheetView>
  </sheetViews>
  <sheetFormatPr defaultColWidth="9.28515625" defaultRowHeight="15"/>
  <cols>
    <col min="1" max="1" width="6.28515625" style="86" customWidth="1"/>
    <col min="2" max="2" width="6.42578125" style="86" customWidth="1"/>
    <col min="3" max="3" width="63.140625" style="86" customWidth="1"/>
    <col min="4" max="4" width="41.42578125" style="86" customWidth="1"/>
    <col min="5" max="5" width="26.28515625" style="86" customWidth="1"/>
    <col min="6" max="6" width="14.7109375" style="529" customWidth="1"/>
    <col min="7" max="7" width="18.7109375" style="86" customWidth="1"/>
    <col min="8" max="8" width="19.7109375" style="86" customWidth="1"/>
    <col min="9" max="9" width="21.28515625" style="86" customWidth="1"/>
    <col min="10" max="10" width="20.7109375" style="86" customWidth="1"/>
    <col min="11" max="11" width="19" style="86" customWidth="1"/>
    <col min="12" max="12" width="20.42578125" style="86" customWidth="1"/>
    <col min="13" max="13" width="18.28515625" style="86" customWidth="1"/>
    <col min="14" max="14" width="21.7109375" style="86" customWidth="1"/>
    <col min="15" max="15" width="21.42578125" style="86" customWidth="1"/>
    <col min="16" max="16" width="22" style="86" customWidth="1"/>
    <col min="17" max="17" width="20.7109375" style="86" customWidth="1"/>
    <col min="18" max="18" width="21.42578125" style="86" customWidth="1"/>
    <col min="19" max="19" width="21.5703125" style="86" customWidth="1"/>
    <col min="20" max="20" width="20.28515625" style="86" customWidth="1"/>
    <col min="21" max="21" width="18.42578125" style="86" customWidth="1"/>
    <col min="22" max="16384" width="9.28515625" style="86"/>
  </cols>
  <sheetData>
    <row r="1" spans="1:21" s="529" customFormat="1" ht="21" customHeight="1">
      <c r="A1" s="1197" t="s">
        <v>0</v>
      </c>
      <c r="B1" s="1197"/>
      <c r="C1" s="1197"/>
      <c r="D1" s="1197"/>
      <c r="E1" s="1197"/>
      <c r="F1" s="1197"/>
      <c r="G1" s="1197"/>
      <c r="H1" s="1197"/>
      <c r="I1" s="1197"/>
      <c r="J1" s="1197"/>
      <c r="K1" s="1197"/>
      <c r="L1" s="1197"/>
      <c r="M1" s="1197"/>
      <c r="N1" s="1197"/>
      <c r="O1" s="1197"/>
      <c r="P1" s="1197"/>
      <c r="Q1" s="1197"/>
      <c r="R1" s="1197"/>
      <c r="S1" s="1197"/>
      <c r="T1" s="1197"/>
      <c r="U1" s="1197"/>
    </row>
    <row r="2" spans="1:21" ht="21" customHeight="1">
      <c r="A2" s="1197" t="str">
        <f>+'Appendix A'!A4</f>
        <v xml:space="preserve">ATTACHMENT H-15A </v>
      </c>
      <c r="B2" s="1197"/>
      <c r="C2" s="1197"/>
      <c r="D2" s="1197"/>
      <c r="E2" s="1197"/>
      <c r="F2" s="1197"/>
      <c r="G2" s="1197"/>
      <c r="H2" s="1197"/>
      <c r="I2" s="1197"/>
      <c r="J2" s="1197"/>
      <c r="K2" s="1197"/>
      <c r="L2" s="1197"/>
      <c r="M2" s="1197"/>
      <c r="N2" s="1197"/>
      <c r="O2" s="1197"/>
      <c r="P2" s="1197"/>
      <c r="Q2" s="1197"/>
      <c r="R2" s="1197"/>
      <c r="S2" s="1197"/>
      <c r="T2" s="1197"/>
      <c r="U2" s="1197"/>
    </row>
    <row r="3" spans="1:21" ht="21" customHeight="1">
      <c r="A3" s="1197" t="s">
        <v>500</v>
      </c>
      <c r="B3" s="1197"/>
      <c r="C3" s="1197"/>
      <c r="D3" s="1197"/>
      <c r="E3" s="1197"/>
      <c r="F3" s="1197"/>
      <c r="G3" s="1197"/>
      <c r="H3" s="1197"/>
      <c r="I3" s="1197"/>
      <c r="J3" s="1197"/>
      <c r="K3" s="1197"/>
      <c r="L3" s="1197"/>
      <c r="M3" s="1197"/>
      <c r="N3" s="1197"/>
      <c r="O3" s="1197"/>
      <c r="P3" s="1197"/>
      <c r="Q3" s="1197"/>
      <c r="R3" s="1197"/>
      <c r="S3" s="1197"/>
      <c r="T3" s="1197"/>
      <c r="U3" s="1197"/>
    </row>
    <row r="4" spans="1:21" ht="51.6" customHeight="1">
      <c r="A4" s="529" t="s">
        <v>417</v>
      </c>
      <c r="B4" s="665"/>
      <c r="C4" s="665"/>
      <c r="D4" s="665"/>
      <c r="E4" s="665"/>
      <c r="F4" s="665"/>
      <c r="G4" s="665"/>
      <c r="H4" s="665"/>
      <c r="I4" s="665"/>
      <c r="J4" s="665"/>
      <c r="K4" s="665"/>
      <c r="L4" s="665"/>
      <c r="M4" s="665"/>
      <c r="N4" s="665"/>
      <c r="O4" s="665"/>
      <c r="P4" s="665"/>
      <c r="Q4" s="665"/>
      <c r="R4" s="529"/>
      <c r="S4" s="529"/>
      <c r="T4" s="529"/>
      <c r="U4" s="878"/>
    </row>
    <row r="5" spans="1:21" ht="21" customHeight="1">
      <c r="A5" s="93"/>
      <c r="B5" s="94"/>
      <c r="C5" s="94"/>
      <c r="D5" s="94"/>
      <c r="E5" s="94"/>
      <c r="F5" s="94"/>
      <c r="G5" s="259"/>
      <c r="H5" s="96"/>
      <c r="I5" s="96"/>
      <c r="J5" s="96"/>
      <c r="K5" s="97"/>
      <c r="L5" s="96"/>
      <c r="M5" s="96"/>
      <c r="N5" s="259"/>
      <c r="O5" s="257"/>
      <c r="P5" s="87"/>
      <c r="Q5" s="259"/>
      <c r="R5" s="529"/>
      <c r="S5" s="529"/>
      <c r="T5" s="529"/>
      <c r="U5" s="277"/>
    </row>
    <row r="6" spans="1:21" ht="16.5" thickBot="1">
      <c r="A6" s="98" t="s">
        <v>501</v>
      </c>
      <c r="B6" s="99"/>
      <c r="C6" s="529"/>
      <c r="D6" s="100"/>
      <c r="E6" s="96"/>
      <c r="F6" s="96"/>
      <c r="G6" s="776" t="s">
        <v>502</v>
      </c>
      <c r="H6" s="1202" t="s">
        <v>360</v>
      </c>
      <c r="I6" s="1202"/>
      <c r="J6" s="1202"/>
      <c r="K6" s="1202"/>
      <c r="L6" s="1202"/>
      <c r="M6" s="1202"/>
      <c r="N6" s="1202"/>
      <c r="O6" s="1202"/>
      <c r="P6" s="1202"/>
      <c r="Q6" s="1202"/>
      <c r="R6" s="1202"/>
      <c r="S6" s="1203"/>
      <c r="T6" s="89"/>
      <c r="U6" s="89"/>
    </row>
    <row r="7" spans="1:21" ht="32.1" customHeight="1" thickBot="1">
      <c r="A7" s="164" t="s">
        <v>503</v>
      </c>
      <c r="B7" s="165" t="s">
        <v>504</v>
      </c>
      <c r="C7" s="165"/>
      <c r="D7" s="165"/>
      <c r="E7" s="167" t="s">
        <v>505</v>
      </c>
      <c r="F7" s="1084" t="s">
        <v>506</v>
      </c>
      <c r="G7" s="104" t="s">
        <v>507</v>
      </c>
      <c r="H7" s="166" t="s">
        <v>508</v>
      </c>
      <c r="I7" s="166" t="s">
        <v>509</v>
      </c>
      <c r="J7" s="166" t="s">
        <v>510</v>
      </c>
      <c r="K7" s="166" t="s">
        <v>511</v>
      </c>
      <c r="L7" s="166" t="s">
        <v>379</v>
      </c>
      <c r="M7" s="166" t="s">
        <v>512</v>
      </c>
      <c r="N7" s="166" t="s">
        <v>513</v>
      </c>
      <c r="O7" s="166" t="s">
        <v>514</v>
      </c>
      <c r="P7" s="166" t="s">
        <v>515</v>
      </c>
      <c r="Q7" s="166" t="s">
        <v>516</v>
      </c>
      <c r="R7" s="166" t="s">
        <v>517</v>
      </c>
      <c r="S7" s="104" t="s">
        <v>518</v>
      </c>
      <c r="T7" s="1084" t="s">
        <v>519</v>
      </c>
      <c r="U7" s="269" t="s">
        <v>520</v>
      </c>
    </row>
    <row r="8" spans="1:21" ht="15.75">
      <c r="A8" s="106"/>
      <c r="B8" s="107" t="s">
        <v>15</v>
      </c>
      <c r="C8" s="108"/>
      <c r="D8" s="109"/>
      <c r="E8" s="109"/>
      <c r="F8" s="109"/>
      <c r="G8" s="89"/>
      <c r="H8" s="535"/>
      <c r="I8" s="535"/>
      <c r="J8" s="535"/>
      <c r="K8" s="535"/>
      <c r="L8" s="535"/>
      <c r="M8" s="535"/>
      <c r="N8" s="535"/>
      <c r="O8" s="535"/>
      <c r="P8" s="535"/>
      <c r="Q8" s="535"/>
      <c r="R8" s="535"/>
      <c r="S8" s="698"/>
      <c r="T8" s="111"/>
      <c r="U8" s="266"/>
    </row>
    <row r="9" spans="1:21" ht="15.75">
      <c r="A9" s="112">
        <v>1</v>
      </c>
      <c r="B9" s="113"/>
      <c r="C9" s="100" t="s">
        <v>521</v>
      </c>
      <c r="D9" s="89"/>
      <c r="E9" s="114" t="s">
        <v>522</v>
      </c>
      <c r="F9" s="114"/>
      <c r="G9" s="1108">
        <v>2691956784.4893985</v>
      </c>
      <c r="H9" s="1108">
        <v>2703525026.3777118</v>
      </c>
      <c r="I9" s="1108">
        <v>2718162210.4513249</v>
      </c>
      <c r="J9" s="1108">
        <v>2737081214.4542708</v>
      </c>
      <c r="K9" s="1108">
        <v>2756228604.8854513</v>
      </c>
      <c r="L9" s="1108">
        <v>2768798539.4358563</v>
      </c>
      <c r="M9" s="1108">
        <v>2826040863.4717832</v>
      </c>
      <c r="N9" s="1108">
        <v>2831894695.1589961</v>
      </c>
      <c r="O9" s="1108">
        <v>2843571102.8741932</v>
      </c>
      <c r="P9" s="1108">
        <v>2863759211.2705393</v>
      </c>
      <c r="Q9" s="1108">
        <v>2875319546.0937243</v>
      </c>
      <c r="R9" s="1108">
        <v>2888074888.8523436</v>
      </c>
      <c r="S9" s="1108">
        <v>2931672767.0577283</v>
      </c>
      <c r="T9" s="777">
        <f>AVERAGE(G9:S9)</f>
        <v>2802775804.2210245</v>
      </c>
      <c r="U9" s="270">
        <v>0</v>
      </c>
    </row>
    <row r="10" spans="1:21" ht="15.75">
      <c r="A10" s="112">
        <f>+A9+1</f>
        <v>2</v>
      </c>
      <c r="B10" s="113"/>
      <c r="C10" s="100" t="s">
        <v>523</v>
      </c>
      <c r="D10" s="89"/>
      <c r="E10" s="94" t="s">
        <v>524</v>
      </c>
      <c r="F10" s="94"/>
      <c r="G10" s="1108">
        <v>0</v>
      </c>
      <c r="H10" s="1108">
        <v>0</v>
      </c>
      <c r="I10" s="1108">
        <v>0</v>
      </c>
      <c r="J10" s="1108">
        <v>0</v>
      </c>
      <c r="K10" s="1108">
        <v>0</v>
      </c>
      <c r="L10" s="1108">
        <v>0</v>
      </c>
      <c r="M10" s="1108">
        <v>0</v>
      </c>
      <c r="N10" s="1108">
        <v>0</v>
      </c>
      <c r="O10" s="1108">
        <v>0</v>
      </c>
      <c r="P10" s="1108">
        <v>0</v>
      </c>
      <c r="Q10" s="1108">
        <v>0</v>
      </c>
      <c r="R10" s="1108">
        <v>0</v>
      </c>
      <c r="S10" s="1108">
        <v>0</v>
      </c>
      <c r="T10" s="777">
        <f t="shared" ref="T10:T14" si="0">AVERAGE(G10:S10)</f>
        <v>0</v>
      </c>
      <c r="U10" s="270">
        <v>0</v>
      </c>
    </row>
    <row r="11" spans="1:21" ht="15.75">
      <c r="A11" s="112">
        <f t="shared" ref="A11:A14" si="1">+A10+1</f>
        <v>3</v>
      </c>
      <c r="B11" s="113"/>
      <c r="C11" s="100" t="s">
        <v>17</v>
      </c>
      <c r="D11" s="89"/>
      <c r="E11" s="114" t="s">
        <v>525</v>
      </c>
      <c r="F11" s="114"/>
      <c r="G11" s="1108">
        <v>-1211366911.6944387</v>
      </c>
      <c r="H11" s="1108">
        <v>-1217110395.9611859</v>
      </c>
      <c r="I11" s="1108">
        <v>-1222612588.4459388</v>
      </c>
      <c r="J11" s="1108">
        <v>-1227769753.8286629</v>
      </c>
      <c r="K11" s="1108">
        <v>-1232880835.8579581</v>
      </c>
      <c r="L11" s="1108">
        <v>-1238631090.0049474</v>
      </c>
      <c r="M11" s="1108">
        <v>-1240380258.4357476</v>
      </c>
      <c r="N11" s="1108">
        <v>-1246711615.0045614</v>
      </c>
      <c r="O11" s="1108">
        <v>-1252677819.0525174</v>
      </c>
      <c r="P11" s="1108">
        <v>-1257974534.6678886</v>
      </c>
      <c r="Q11" s="1108">
        <v>-1264029577.6137075</v>
      </c>
      <c r="R11" s="1108">
        <v>-1270090165.1245902</v>
      </c>
      <c r="S11" s="1108">
        <v>-1273114717.4410696</v>
      </c>
      <c r="T11" s="777">
        <f t="shared" si="0"/>
        <v>-1242719251.0102472</v>
      </c>
      <c r="U11" s="270">
        <v>0</v>
      </c>
    </row>
    <row r="12" spans="1:21" ht="15" customHeight="1">
      <c r="A12" s="112">
        <f t="shared" si="1"/>
        <v>4</v>
      </c>
      <c r="B12" s="89"/>
      <c r="C12" s="117" t="s">
        <v>36</v>
      </c>
      <c r="D12" s="100"/>
      <c r="E12" s="94" t="s">
        <v>526</v>
      </c>
      <c r="F12" s="94"/>
      <c r="G12" s="1108">
        <v>-31328332.1903085</v>
      </c>
      <c r="H12" s="1108">
        <v>-31625965.884947415</v>
      </c>
      <c r="I12" s="1108">
        <v>-31926405.064294346</v>
      </c>
      <c r="J12" s="1108">
        <v>-32229649.728349287</v>
      </c>
      <c r="K12" s="1108">
        <v>-32535699.877112243</v>
      </c>
      <c r="L12" s="1108">
        <v>-32844555.510583211</v>
      </c>
      <c r="M12" s="1108">
        <v>-33156216.628762193</v>
      </c>
      <c r="N12" s="1108">
        <v>-33470683.231649186</v>
      </c>
      <c r="O12" s="1108">
        <v>-33787955.319244191</v>
      </c>
      <c r="P12" s="1108">
        <v>-34108032.891547211</v>
      </c>
      <c r="Q12" s="1108">
        <v>-34430915.948558241</v>
      </c>
      <c r="R12" s="1108">
        <v>-34756604.490277283</v>
      </c>
      <c r="S12" s="1108">
        <v>-35085098.516704343</v>
      </c>
      <c r="T12" s="777">
        <f t="shared" si="0"/>
        <v>-33175855.021718282</v>
      </c>
      <c r="U12" s="270">
        <v>0</v>
      </c>
    </row>
    <row r="13" spans="1:21">
      <c r="A13" s="112">
        <f t="shared" si="1"/>
        <v>5</v>
      </c>
      <c r="B13" s="100"/>
      <c r="C13" s="117" t="s">
        <v>527</v>
      </c>
      <c r="D13" s="100"/>
      <c r="E13" s="94" t="s">
        <v>524</v>
      </c>
      <c r="F13" s="94"/>
      <c r="G13" s="1108">
        <v>0</v>
      </c>
      <c r="H13" s="1108">
        <v>0</v>
      </c>
      <c r="I13" s="1108">
        <v>0</v>
      </c>
      <c r="J13" s="1108">
        <v>0</v>
      </c>
      <c r="K13" s="1108">
        <v>0</v>
      </c>
      <c r="L13" s="1108">
        <v>0</v>
      </c>
      <c r="M13" s="1108">
        <v>0</v>
      </c>
      <c r="N13" s="1108">
        <v>0</v>
      </c>
      <c r="O13" s="1108">
        <v>0</v>
      </c>
      <c r="P13" s="1108">
        <v>0</v>
      </c>
      <c r="Q13" s="1108">
        <v>0</v>
      </c>
      <c r="R13" s="1108">
        <v>0</v>
      </c>
      <c r="S13" s="1108">
        <v>0</v>
      </c>
      <c r="T13" s="777">
        <f t="shared" si="0"/>
        <v>0</v>
      </c>
      <c r="U13" s="270">
        <v>0</v>
      </c>
    </row>
    <row r="14" spans="1:21">
      <c r="A14" s="112">
        <f t="shared" si="1"/>
        <v>6</v>
      </c>
      <c r="B14" s="91"/>
      <c r="C14" s="117" t="s">
        <v>528</v>
      </c>
      <c r="D14" s="100"/>
      <c r="E14" s="94" t="s">
        <v>524</v>
      </c>
      <c r="F14" s="94"/>
      <c r="G14" s="1108">
        <v>0</v>
      </c>
      <c r="H14" s="1108">
        <v>0</v>
      </c>
      <c r="I14" s="1108">
        <v>0</v>
      </c>
      <c r="J14" s="1108">
        <v>0</v>
      </c>
      <c r="K14" s="1108">
        <v>0</v>
      </c>
      <c r="L14" s="1108">
        <v>0</v>
      </c>
      <c r="M14" s="1108">
        <v>0</v>
      </c>
      <c r="N14" s="1108">
        <v>0</v>
      </c>
      <c r="O14" s="1108">
        <v>0</v>
      </c>
      <c r="P14" s="1108">
        <v>0</v>
      </c>
      <c r="Q14" s="1108">
        <v>0</v>
      </c>
      <c r="R14" s="1108">
        <v>0</v>
      </c>
      <c r="S14" s="1108">
        <v>0</v>
      </c>
      <c r="T14" s="777">
        <f t="shared" si="0"/>
        <v>0</v>
      </c>
      <c r="U14" s="270">
        <v>0</v>
      </c>
    </row>
    <row r="15" spans="1:21" ht="15.75">
      <c r="A15" s="112"/>
      <c r="B15" s="113"/>
      <c r="C15" s="100"/>
      <c r="D15" s="100"/>
      <c r="E15" s="265"/>
      <c r="F15" s="265"/>
      <c r="G15" s="264"/>
      <c r="H15" s="264"/>
      <c r="I15" s="264"/>
      <c r="J15" s="264"/>
      <c r="K15" s="264"/>
      <c r="L15" s="264"/>
      <c r="M15" s="264"/>
      <c r="N15" s="264"/>
      <c r="O15" s="264"/>
      <c r="P15" s="264"/>
      <c r="Q15" s="264"/>
      <c r="R15" s="264"/>
      <c r="S15" s="264"/>
      <c r="T15" s="777"/>
      <c r="U15" s="283"/>
    </row>
    <row r="16" spans="1:21" s="529" customFormat="1" ht="15.75">
      <c r="A16" s="112"/>
      <c r="B16" s="113" t="s">
        <v>24</v>
      </c>
      <c r="C16" s="100"/>
      <c r="D16" s="100"/>
      <c r="E16" s="265"/>
      <c r="F16" s="265"/>
      <c r="G16" s="264"/>
      <c r="H16" s="264"/>
      <c r="I16" s="264"/>
      <c r="J16" s="264"/>
      <c r="K16" s="264"/>
      <c r="L16" s="264"/>
      <c r="M16" s="264"/>
      <c r="N16" s="264"/>
      <c r="O16" s="264"/>
      <c r="P16" s="264"/>
      <c r="Q16" s="264"/>
      <c r="R16" s="264"/>
      <c r="S16" s="264"/>
      <c r="T16" s="777"/>
      <c r="U16" s="283"/>
    </row>
    <row r="17" spans="1:21" ht="15.75">
      <c r="A17" s="112">
        <f>+A14+1</f>
        <v>7</v>
      </c>
      <c r="B17" s="113"/>
      <c r="C17" s="100" t="s">
        <v>529</v>
      </c>
      <c r="D17" s="100"/>
      <c r="E17" s="119" t="s">
        <v>530</v>
      </c>
      <c r="F17" s="724" t="s">
        <v>531</v>
      </c>
      <c r="G17" s="1109">
        <v>553624258.50999999</v>
      </c>
      <c r="H17" s="1109">
        <v>553624258.50999999</v>
      </c>
      <c r="I17" s="1109">
        <v>553624258.50999999</v>
      </c>
      <c r="J17" s="1109">
        <v>556898931.00999999</v>
      </c>
      <c r="K17" s="1109">
        <v>562453830.00999999</v>
      </c>
      <c r="L17" s="1109">
        <v>562453830.00999999</v>
      </c>
      <c r="M17" s="1109">
        <v>601469115.36399996</v>
      </c>
      <c r="N17" s="1109">
        <v>601469115.36399996</v>
      </c>
      <c r="O17" s="1109">
        <v>601469115.36399996</v>
      </c>
      <c r="P17" s="1109">
        <v>604743787.86399996</v>
      </c>
      <c r="Q17" s="1109">
        <v>604743787.86399996</v>
      </c>
      <c r="R17" s="1109">
        <v>604743787.86399996</v>
      </c>
      <c r="S17" s="1109">
        <v>634055856.36399996</v>
      </c>
      <c r="T17" s="777">
        <f>AVERAGE(G17:S17)</f>
        <v>584259533.27753854</v>
      </c>
      <c r="U17" s="270">
        <v>0</v>
      </c>
    </row>
    <row r="18" spans="1:21" ht="15.75">
      <c r="A18" s="112">
        <f>+A17+1</f>
        <v>8</v>
      </c>
      <c r="B18" s="113"/>
      <c r="C18" s="100" t="s">
        <v>532</v>
      </c>
      <c r="D18" s="100"/>
      <c r="E18" s="94" t="s">
        <v>533</v>
      </c>
      <c r="F18" s="187" t="s">
        <v>534</v>
      </c>
      <c r="G18" s="1108">
        <v>50450696.490000002</v>
      </c>
      <c r="H18" s="1108">
        <v>52410789.162531078</v>
      </c>
      <c r="I18" s="1108">
        <v>53255282.124069542</v>
      </c>
      <c r="J18" s="1108">
        <v>54264039.514357932</v>
      </c>
      <c r="K18" s="1108">
        <v>55313283.757990882</v>
      </c>
      <c r="L18" s="1108">
        <v>55905254.003648743</v>
      </c>
      <c r="M18" s="1108">
        <v>60292793.370228484</v>
      </c>
      <c r="N18" s="1108">
        <v>60789286.331766948</v>
      </c>
      <c r="O18" s="1108">
        <v>61257304.860223271</v>
      </c>
      <c r="P18" s="1108">
        <v>61246881.488428399</v>
      </c>
      <c r="Q18" s="1108">
        <v>61738026.116633527</v>
      </c>
      <c r="R18" s="1108">
        <v>63048964.703171991</v>
      </c>
      <c r="S18" s="1108">
        <v>63892609.331377119</v>
      </c>
      <c r="T18" s="777">
        <f t="shared" ref="T18:T20" si="2">AVERAGE(G18:S18)</f>
        <v>57989631.634955995</v>
      </c>
      <c r="U18" s="270">
        <v>0</v>
      </c>
    </row>
    <row r="19" spans="1:21" ht="15.75">
      <c r="A19" s="112">
        <f t="shared" ref="A19:A20" si="3">+A18+1</f>
        <v>9</v>
      </c>
      <c r="B19" s="113"/>
      <c r="C19" s="100" t="s">
        <v>27</v>
      </c>
      <c r="D19" s="100"/>
      <c r="E19" s="94" t="s">
        <v>535</v>
      </c>
      <c r="F19" s="187" t="s">
        <v>536</v>
      </c>
      <c r="G19" s="1108">
        <v>46357678.229999997</v>
      </c>
      <c r="H19" s="1108">
        <v>46593268.268461533</v>
      </c>
      <c r="I19" s="1108">
        <v>46828858.306923069</v>
      </c>
      <c r="J19" s="1108">
        <v>47064448.345384605</v>
      </c>
      <c r="K19" s="1108">
        <v>47300038.383846141</v>
      </c>
      <c r="L19" s="1108">
        <v>47535628.422307678</v>
      </c>
      <c r="M19" s="1108">
        <v>47771218.460769214</v>
      </c>
      <c r="N19" s="1108">
        <v>48006808.49923075</v>
      </c>
      <c r="O19" s="1108">
        <v>48242398.537692286</v>
      </c>
      <c r="P19" s="1108">
        <v>48477988.576153822</v>
      </c>
      <c r="Q19" s="1108">
        <v>48713578.614615358</v>
      </c>
      <c r="R19" s="1108">
        <v>48949168.653076895</v>
      </c>
      <c r="S19" s="1108">
        <v>49184758.691538431</v>
      </c>
      <c r="T19" s="777">
        <f t="shared" si="2"/>
        <v>47771218.460769221</v>
      </c>
      <c r="U19" s="270">
        <v>0</v>
      </c>
    </row>
    <row r="20" spans="1:21" ht="15.75">
      <c r="A20" s="112">
        <f t="shared" si="3"/>
        <v>10</v>
      </c>
      <c r="B20" s="113"/>
      <c r="C20" s="100" t="s">
        <v>523</v>
      </c>
      <c r="D20" s="89"/>
      <c r="E20" s="94" t="s">
        <v>524</v>
      </c>
      <c r="F20" s="187"/>
      <c r="G20" s="1108">
        <v>0</v>
      </c>
      <c r="H20" s="1108">
        <v>0</v>
      </c>
      <c r="I20" s="1108">
        <v>0</v>
      </c>
      <c r="J20" s="1108">
        <v>0</v>
      </c>
      <c r="K20" s="1108">
        <v>0</v>
      </c>
      <c r="L20" s="1108">
        <v>0</v>
      </c>
      <c r="M20" s="1108">
        <v>0</v>
      </c>
      <c r="N20" s="1108">
        <v>0</v>
      </c>
      <c r="O20" s="1108">
        <v>0</v>
      </c>
      <c r="P20" s="1108">
        <v>0</v>
      </c>
      <c r="Q20" s="1108">
        <v>0</v>
      </c>
      <c r="R20" s="1108">
        <v>0</v>
      </c>
      <c r="S20" s="1108">
        <v>0</v>
      </c>
      <c r="T20" s="777">
        <f t="shared" si="2"/>
        <v>0</v>
      </c>
      <c r="U20" s="270">
        <v>0</v>
      </c>
    </row>
    <row r="21" spans="1:21" s="529" customFormat="1">
      <c r="A21" s="116"/>
      <c r="B21" s="99"/>
      <c r="C21" s="117"/>
      <c r="D21" s="100"/>
      <c r="E21" s="121"/>
      <c r="F21" s="724"/>
      <c r="G21" s="1108"/>
      <c r="H21" s="1108"/>
      <c r="I21" s="1108"/>
      <c r="J21" s="1108"/>
      <c r="K21" s="1108"/>
      <c r="L21" s="1108"/>
      <c r="M21" s="1108"/>
      <c r="N21" s="1108"/>
      <c r="O21" s="1108"/>
      <c r="P21" s="1108"/>
      <c r="Q21" s="1108"/>
      <c r="R21" s="1108"/>
      <c r="S21" s="1108"/>
      <c r="T21" s="777"/>
      <c r="U21" s="270"/>
    </row>
    <row r="22" spans="1:21" ht="15.75">
      <c r="A22" s="112"/>
      <c r="B22" s="113" t="s">
        <v>33</v>
      </c>
      <c r="C22" s="100"/>
      <c r="D22" s="100"/>
      <c r="E22" s="265"/>
      <c r="F22" s="725"/>
      <c r="G22" s="1108"/>
      <c r="H22" s="1108"/>
      <c r="I22" s="1108"/>
      <c r="J22" s="1108"/>
      <c r="K22" s="1108"/>
      <c r="L22" s="1108"/>
      <c r="M22" s="1108"/>
      <c r="N22" s="1108"/>
      <c r="O22" s="1108"/>
      <c r="P22" s="1108"/>
      <c r="Q22" s="1108"/>
      <c r="R22" s="1108"/>
      <c r="S22" s="1108"/>
      <c r="T22" s="777"/>
      <c r="U22" s="283"/>
    </row>
    <row r="23" spans="1:21">
      <c r="A23" s="116">
        <f>+A20+1</f>
        <v>11</v>
      </c>
      <c r="B23" s="95"/>
      <c r="C23" s="100" t="s">
        <v>34</v>
      </c>
      <c r="D23" s="100"/>
      <c r="E23" s="117" t="s">
        <v>537</v>
      </c>
      <c r="F23" s="187">
        <v>108</v>
      </c>
      <c r="G23" s="1108">
        <v>-238319956.03746268</v>
      </c>
      <c r="H23" s="1108">
        <v>-239258916.24133879</v>
      </c>
      <c r="I23" s="1108">
        <v>-240197876.4452149</v>
      </c>
      <c r="J23" s="1108">
        <v>-240808426.22833502</v>
      </c>
      <c r="K23" s="1108">
        <v>-241196119.41274658</v>
      </c>
      <c r="L23" s="1108">
        <v>-242150779.76531008</v>
      </c>
      <c r="M23" s="1108">
        <v>-239192674.40495968</v>
      </c>
      <c r="N23" s="1108">
        <v>-240216709.10724539</v>
      </c>
      <c r="O23" s="1108">
        <v>-241240743.80953109</v>
      </c>
      <c r="P23" s="1108">
        <v>-241936368.09106082</v>
      </c>
      <c r="Q23" s="1108">
        <v>-242966225.59518379</v>
      </c>
      <c r="R23" s="1108">
        <v>-243996083.09930676</v>
      </c>
      <c r="S23" s="1108">
        <v>-242086291.29519716</v>
      </c>
      <c r="T23" s="777">
        <f t="shared" ref="T23:T25" si="4">AVERAGE(G23:S23)</f>
        <v>-241043628.42560709</v>
      </c>
      <c r="U23" s="270">
        <v>0</v>
      </c>
    </row>
    <row r="24" spans="1:21">
      <c r="A24" s="116">
        <f>+A23+1</f>
        <v>12</v>
      </c>
      <c r="B24" s="95"/>
      <c r="C24" s="100" t="s">
        <v>35</v>
      </c>
      <c r="D24" s="95"/>
      <c r="E24" s="117" t="s">
        <v>538</v>
      </c>
      <c r="F24" s="187">
        <v>108</v>
      </c>
      <c r="G24" s="1108">
        <v>-19521390.353053354</v>
      </c>
      <c r="H24" s="1108">
        <v>-19669557.081930269</v>
      </c>
      <c r="I24" s="1108">
        <v>-19823677.411162544</v>
      </c>
      <c r="J24" s="1108">
        <v>-19980362.809723619</v>
      </c>
      <c r="K24" s="1108">
        <v>-20140112.215635706</v>
      </c>
      <c r="L24" s="1108">
        <v>-20303048.603974335</v>
      </c>
      <c r="M24" s="1108">
        <v>-20467783.047228582</v>
      </c>
      <c r="N24" s="1108">
        <v>-20645844.235844467</v>
      </c>
      <c r="O24" s="1108">
        <v>-20825413.47594877</v>
      </c>
      <c r="P24" s="1108">
        <v>-21006404.279082406</v>
      </c>
      <c r="Q24" s="1108">
        <v>-21187363.422187466</v>
      </c>
      <c r="R24" s="1108">
        <v>-21369814.3717127</v>
      </c>
      <c r="S24" s="1108">
        <v>-21556247.176047172</v>
      </c>
      <c r="T24" s="777">
        <f t="shared" si="4"/>
        <v>-20499770.652579337</v>
      </c>
      <c r="U24" s="270">
        <v>0</v>
      </c>
    </row>
    <row r="25" spans="1:21" ht="16.5" thickBot="1">
      <c r="A25" s="141">
        <f>+A24+1</f>
        <v>13</v>
      </c>
      <c r="B25" s="125"/>
      <c r="C25" s="129" t="s">
        <v>539</v>
      </c>
      <c r="D25" s="129"/>
      <c r="E25" s="549" t="s">
        <v>524</v>
      </c>
      <c r="F25" s="726">
        <v>111</v>
      </c>
      <c r="G25" s="1110">
        <v>0</v>
      </c>
      <c r="H25" s="1110">
        <v>0</v>
      </c>
      <c r="I25" s="1110">
        <v>0</v>
      </c>
      <c r="J25" s="1110">
        <v>0</v>
      </c>
      <c r="K25" s="1110">
        <v>0</v>
      </c>
      <c r="L25" s="1110">
        <v>0</v>
      </c>
      <c r="M25" s="1110">
        <v>0</v>
      </c>
      <c r="N25" s="1110">
        <v>0</v>
      </c>
      <c r="O25" s="1110">
        <v>0</v>
      </c>
      <c r="P25" s="1110">
        <v>0</v>
      </c>
      <c r="Q25" s="1110">
        <v>0</v>
      </c>
      <c r="R25" s="1110">
        <v>0</v>
      </c>
      <c r="S25" s="1110">
        <v>0</v>
      </c>
      <c r="T25" s="786">
        <f t="shared" si="4"/>
        <v>0</v>
      </c>
      <c r="U25" s="550">
        <v>0</v>
      </c>
    </row>
    <row r="26" spans="1:21" s="87" customFormat="1" ht="15.75">
      <c r="A26" s="204"/>
      <c r="B26" s="123"/>
      <c r="C26" s="114"/>
      <c r="D26" s="91"/>
      <c r="E26" s="131"/>
      <c r="F26" s="131"/>
      <c r="G26" s="20"/>
      <c r="H26" s="20"/>
      <c r="I26" s="20"/>
      <c r="J26" s="20"/>
      <c r="K26" s="20"/>
      <c r="L26" s="20"/>
      <c r="M26" s="20"/>
      <c r="N26" s="20"/>
      <c r="O26" s="20"/>
      <c r="P26" s="20"/>
      <c r="Q26" s="20"/>
      <c r="R26" s="20"/>
      <c r="S26" s="20"/>
      <c r="T26" s="20"/>
      <c r="U26" s="118"/>
    </row>
    <row r="27" spans="1:21" s="87" customFormat="1" ht="15.75">
      <c r="A27" s="204"/>
      <c r="B27" s="123"/>
      <c r="C27" s="114"/>
      <c r="D27" s="91"/>
      <c r="E27" s="131"/>
      <c r="F27" s="131"/>
      <c r="G27" s="20"/>
      <c r="H27" s="20"/>
      <c r="I27" s="20"/>
      <c r="J27" s="20"/>
      <c r="K27" s="20"/>
      <c r="L27" s="20"/>
      <c r="M27" s="20"/>
      <c r="N27" s="20"/>
      <c r="O27" s="20"/>
      <c r="P27" s="20"/>
      <c r="Q27" s="20"/>
      <c r="R27" s="20"/>
      <c r="S27" s="268"/>
      <c r="U27" s="118"/>
    </row>
    <row r="28" spans="1:21" ht="16.5" thickBot="1">
      <c r="A28" s="98" t="s">
        <v>540</v>
      </c>
      <c r="B28" s="89"/>
      <c r="C28" s="132"/>
      <c r="D28" s="89"/>
      <c r="E28" s="134"/>
      <c r="F28" s="134"/>
      <c r="G28" s="135"/>
      <c r="H28" s="135"/>
      <c r="I28" s="135"/>
      <c r="J28" s="135"/>
      <c r="K28" s="135"/>
      <c r="L28" s="135"/>
      <c r="M28" s="135"/>
      <c r="N28" s="135"/>
      <c r="O28" s="20"/>
      <c r="P28" s="20"/>
      <c r="Q28" s="135"/>
      <c r="R28" s="135"/>
      <c r="S28" s="135"/>
      <c r="T28" s="135"/>
      <c r="U28" s="272"/>
    </row>
    <row r="29" spans="1:21" ht="32.25" thickBot="1">
      <c r="A29" s="102" t="s">
        <v>503</v>
      </c>
      <c r="B29" s="103" t="s">
        <v>504</v>
      </c>
      <c r="C29" s="103"/>
      <c r="D29" s="103"/>
      <c r="E29" s="105" t="s">
        <v>505</v>
      </c>
      <c r="F29" s="1082" t="s">
        <v>506</v>
      </c>
      <c r="G29" s="136"/>
      <c r="H29" s="136"/>
      <c r="I29" s="136"/>
      <c r="J29" s="136"/>
      <c r="K29" s="136"/>
      <c r="L29" s="136"/>
      <c r="M29" s="136"/>
      <c r="N29" s="136"/>
      <c r="O29" s="136"/>
      <c r="P29" s="136"/>
      <c r="Q29" s="136"/>
      <c r="R29" s="136"/>
      <c r="S29" s="136"/>
      <c r="T29" s="104" t="s">
        <v>541</v>
      </c>
      <c r="U29" s="137"/>
    </row>
    <row r="30" spans="1:21" s="87" customFormat="1" ht="15.75">
      <c r="A30" s="138"/>
      <c r="B30" s="90"/>
      <c r="C30" s="90"/>
      <c r="D30" s="90"/>
      <c r="E30" s="139"/>
      <c r="F30" s="139"/>
      <c r="G30" s="91"/>
      <c r="H30" s="91"/>
      <c r="I30" s="91"/>
      <c r="J30" s="91"/>
      <c r="K30" s="91"/>
      <c r="L30" s="91"/>
      <c r="M30" s="91"/>
      <c r="N30" s="91"/>
      <c r="O30" s="91"/>
      <c r="P30" s="91"/>
      <c r="Q30" s="91"/>
      <c r="R30" s="91"/>
      <c r="S30" s="91"/>
      <c r="T30" s="207"/>
      <c r="U30" s="140"/>
    </row>
    <row r="31" spans="1:21" ht="15.75">
      <c r="A31" s="116">
        <f>+A25+1</f>
        <v>14</v>
      </c>
      <c r="B31" s="98"/>
      <c r="C31" s="132" t="s">
        <v>542</v>
      </c>
      <c r="D31" s="98"/>
      <c r="E31" s="134" t="s">
        <v>543</v>
      </c>
      <c r="F31" s="134"/>
      <c r="G31" s="133" t="s">
        <v>544</v>
      </c>
      <c r="H31" s="89"/>
      <c r="I31" s="89"/>
      <c r="J31" s="89"/>
      <c r="K31" s="89"/>
      <c r="L31" s="89"/>
      <c r="M31" s="89"/>
      <c r="N31" s="89"/>
      <c r="O31" s="89"/>
      <c r="P31" s="89"/>
      <c r="Q31" s="89"/>
      <c r="R31" s="89"/>
      <c r="S31" s="91"/>
      <c r="T31" s="1108">
        <v>36691634</v>
      </c>
      <c r="U31" s="120"/>
    </row>
    <row r="32" spans="1:21" ht="15.75">
      <c r="A32" s="116">
        <f>+A31+1</f>
        <v>15</v>
      </c>
      <c r="B32" s="98"/>
      <c r="C32" s="132" t="s">
        <v>545</v>
      </c>
      <c r="D32" s="98"/>
      <c r="E32" s="134" t="s">
        <v>546</v>
      </c>
      <c r="F32" s="134"/>
      <c r="G32" s="89"/>
      <c r="H32" s="89"/>
      <c r="I32" s="89"/>
      <c r="J32" s="89"/>
      <c r="K32" s="89"/>
      <c r="L32" s="89"/>
      <c r="M32" s="89"/>
      <c r="N32" s="89"/>
      <c r="O32" s="89"/>
      <c r="P32" s="89"/>
      <c r="Q32" s="89"/>
      <c r="R32" s="89"/>
      <c r="S32" s="91"/>
      <c r="T32" s="1108">
        <v>3688542</v>
      </c>
      <c r="U32" s="120"/>
    </row>
    <row r="33" spans="1:21">
      <c r="A33" s="116">
        <f>+A32+1</f>
        <v>16</v>
      </c>
      <c r="B33" s="89"/>
      <c r="C33" s="132" t="s">
        <v>547</v>
      </c>
      <c r="D33" s="89"/>
      <c r="E33" s="134" t="s">
        <v>548</v>
      </c>
      <c r="F33" s="134"/>
      <c r="G33" s="89"/>
      <c r="H33" s="89"/>
      <c r="I33" s="89"/>
      <c r="J33" s="89"/>
      <c r="K33" s="89"/>
      <c r="L33" s="89"/>
      <c r="M33" s="89"/>
      <c r="N33" s="89"/>
      <c r="O33" s="89"/>
      <c r="P33" s="89"/>
      <c r="Q33" s="89"/>
      <c r="R33" s="89"/>
      <c r="S33" s="91"/>
      <c r="T33" s="1108">
        <v>5245554</v>
      </c>
      <c r="U33" s="120"/>
    </row>
    <row r="34" spans="1:21" ht="15.75" thickBot="1">
      <c r="A34" s="141"/>
      <c r="B34" s="142"/>
      <c r="C34" s="143"/>
      <c r="D34" s="142"/>
      <c r="E34" s="144"/>
      <c r="F34" s="144"/>
      <c r="G34" s="31"/>
      <c r="H34" s="142"/>
      <c r="I34" s="142"/>
      <c r="J34" s="142"/>
      <c r="K34" s="142"/>
      <c r="L34" s="142"/>
      <c r="M34" s="142"/>
      <c r="N34" s="142"/>
      <c r="O34" s="142"/>
      <c r="P34" s="142"/>
      <c r="Q34" s="142"/>
      <c r="R34" s="142"/>
      <c r="S34" s="142"/>
      <c r="T34" s="142"/>
      <c r="U34" s="145"/>
    </row>
    <row r="35" spans="1:21">
      <c r="A35" s="95"/>
      <c r="B35" s="89"/>
      <c r="C35" s="132"/>
      <c r="D35" s="89"/>
      <c r="E35" s="134"/>
      <c r="F35" s="134"/>
      <c r="G35" s="26"/>
      <c r="H35" s="26"/>
      <c r="I35" s="26"/>
      <c r="J35" s="26"/>
      <c r="K35" s="26"/>
      <c r="L35" s="26"/>
      <c r="M35" s="26"/>
      <c r="N35" s="26"/>
      <c r="O35" s="26"/>
      <c r="P35" s="26"/>
      <c r="Q35" s="26"/>
      <c r="R35" s="26"/>
      <c r="S35" s="26"/>
      <c r="T35" s="26"/>
      <c r="U35" s="89"/>
    </row>
    <row r="36" spans="1:21">
      <c r="A36" s="95"/>
      <c r="B36" s="89"/>
      <c r="C36" s="132"/>
      <c r="D36" s="89"/>
      <c r="E36" s="134"/>
      <c r="F36" s="134"/>
      <c r="G36" s="26"/>
      <c r="H36" s="26"/>
      <c r="I36" s="26"/>
      <c r="J36" s="26"/>
      <c r="K36" s="26"/>
      <c r="L36" s="26"/>
      <c r="M36" s="26"/>
      <c r="N36" s="26"/>
      <c r="O36" s="26"/>
      <c r="P36" s="26"/>
      <c r="Q36" s="26"/>
      <c r="R36" s="26"/>
      <c r="S36" s="26"/>
      <c r="T36" s="26"/>
      <c r="U36" s="89"/>
    </row>
    <row r="37" spans="1:21" ht="16.5" thickBot="1">
      <c r="A37" s="98" t="s">
        <v>549</v>
      </c>
      <c r="B37" s="529"/>
      <c r="C37" s="529"/>
      <c r="D37" s="529"/>
      <c r="E37" s="529"/>
      <c r="G37" s="135"/>
      <c r="H37" s="529"/>
      <c r="I37" s="529"/>
      <c r="J37" s="529"/>
      <c r="K37" s="529"/>
      <c r="L37" s="529"/>
      <c r="M37" s="529"/>
      <c r="N37" s="529"/>
      <c r="O37" s="529"/>
      <c r="P37" s="529"/>
      <c r="Q37" s="529"/>
      <c r="R37" s="529"/>
      <c r="S37" s="529"/>
      <c r="T37" s="529"/>
      <c r="U37" s="529"/>
    </row>
    <row r="38" spans="1:21" ht="32.25" thickBot="1">
      <c r="A38" s="102" t="s">
        <v>503</v>
      </c>
      <c r="B38" s="103" t="s">
        <v>504</v>
      </c>
      <c r="C38" s="103"/>
      <c r="D38" s="103"/>
      <c r="E38" s="105" t="s">
        <v>505</v>
      </c>
      <c r="F38" s="1082" t="s">
        <v>506</v>
      </c>
      <c r="G38" s="136"/>
      <c r="H38" s="136"/>
      <c r="I38" s="136"/>
      <c r="J38" s="136"/>
      <c r="K38" s="136"/>
      <c r="L38" s="136"/>
      <c r="M38" s="136"/>
      <c r="N38" s="136"/>
      <c r="O38" s="136"/>
      <c r="P38" s="136"/>
      <c r="Q38" s="136"/>
      <c r="R38" s="1082" t="s">
        <v>550</v>
      </c>
      <c r="S38" s="104" t="s">
        <v>541</v>
      </c>
      <c r="T38" s="1082" t="s">
        <v>519</v>
      </c>
      <c r="U38" s="137"/>
    </row>
    <row r="39" spans="1:21" ht="15.75">
      <c r="A39" s="138"/>
      <c r="B39" s="90"/>
      <c r="C39" s="90"/>
      <c r="D39" s="90"/>
      <c r="E39" s="139"/>
      <c r="F39" s="139"/>
      <c r="G39" s="89"/>
      <c r="H39" s="89"/>
      <c r="I39" s="89"/>
      <c r="J39" s="91"/>
      <c r="K39" s="91"/>
      <c r="L39" s="91"/>
      <c r="M39" s="91"/>
      <c r="N39" s="91"/>
      <c r="O39" s="91"/>
      <c r="P39" s="91"/>
      <c r="Q39" s="26"/>
      <c r="R39" s="26"/>
      <c r="S39" s="26"/>
      <c r="T39" s="1085"/>
      <c r="U39" s="140"/>
    </row>
    <row r="40" spans="1:21" ht="15.75">
      <c r="A40" s="116">
        <f>+A33+1</f>
        <v>17</v>
      </c>
      <c r="B40" s="95"/>
      <c r="C40" s="664" t="s">
        <v>58</v>
      </c>
      <c r="D40" s="131"/>
      <c r="E40" s="117" t="s">
        <v>551</v>
      </c>
      <c r="F40" s="187">
        <v>105</v>
      </c>
      <c r="G40" s="133" t="s">
        <v>544</v>
      </c>
      <c r="H40" s="89"/>
      <c r="I40" s="89"/>
      <c r="J40" s="89"/>
      <c r="K40" s="89"/>
      <c r="L40" s="89"/>
      <c r="M40" s="89"/>
      <c r="N40" s="89"/>
      <c r="O40" s="89"/>
      <c r="P40" s="91"/>
      <c r="Q40" s="26"/>
      <c r="R40" s="1108">
        <v>269799</v>
      </c>
      <c r="S40" s="1108">
        <v>42369</v>
      </c>
      <c r="T40" s="53">
        <f>+SUM(R40:S40)/2</f>
        <v>156084</v>
      </c>
      <c r="U40" s="120"/>
    </row>
    <row r="41" spans="1:21" ht="16.5" thickBot="1">
      <c r="A41" s="141"/>
      <c r="B41" s="146"/>
      <c r="C41" s="125"/>
      <c r="D41" s="129"/>
      <c r="E41" s="126"/>
      <c r="F41" s="126"/>
      <c r="G41" s="31"/>
      <c r="H41" s="31"/>
      <c r="I41" s="31"/>
      <c r="J41" s="142"/>
      <c r="K41" s="142"/>
      <c r="L41" s="142"/>
      <c r="M41" s="142"/>
      <c r="N41" s="142"/>
      <c r="O41" s="142"/>
      <c r="P41" s="142"/>
      <c r="Q41" s="31"/>
      <c r="R41" s="31"/>
      <c r="S41" s="31"/>
      <c r="T41" s="142"/>
      <c r="U41" s="145"/>
    </row>
    <row r="42" spans="1:21" ht="15.75">
      <c r="A42" s="95"/>
      <c r="B42" s="95"/>
      <c r="C42" s="123"/>
      <c r="D42" s="131"/>
      <c r="E42" s="117"/>
      <c r="F42" s="117"/>
      <c r="G42" s="26"/>
      <c r="H42" s="26"/>
      <c r="I42" s="26"/>
      <c r="J42" s="89"/>
      <c r="K42" s="89"/>
      <c r="L42" s="89"/>
      <c r="M42" s="89"/>
      <c r="N42" s="89"/>
      <c r="O42" s="89"/>
      <c r="P42" s="89"/>
      <c r="Q42" s="89"/>
      <c r="R42" s="89"/>
      <c r="S42" s="89"/>
      <c r="T42" s="89"/>
      <c r="U42" s="89"/>
    </row>
    <row r="43" spans="1:21" ht="15.75">
      <c r="A43" s="95"/>
      <c r="B43" s="95"/>
      <c r="C43" s="123"/>
      <c r="D43" s="131"/>
      <c r="E43" s="117"/>
      <c r="F43" s="117"/>
      <c r="G43" s="26"/>
      <c r="H43" s="26"/>
      <c r="I43" s="26"/>
      <c r="J43" s="89"/>
      <c r="K43" s="89"/>
      <c r="L43" s="89"/>
      <c r="M43" s="89"/>
      <c r="N43" s="89"/>
      <c r="O43" s="89"/>
      <c r="P43" s="89"/>
      <c r="Q43" s="89"/>
      <c r="R43" s="89"/>
      <c r="S43" s="89"/>
      <c r="T43" s="89"/>
      <c r="U43" s="89"/>
    </row>
    <row r="44" spans="1:21" ht="16.5" thickBot="1">
      <c r="A44" s="98" t="s">
        <v>51</v>
      </c>
      <c r="B44" s="529"/>
      <c r="C44" s="529"/>
      <c r="D44" s="529"/>
      <c r="E44" s="529"/>
      <c r="G44" s="529"/>
      <c r="H44" s="529"/>
      <c r="I44" s="529"/>
      <c r="J44" s="529"/>
      <c r="K44" s="529"/>
      <c r="L44" s="529"/>
      <c r="M44" s="529"/>
      <c r="N44" s="529"/>
      <c r="O44" s="529"/>
      <c r="P44" s="529"/>
      <c r="Q44" s="529"/>
      <c r="R44" s="529"/>
      <c r="S44" s="529"/>
      <c r="T44" s="529"/>
      <c r="U44" s="529"/>
    </row>
    <row r="45" spans="1:21" ht="32.25" thickBot="1">
      <c r="A45" s="102" t="s">
        <v>503</v>
      </c>
      <c r="B45" s="103" t="s">
        <v>504</v>
      </c>
      <c r="C45" s="103"/>
      <c r="D45" s="103"/>
      <c r="E45" s="167" t="s">
        <v>505</v>
      </c>
      <c r="F45" s="1082" t="s">
        <v>506</v>
      </c>
      <c r="G45" s="104" t="s">
        <v>507</v>
      </c>
      <c r="H45" s="166" t="s">
        <v>508</v>
      </c>
      <c r="I45" s="166" t="s">
        <v>509</v>
      </c>
      <c r="J45" s="166" t="s">
        <v>510</v>
      </c>
      <c r="K45" s="166" t="s">
        <v>511</v>
      </c>
      <c r="L45" s="166" t="s">
        <v>379</v>
      </c>
      <c r="M45" s="166" t="s">
        <v>512</v>
      </c>
      <c r="N45" s="166" t="s">
        <v>513</v>
      </c>
      <c r="O45" s="166" t="s">
        <v>514</v>
      </c>
      <c r="P45" s="166" t="s">
        <v>515</v>
      </c>
      <c r="Q45" s="166" t="s">
        <v>516</v>
      </c>
      <c r="R45" s="166" t="s">
        <v>517</v>
      </c>
      <c r="S45" s="104" t="s">
        <v>518</v>
      </c>
      <c r="T45" s="1084" t="s">
        <v>519</v>
      </c>
      <c r="U45" s="1083"/>
    </row>
    <row r="46" spans="1:21" s="87" customFormat="1" ht="15.75">
      <c r="A46" s="148"/>
      <c r="B46" s="149"/>
      <c r="C46" s="150"/>
      <c r="D46" s="151"/>
      <c r="E46" s="152"/>
      <c r="F46" s="152"/>
      <c r="G46" s="151"/>
      <c r="H46" s="151"/>
      <c r="I46" s="151"/>
      <c r="J46" s="151"/>
      <c r="K46" s="151"/>
      <c r="L46" s="151"/>
      <c r="M46" s="153"/>
      <c r="N46" s="153"/>
      <c r="O46" s="151"/>
      <c r="P46" s="154"/>
      <c r="Q46" s="155"/>
      <c r="R46" s="154"/>
      <c r="S46" s="155"/>
      <c r="T46" s="151"/>
      <c r="U46" s="156"/>
    </row>
    <row r="47" spans="1:21" s="87" customFormat="1">
      <c r="A47" s="116">
        <f>+A40+1</f>
        <v>18</v>
      </c>
      <c r="B47" s="95"/>
      <c r="C47" s="91" t="s">
        <v>552</v>
      </c>
      <c r="D47" s="26"/>
      <c r="E47" s="117" t="s">
        <v>553</v>
      </c>
      <c r="F47" s="187">
        <v>165</v>
      </c>
      <c r="G47" s="1108">
        <v>41129381</v>
      </c>
      <c r="H47" s="1108">
        <v>44187844</v>
      </c>
      <c r="I47" s="1108">
        <v>46699396</v>
      </c>
      <c r="J47" s="1108">
        <v>44225053</v>
      </c>
      <c r="K47" s="1108">
        <v>45668095</v>
      </c>
      <c r="L47" s="1108">
        <v>50599482</v>
      </c>
      <c r="M47" s="1108">
        <v>43351222</v>
      </c>
      <c r="N47" s="1108">
        <v>43351222</v>
      </c>
      <c r="O47" s="1108">
        <v>38619777</v>
      </c>
      <c r="P47" s="1108">
        <v>35152461</v>
      </c>
      <c r="Q47" s="1108">
        <v>35886234</v>
      </c>
      <c r="R47" s="1108">
        <v>35898825</v>
      </c>
      <c r="S47" s="1108">
        <v>36713274</v>
      </c>
      <c r="T47" s="551">
        <f>+AVERAGE(G47:S47)</f>
        <v>41652482</v>
      </c>
      <c r="U47" s="157"/>
    </row>
    <row r="48" spans="1:21" s="87" customFormat="1">
      <c r="A48" s="116">
        <f>+A47+1</f>
        <v>19</v>
      </c>
      <c r="B48" s="95"/>
      <c r="C48" s="91" t="s">
        <v>554</v>
      </c>
      <c r="D48" s="91"/>
      <c r="E48" s="117" t="s">
        <v>553</v>
      </c>
      <c r="F48" s="187">
        <v>165</v>
      </c>
      <c r="G48" s="1111">
        <v>83457.049999999988</v>
      </c>
      <c r="H48" s="1112">
        <v>83468.63</v>
      </c>
      <c r="I48" s="1112">
        <v>86558.150000000023</v>
      </c>
      <c r="J48" s="1112">
        <v>88651.510000000009</v>
      </c>
      <c r="K48" s="1112">
        <v>139202.87</v>
      </c>
      <c r="L48" s="1112">
        <v>140339.85999999999</v>
      </c>
      <c r="M48" s="1113">
        <v>206793.31000000006</v>
      </c>
      <c r="N48" s="1113">
        <v>241388.09999999998</v>
      </c>
      <c r="O48" s="1112">
        <v>260637.90000000002</v>
      </c>
      <c r="P48" s="1112">
        <v>337725.29000000004</v>
      </c>
      <c r="Q48" s="1112">
        <v>500999.94999999995</v>
      </c>
      <c r="R48" s="1112">
        <v>542699.09000000008</v>
      </c>
      <c r="S48" s="1112">
        <v>645450.1100000001</v>
      </c>
      <c r="T48" s="551">
        <f t="shared" ref="T48:T50" si="5">+AVERAGE(G48:S48)</f>
        <v>258259.37076923079</v>
      </c>
      <c r="U48" s="157"/>
    </row>
    <row r="49" spans="1:21" s="87" customFormat="1">
      <c r="A49" s="116">
        <f>+A48+1</f>
        <v>20</v>
      </c>
      <c r="B49" s="95"/>
      <c r="C49" s="91" t="s">
        <v>555</v>
      </c>
      <c r="D49" s="91"/>
      <c r="E49" s="117" t="s">
        <v>553</v>
      </c>
      <c r="F49" s="187">
        <v>165</v>
      </c>
      <c r="G49" s="1111">
        <v>33584646</v>
      </c>
      <c r="H49" s="1112">
        <v>33584646</v>
      </c>
      <c r="I49" s="1112">
        <v>33584646</v>
      </c>
      <c r="J49" s="1112">
        <v>37577015</v>
      </c>
      <c r="K49" s="1112">
        <v>37606952</v>
      </c>
      <c r="L49" s="1112">
        <v>38382389</v>
      </c>
      <c r="M49" s="1113">
        <v>37767603</v>
      </c>
      <c r="N49" s="1113">
        <v>37767603</v>
      </c>
      <c r="O49" s="1112">
        <v>31295856</v>
      </c>
      <c r="P49" s="1112">
        <v>29573421</v>
      </c>
      <c r="Q49" s="1112">
        <v>31113108</v>
      </c>
      <c r="R49" s="1112">
        <v>31454462</v>
      </c>
      <c r="S49" s="1112">
        <v>29325561</v>
      </c>
      <c r="T49" s="551">
        <f t="shared" si="5"/>
        <v>34047531.384615384</v>
      </c>
      <c r="U49" s="157"/>
    </row>
    <row r="50" spans="1:21" s="87" customFormat="1">
      <c r="A50" s="116">
        <f>+A49+1</f>
        <v>21</v>
      </c>
      <c r="B50" s="95"/>
      <c r="C50" s="91" t="s">
        <v>556</v>
      </c>
      <c r="D50" s="91"/>
      <c r="E50" s="117" t="s">
        <v>553</v>
      </c>
      <c r="F50" s="187">
        <v>165</v>
      </c>
      <c r="G50" s="1114">
        <v>0</v>
      </c>
      <c r="H50" s="1115">
        <v>0</v>
      </c>
      <c r="I50" s="1115">
        <v>0</v>
      </c>
      <c r="J50" s="1115">
        <v>0</v>
      </c>
      <c r="K50" s="1115">
        <v>0</v>
      </c>
      <c r="L50" s="1115">
        <v>0</v>
      </c>
      <c r="M50" s="1116">
        <v>0</v>
      </c>
      <c r="N50" s="1116">
        <v>0</v>
      </c>
      <c r="O50" s="1108">
        <v>0</v>
      </c>
      <c r="P50" s="1108">
        <v>0</v>
      </c>
      <c r="Q50" s="1108">
        <v>0</v>
      </c>
      <c r="R50" s="1108">
        <v>0</v>
      </c>
      <c r="S50" s="1108">
        <v>0</v>
      </c>
      <c r="T50" s="551">
        <f t="shared" si="5"/>
        <v>0</v>
      </c>
      <c r="U50" s="157"/>
    </row>
    <row r="51" spans="1:21" s="87" customFormat="1">
      <c r="A51" s="116">
        <f>+A50+1</f>
        <v>22</v>
      </c>
      <c r="B51" s="95"/>
      <c r="C51" s="91" t="s">
        <v>557</v>
      </c>
      <c r="D51" s="91"/>
      <c r="E51" s="117"/>
      <c r="F51" s="187"/>
      <c r="G51" s="133"/>
      <c r="H51" s="91"/>
      <c r="I51" s="91"/>
      <c r="J51" s="91"/>
      <c r="K51" s="91"/>
      <c r="L51" s="91"/>
      <c r="M51" s="50"/>
      <c r="N51" s="50"/>
      <c r="O51" s="551"/>
      <c r="P51" s="551"/>
      <c r="Q51" s="551"/>
      <c r="R51" s="551"/>
      <c r="S51" s="551"/>
      <c r="T51" s="53">
        <f>+T47+T48-T49-T50</f>
        <v>7863209.9861538485</v>
      </c>
      <c r="U51" s="157"/>
    </row>
    <row r="52" spans="1:21" s="87" customFormat="1" ht="15.75" thickBot="1">
      <c r="A52" s="141"/>
      <c r="B52" s="146"/>
      <c r="C52" s="146"/>
      <c r="D52" s="146"/>
      <c r="E52" s="146"/>
      <c r="F52" s="146"/>
      <c r="G52" s="146"/>
      <c r="H52" s="146"/>
      <c r="I52" s="146"/>
      <c r="J52" s="146"/>
      <c r="K52" s="146"/>
      <c r="L52" s="146"/>
      <c r="M52" s="146"/>
      <c r="N52" s="146"/>
      <c r="O52" s="146"/>
      <c r="P52" s="146"/>
      <c r="Q52" s="146"/>
      <c r="R52" s="146" t="s">
        <v>145</v>
      </c>
      <c r="S52" s="127"/>
      <c r="T52" s="127"/>
      <c r="U52" s="130"/>
    </row>
    <row r="53" spans="1:21" s="87" customFormat="1">
      <c r="A53" s="95"/>
      <c r="B53" s="95"/>
      <c r="C53" s="95"/>
      <c r="D53" s="95"/>
      <c r="E53" s="95"/>
      <c r="F53" s="95"/>
      <c r="G53" s="95"/>
      <c r="H53" s="95"/>
      <c r="I53" s="95"/>
      <c r="J53" s="95"/>
      <c r="K53" s="95"/>
      <c r="L53" s="95"/>
      <c r="M53" s="95"/>
      <c r="N53" s="95"/>
      <c r="O53" s="95"/>
      <c r="P53" s="95"/>
      <c r="Q53" s="95"/>
      <c r="R53" s="95"/>
      <c r="S53" s="91"/>
      <c r="T53" s="91"/>
      <c r="U53" s="91"/>
    </row>
    <row r="54" spans="1:21">
      <c r="A54" s="95"/>
      <c r="B54" s="89"/>
      <c r="C54" s="132"/>
      <c r="D54" s="89"/>
      <c r="E54" s="134"/>
      <c r="F54" s="134"/>
      <c r="G54" s="26"/>
      <c r="H54" s="26"/>
      <c r="I54" s="26"/>
      <c r="J54" s="26"/>
      <c r="K54" s="26"/>
      <c r="L54" s="26"/>
      <c r="M54" s="26"/>
      <c r="N54" s="26"/>
      <c r="O54" s="26"/>
      <c r="P54" s="26"/>
      <c r="Q54" s="26"/>
      <c r="R54" s="26"/>
      <c r="S54" s="26"/>
      <c r="T54" s="26"/>
      <c r="U54" s="89"/>
    </row>
    <row r="55" spans="1:21" ht="16.5" thickBot="1">
      <c r="A55" s="98" t="s">
        <v>54</v>
      </c>
      <c r="B55" s="89"/>
      <c r="C55" s="89"/>
      <c r="D55" s="89"/>
      <c r="E55" s="89"/>
      <c r="F55" s="89"/>
      <c r="G55" s="135"/>
      <c r="H55" s="1192"/>
      <c r="I55" s="1192"/>
      <c r="J55" s="1192"/>
      <c r="K55" s="1192"/>
      <c r="L55" s="1192"/>
      <c r="M55" s="1192"/>
      <c r="N55" s="1192"/>
      <c r="O55" s="1192"/>
      <c r="P55" s="1192"/>
      <c r="Q55" s="1192"/>
      <c r="R55" s="1192"/>
      <c r="S55" s="1192"/>
      <c r="T55" s="89"/>
      <c r="U55" s="89"/>
    </row>
    <row r="56" spans="1:21" ht="32.25" thickBot="1">
      <c r="A56" s="102" t="s">
        <v>503</v>
      </c>
      <c r="B56" s="103" t="s">
        <v>504</v>
      </c>
      <c r="C56" s="103"/>
      <c r="D56" s="103"/>
      <c r="E56" s="105" t="s">
        <v>505</v>
      </c>
      <c r="F56" s="1082" t="s">
        <v>506</v>
      </c>
      <c r="G56" s="104" t="s">
        <v>507</v>
      </c>
      <c r="H56" s="104" t="s">
        <v>508</v>
      </c>
      <c r="I56" s="104" t="s">
        <v>509</v>
      </c>
      <c r="J56" s="104" t="s">
        <v>510</v>
      </c>
      <c r="K56" s="104" t="s">
        <v>511</v>
      </c>
      <c r="L56" s="104" t="s">
        <v>379</v>
      </c>
      <c r="M56" s="104" t="s">
        <v>512</v>
      </c>
      <c r="N56" s="104" t="s">
        <v>513</v>
      </c>
      <c r="O56" s="104" t="s">
        <v>514</v>
      </c>
      <c r="P56" s="104" t="s">
        <v>515</v>
      </c>
      <c r="Q56" s="104" t="s">
        <v>516</v>
      </c>
      <c r="R56" s="104" t="s">
        <v>517</v>
      </c>
      <c r="S56" s="104" t="s">
        <v>518</v>
      </c>
      <c r="T56" s="1082" t="s">
        <v>519</v>
      </c>
      <c r="U56" s="1083"/>
    </row>
    <row r="57" spans="1:21" s="87" customFormat="1">
      <c r="A57" s="116"/>
      <c r="B57" s="91"/>
      <c r="C57" s="114"/>
      <c r="D57" s="91"/>
      <c r="E57" s="121"/>
      <c r="F57" s="121"/>
      <c r="G57" s="91"/>
      <c r="H57" s="91"/>
      <c r="I57" s="91"/>
      <c r="J57" s="91"/>
      <c r="K57" s="91"/>
      <c r="L57" s="91"/>
      <c r="M57" s="91"/>
      <c r="N57" s="91"/>
      <c r="O57" s="91"/>
      <c r="P57" s="91"/>
      <c r="Q57" s="91"/>
      <c r="R57" s="26"/>
      <c r="S57" s="20"/>
      <c r="T57" s="20"/>
      <c r="U57" s="140"/>
    </row>
    <row r="58" spans="1:21" s="87" customFormat="1">
      <c r="A58" s="116"/>
      <c r="B58" s="91"/>
      <c r="C58" s="114"/>
      <c r="D58" s="91"/>
      <c r="E58" s="121"/>
      <c r="F58" s="121"/>
      <c r="G58" s="91"/>
      <c r="H58" s="91"/>
      <c r="I58" s="91"/>
      <c r="J58" s="91"/>
      <c r="K58" s="91"/>
      <c r="L58" s="91"/>
      <c r="M58" s="91"/>
      <c r="N58" s="91"/>
      <c r="O58" s="91"/>
      <c r="P58" s="91"/>
      <c r="Q58" s="91"/>
      <c r="R58" s="26"/>
      <c r="S58" s="20"/>
      <c r="T58" s="20"/>
      <c r="U58" s="140"/>
    </row>
    <row r="59" spans="1:21">
      <c r="A59" s="122">
        <f>+A51+1</f>
        <v>23</v>
      </c>
      <c r="B59" s="91"/>
      <c r="C59" s="114" t="s">
        <v>558</v>
      </c>
      <c r="D59" s="131"/>
      <c r="E59" s="131" t="s">
        <v>559</v>
      </c>
      <c r="F59" s="727">
        <v>163</v>
      </c>
      <c r="G59" s="1111">
        <v>-315589</v>
      </c>
      <c r="H59" s="1111">
        <v>-525450</v>
      </c>
      <c r="I59" s="1111">
        <v>-586160</v>
      </c>
      <c r="J59" s="1111">
        <v>-694631</v>
      </c>
      <c r="K59" s="1111">
        <v>-628044</v>
      </c>
      <c r="L59" s="1111">
        <v>-572034</v>
      </c>
      <c r="M59" s="1111">
        <v>-484533</v>
      </c>
      <c r="N59" s="1111">
        <v>-275900</v>
      </c>
      <c r="O59" s="1111">
        <v>95133</v>
      </c>
      <c r="P59" s="1111">
        <v>66116</v>
      </c>
      <c r="Q59" s="1111">
        <v>229193</v>
      </c>
      <c r="R59" s="1111">
        <v>371021</v>
      </c>
      <c r="S59" s="1111">
        <v>564393</v>
      </c>
      <c r="T59" s="551">
        <f>AVERAGE(G59:S59)</f>
        <v>-212037.30769230769</v>
      </c>
      <c r="U59" s="120"/>
    </row>
    <row r="60" spans="1:21">
      <c r="A60" s="122">
        <f>+A59+1</f>
        <v>24</v>
      </c>
      <c r="B60" s="91"/>
      <c r="C60" s="114" t="s">
        <v>560</v>
      </c>
      <c r="D60" s="131"/>
      <c r="E60" s="131" t="s">
        <v>561</v>
      </c>
      <c r="F60" s="727">
        <v>154</v>
      </c>
      <c r="G60" s="1117">
        <v>255582</v>
      </c>
      <c r="H60" s="1117">
        <v>153243</v>
      </c>
      <c r="I60" s="1117">
        <v>144481</v>
      </c>
      <c r="J60" s="1117">
        <v>138173</v>
      </c>
      <c r="K60" s="1117">
        <v>145742</v>
      </c>
      <c r="L60" s="1117">
        <v>142952</v>
      </c>
      <c r="M60" s="1117">
        <v>137871</v>
      </c>
      <c r="N60" s="1117">
        <v>132976</v>
      </c>
      <c r="O60" s="1117">
        <v>126599</v>
      </c>
      <c r="P60" s="1117">
        <v>124502</v>
      </c>
      <c r="Q60" s="1117">
        <v>125283</v>
      </c>
      <c r="R60" s="1117">
        <v>127380</v>
      </c>
      <c r="S60" s="1117">
        <v>134430</v>
      </c>
      <c r="T60" s="551">
        <f t="shared" ref="T60:T61" si="6">AVERAGE(G60:S60)</f>
        <v>145324.15384615384</v>
      </c>
      <c r="U60" s="120"/>
    </row>
    <row r="61" spans="1:21" s="529" customFormat="1">
      <c r="A61" s="122">
        <f>+A60+1</f>
        <v>25</v>
      </c>
      <c r="B61" s="91"/>
      <c r="C61" s="114" t="s">
        <v>57</v>
      </c>
      <c r="D61" s="131"/>
      <c r="E61" s="131" t="s">
        <v>562</v>
      </c>
      <c r="F61" s="727">
        <v>154</v>
      </c>
      <c r="G61" s="1118">
        <v>687537</v>
      </c>
      <c r="H61" s="1118">
        <v>706774</v>
      </c>
      <c r="I61" s="1118">
        <v>666360</v>
      </c>
      <c r="J61" s="1118">
        <v>637269</v>
      </c>
      <c r="K61" s="1118">
        <v>672179</v>
      </c>
      <c r="L61" s="1118">
        <v>659310</v>
      </c>
      <c r="M61" s="1118">
        <v>635875</v>
      </c>
      <c r="N61" s="1118">
        <v>613298</v>
      </c>
      <c r="O61" s="1119">
        <v>583889</v>
      </c>
      <c r="P61" s="1119">
        <v>574218</v>
      </c>
      <c r="Q61" s="1119">
        <v>577819</v>
      </c>
      <c r="R61" s="1119">
        <v>587490</v>
      </c>
      <c r="S61" s="1119">
        <v>620004</v>
      </c>
      <c r="T61" s="551">
        <f t="shared" si="6"/>
        <v>632463.23076923075</v>
      </c>
      <c r="U61" s="120"/>
    </row>
    <row r="62" spans="1:21" ht="16.5" thickBot="1">
      <c r="A62" s="141"/>
      <c r="B62" s="146"/>
      <c r="C62" s="125"/>
      <c r="D62" s="146"/>
      <c r="E62" s="126"/>
      <c r="F62" s="126"/>
      <c r="G62" s="142"/>
      <c r="H62" s="142"/>
      <c r="I62" s="163"/>
      <c r="J62" s="126"/>
      <c r="K62" s="126"/>
      <c r="L62" s="126"/>
      <c r="M62" s="126"/>
      <c r="N62" s="126"/>
      <c r="O62" s="126"/>
      <c r="P62" s="126"/>
      <c r="Q62" s="126"/>
      <c r="R62" s="126"/>
      <c r="S62" s="142"/>
      <c r="T62" s="1190"/>
      <c r="U62" s="1191"/>
    </row>
    <row r="63" spans="1:21" s="89" customFormat="1" ht="15.75">
      <c r="A63" s="95"/>
      <c r="B63" s="113"/>
      <c r="C63" s="117"/>
      <c r="D63" s="131"/>
      <c r="E63" s="94"/>
      <c r="F63" s="94"/>
      <c r="G63" s="26"/>
      <c r="H63" s="26"/>
      <c r="I63" s="26"/>
      <c r="J63" s="26"/>
      <c r="K63" s="26"/>
      <c r="L63" s="26"/>
      <c r="M63" s="26"/>
      <c r="N63" s="26"/>
      <c r="O63" s="26"/>
      <c r="P63" s="26"/>
      <c r="Q63" s="26"/>
      <c r="R63" s="26"/>
      <c r="S63" s="26"/>
      <c r="T63" s="46"/>
      <c r="U63" s="160"/>
    </row>
    <row r="64" spans="1:21" s="89" customFormat="1" ht="15.75">
      <c r="A64" s="95"/>
      <c r="B64" s="113"/>
      <c r="C64" s="117"/>
      <c r="D64" s="131"/>
      <c r="E64" s="94"/>
      <c r="F64" s="94"/>
      <c r="G64" s="26"/>
      <c r="H64" s="26"/>
      <c r="I64" s="26"/>
      <c r="J64" s="26"/>
      <c r="K64" s="26"/>
      <c r="L64" s="26"/>
      <c r="M64" s="26"/>
      <c r="N64" s="26"/>
      <c r="O64" s="26"/>
      <c r="P64" s="26"/>
      <c r="Q64" s="26"/>
      <c r="R64" s="26"/>
      <c r="S64" s="26"/>
      <c r="T64" s="46"/>
      <c r="U64" s="160"/>
    </row>
    <row r="65" spans="1:21" ht="16.5" thickBot="1">
      <c r="A65" s="98" t="s">
        <v>563</v>
      </c>
      <c r="B65" s="89"/>
      <c r="C65" s="89"/>
      <c r="D65" s="89"/>
      <c r="E65" s="89"/>
      <c r="F65" s="89"/>
      <c r="G65" s="135"/>
      <c r="H65" s="529"/>
      <c r="I65" s="529"/>
      <c r="J65" s="529"/>
      <c r="K65" s="529"/>
      <c r="L65" s="529"/>
      <c r="M65" s="529"/>
      <c r="N65" s="529"/>
      <c r="O65" s="529"/>
      <c r="P65" s="529"/>
      <c r="Q65" s="529"/>
      <c r="R65" s="529"/>
      <c r="S65" s="529"/>
      <c r="T65" s="529"/>
      <c r="U65" s="529"/>
    </row>
    <row r="66" spans="1:21" ht="32.25" thickBot="1">
      <c r="A66" s="102" t="s">
        <v>503</v>
      </c>
      <c r="B66" s="103" t="s">
        <v>504</v>
      </c>
      <c r="C66" s="103"/>
      <c r="D66" s="103"/>
      <c r="E66" s="105" t="s">
        <v>505</v>
      </c>
      <c r="F66" s="1082" t="s">
        <v>506</v>
      </c>
      <c r="G66" s="136"/>
      <c r="H66" s="136"/>
      <c r="I66" s="136"/>
      <c r="J66" s="136"/>
      <c r="K66" s="136"/>
      <c r="L66" s="136"/>
      <c r="M66" s="136"/>
      <c r="N66" s="136"/>
      <c r="O66" s="136"/>
      <c r="P66" s="136"/>
      <c r="Q66" s="136"/>
      <c r="R66" s="136"/>
      <c r="S66" s="104" t="s">
        <v>541</v>
      </c>
      <c r="T66" s="920"/>
      <c r="U66" s="137"/>
    </row>
    <row r="67" spans="1:21">
      <c r="A67" s="116">
        <f>+A61+1</f>
        <v>26</v>
      </c>
      <c r="B67" s="89"/>
      <c r="C67" s="132" t="s">
        <v>79</v>
      </c>
      <c r="D67" s="89"/>
      <c r="E67" s="197" t="s">
        <v>564</v>
      </c>
      <c r="F67" s="728" t="s">
        <v>565</v>
      </c>
      <c r="G67" s="133"/>
      <c r="H67" s="89"/>
      <c r="I67" s="89"/>
      <c r="J67" s="89"/>
      <c r="K67" s="89"/>
      <c r="L67" s="89"/>
      <c r="M67" s="89"/>
      <c r="N67" s="89"/>
      <c r="O67" s="89"/>
      <c r="P67" s="89"/>
      <c r="Q67" s="89"/>
      <c r="R67" s="89"/>
      <c r="S67" s="1108">
        <v>72440822.300697654</v>
      </c>
      <c r="T67" s="529"/>
      <c r="U67" s="120"/>
    </row>
    <row r="68" spans="1:21">
      <c r="A68" s="116">
        <f>+A67+1</f>
        <v>27</v>
      </c>
      <c r="B68" s="89"/>
      <c r="C68" s="132" t="s">
        <v>566</v>
      </c>
      <c r="D68" s="89"/>
      <c r="E68" s="134" t="s">
        <v>567</v>
      </c>
      <c r="F68" s="190">
        <v>565</v>
      </c>
      <c r="G68" s="133" t="s">
        <v>544</v>
      </c>
      <c r="H68" s="91"/>
      <c r="I68" s="91"/>
      <c r="J68" s="89"/>
      <c r="K68" s="89"/>
      <c r="L68" s="89"/>
      <c r="M68" s="89"/>
      <c r="N68" s="89"/>
      <c r="O68" s="89"/>
      <c r="P68" s="89"/>
      <c r="Q68" s="89"/>
      <c r="R68" s="89"/>
      <c r="S68" s="1108">
        <v>57500619.949120447</v>
      </c>
      <c r="T68" s="529"/>
      <c r="U68" s="120"/>
    </row>
    <row r="69" spans="1:21" s="529" customFormat="1">
      <c r="A69" s="116">
        <f>+A68+1</f>
        <v>28</v>
      </c>
      <c r="B69" s="89"/>
      <c r="C69" s="132" t="s">
        <v>568</v>
      </c>
      <c r="D69" s="89"/>
      <c r="E69" s="134" t="s">
        <v>569</v>
      </c>
      <c r="F69" s="190">
        <v>561.4</v>
      </c>
      <c r="G69" s="133" t="s">
        <v>544</v>
      </c>
      <c r="H69" s="91"/>
      <c r="I69" s="91"/>
      <c r="J69" s="89"/>
      <c r="K69" s="89"/>
      <c r="L69" s="89"/>
      <c r="M69" s="89"/>
      <c r="N69" s="89"/>
      <c r="O69" s="89"/>
      <c r="P69" s="89"/>
      <c r="Q69" s="89"/>
      <c r="R69" s="89"/>
      <c r="S69" s="1108">
        <v>7427098.0447853049</v>
      </c>
      <c r="U69" s="120"/>
    </row>
    <row r="70" spans="1:21" s="529" customFormat="1">
      <c r="A70" s="116">
        <f>+A69+1</f>
        <v>29</v>
      </c>
      <c r="B70" s="89"/>
      <c r="C70" s="132" t="s">
        <v>570</v>
      </c>
      <c r="D70" s="89"/>
      <c r="E70" s="134"/>
      <c r="F70" s="190"/>
      <c r="G70" s="89"/>
      <c r="H70" s="89"/>
      <c r="I70" s="89"/>
      <c r="J70" s="89"/>
      <c r="K70" s="89"/>
      <c r="L70" s="89"/>
      <c r="M70" s="89"/>
      <c r="N70" s="89"/>
      <c r="O70" s="89"/>
      <c r="P70" s="89"/>
      <c r="Q70" s="89"/>
      <c r="R70" s="89"/>
      <c r="S70" s="551">
        <f>SUM(S68:S69)</f>
        <v>64927717.993905753</v>
      </c>
      <c r="U70" s="120"/>
    </row>
    <row r="71" spans="1:21" ht="15.75" thickBot="1">
      <c r="A71" s="141"/>
      <c r="B71" s="142"/>
      <c r="C71" s="143"/>
      <c r="D71" s="142"/>
      <c r="E71" s="144"/>
      <c r="F71" s="144"/>
      <c r="G71" s="31"/>
      <c r="H71" s="31"/>
      <c r="I71" s="31"/>
      <c r="J71" s="31"/>
      <c r="K71" s="31"/>
      <c r="L71" s="31"/>
      <c r="M71" s="31"/>
      <c r="N71" s="31"/>
      <c r="O71" s="31"/>
      <c r="P71" s="31"/>
      <c r="Q71" s="31"/>
      <c r="R71" s="31"/>
      <c r="S71" s="31"/>
      <c r="T71" s="31"/>
      <c r="U71" s="145"/>
    </row>
    <row r="72" spans="1:21">
      <c r="A72" s="95"/>
      <c r="B72" s="89"/>
      <c r="C72" s="132"/>
      <c r="D72" s="89"/>
      <c r="E72" s="134"/>
      <c r="F72" s="134"/>
      <c r="G72" s="26"/>
      <c r="H72" s="26"/>
      <c r="I72" s="26"/>
      <c r="J72" s="26"/>
      <c r="K72" s="26"/>
      <c r="L72" s="26"/>
      <c r="M72" s="26"/>
      <c r="N72" s="26"/>
      <c r="O72" s="26"/>
      <c r="P72" s="26"/>
      <c r="Q72" s="26"/>
      <c r="R72" s="26"/>
      <c r="S72" s="26"/>
      <c r="T72" s="26"/>
      <c r="U72" s="89"/>
    </row>
    <row r="73" spans="1:21">
      <c r="A73" s="95"/>
      <c r="B73" s="89"/>
      <c r="C73" s="132"/>
      <c r="D73" s="89"/>
      <c r="E73" s="134"/>
      <c r="F73" s="134"/>
      <c r="G73" s="26"/>
      <c r="H73" s="26"/>
      <c r="I73" s="26"/>
      <c r="J73" s="26"/>
      <c r="K73" s="26"/>
      <c r="L73" s="26"/>
      <c r="M73" s="26"/>
      <c r="N73" s="26"/>
      <c r="O73" s="26"/>
      <c r="P73" s="26"/>
      <c r="Q73" s="26"/>
      <c r="R73" s="26"/>
      <c r="S73" s="26"/>
      <c r="T73" s="26"/>
      <c r="U73" s="89"/>
    </row>
    <row r="74" spans="1:21" s="89" customFormat="1" ht="16.5" thickBot="1">
      <c r="A74" s="98" t="s">
        <v>571</v>
      </c>
      <c r="G74" s="135"/>
      <c r="H74" s="26"/>
      <c r="I74" s="26"/>
      <c r="J74" s="26"/>
      <c r="K74" s="26"/>
      <c r="L74" s="26"/>
      <c r="M74" s="26"/>
      <c r="N74" s="26"/>
      <c r="O74" s="26"/>
      <c r="P74" s="26"/>
      <c r="Q74" s="26"/>
      <c r="R74" s="26"/>
      <c r="S74" s="26"/>
      <c r="T74" s="46"/>
      <c r="U74" s="160"/>
    </row>
    <row r="75" spans="1:21" s="89" customFormat="1" ht="32.25" thickBot="1">
      <c r="A75" s="102" t="s">
        <v>503</v>
      </c>
      <c r="B75" s="103" t="s">
        <v>504</v>
      </c>
      <c r="C75" s="103"/>
      <c r="D75" s="103"/>
      <c r="E75" s="105" t="s">
        <v>505</v>
      </c>
      <c r="F75" s="1082" t="s">
        <v>506</v>
      </c>
      <c r="G75" s="136"/>
      <c r="H75" s="51"/>
      <c r="I75" s="51"/>
      <c r="J75" s="51"/>
      <c r="K75" s="51"/>
      <c r="L75" s="51"/>
      <c r="M75" s="51"/>
      <c r="N75" s="51"/>
      <c r="O75" s="51"/>
      <c r="P75" s="51"/>
      <c r="Q75" s="51"/>
      <c r="R75" s="51"/>
      <c r="S75" s="104" t="s">
        <v>541</v>
      </c>
      <c r="T75" s="920"/>
      <c r="U75" s="1083"/>
    </row>
    <row r="76" spans="1:21" s="89" customFormat="1">
      <c r="A76" s="112"/>
      <c r="C76" s="124"/>
      <c r="D76" s="100"/>
      <c r="E76" s="100"/>
      <c r="F76" s="100"/>
      <c r="H76" s="26"/>
      <c r="I76" s="26"/>
      <c r="J76" s="26"/>
      <c r="K76" s="26"/>
      <c r="L76" s="26"/>
      <c r="M76" s="26"/>
      <c r="N76" s="26"/>
      <c r="O76" s="26"/>
      <c r="P76" s="26"/>
      <c r="Q76" s="26"/>
      <c r="R76" s="26"/>
      <c r="S76" s="131"/>
      <c r="U76" s="168"/>
    </row>
    <row r="77" spans="1:21" s="89" customFormat="1" ht="15.75">
      <c r="A77" s="112">
        <f>+A70+1</f>
        <v>30</v>
      </c>
      <c r="B77" s="169"/>
      <c r="C77" s="124" t="s">
        <v>572</v>
      </c>
      <c r="D77" s="100"/>
      <c r="E77" s="100" t="s">
        <v>573</v>
      </c>
      <c r="F77" s="729">
        <v>924</v>
      </c>
      <c r="G77" s="133" t="s">
        <v>544</v>
      </c>
      <c r="H77" s="26"/>
      <c r="I77" s="26"/>
      <c r="J77" s="26"/>
      <c r="K77" s="26"/>
      <c r="L77" s="26"/>
      <c r="M77" s="26"/>
      <c r="N77" s="26"/>
      <c r="O77" s="26"/>
      <c r="P77" s="26"/>
      <c r="Q77" s="26"/>
      <c r="R77" s="26"/>
      <c r="S77" s="1108">
        <v>4936948.8059568768</v>
      </c>
      <c r="U77" s="168"/>
    </row>
    <row r="78" spans="1:21" s="89" customFormat="1" ht="16.5" thickBot="1">
      <c r="A78" s="141"/>
      <c r="B78" s="159"/>
      <c r="C78" s="126"/>
      <c r="D78" s="129"/>
      <c r="E78" s="170"/>
      <c r="F78" s="170"/>
      <c r="G78" s="31"/>
      <c r="H78" s="31"/>
      <c r="I78" s="31"/>
      <c r="J78" s="31"/>
      <c r="K78" s="31"/>
      <c r="L78" s="31"/>
      <c r="M78" s="31"/>
      <c r="N78" s="31"/>
      <c r="O78" s="31"/>
      <c r="P78" s="31"/>
      <c r="Q78" s="31"/>
      <c r="R78" s="31"/>
      <c r="S78" s="31"/>
      <c r="T78" s="52"/>
      <c r="U78" s="171"/>
    </row>
    <row r="79" spans="1:21" ht="15.75">
      <c r="A79" s="95"/>
      <c r="B79" s="95"/>
      <c r="C79" s="123"/>
      <c r="D79" s="95"/>
      <c r="E79" s="117"/>
      <c r="F79" s="117"/>
      <c r="G79" s="89"/>
      <c r="H79" s="89"/>
      <c r="I79" s="49"/>
      <c r="J79" s="117"/>
      <c r="K79" s="117"/>
      <c r="L79" s="117"/>
      <c r="M79" s="117"/>
      <c r="N79" s="117"/>
      <c r="O79" s="117"/>
      <c r="P79" s="117"/>
      <c r="Q79" s="117"/>
      <c r="R79" s="117"/>
      <c r="S79" s="89"/>
      <c r="T79" s="279"/>
      <c r="U79" s="529"/>
    </row>
    <row r="80" spans="1:21" ht="16.5" thickBot="1">
      <c r="A80" s="98" t="s">
        <v>574</v>
      </c>
      <c r="B80" s="529"/>
      <c r="C80" s="529"/>
      <c r="D80" s="529"/>
      <c r="E80" s="529"/>
      <c r="G80" s="529"/>
      <c r="H80" s="529"/>
      <c r="I80" s="529"/>
      <c r="J80" s="529"/>
      <c r="K80" s="529"/>
      <c r="L80" s="529"/>
      <c r="M80" s="529"/>
      <c r="N80" s="529"/>
      <c r="O80" s="529"/>
      <c r="P80" s="529"/>
      <c r="Q80" s="529"/>
      <c r="R80" s="529"/>
      <c r="S80" s="529"/>
      <c r="T80" s="529"/>
      <c r="U80" s="529"/>
    </row>
    <row r="81" spans="1:21" ht="32.25" thickBot="1">
      <c r="A81" s="102" t="s">
        <v>503</v>
      </c>
      <c r="B81" s="103" t="s">
        <v>504</v>
      </c>
      <c r="C81" s="103"/>
      <c r="D81" s="103"/>
      <c r="E81" s="105" t="s">
        <v>505</v>
      </c>
      <c r="F81" s="1082" t="s">
        <v>506</v>
      </c>
      <c r="G81" s="104"/>
      <c r="H81" s="104"/>
      <c r="I81" s="104"/>
      <c r="J81" s="104"/>
      <c r="K81" s="104"/>
      <c r="L81" s="104"/>
      <c r="M81" s="104"/>
      <c r="N81" s="104"/>
      <c r="O81" s="104"/>
      <c r="P81" s="104"/>
      <c r="Q81" s="104"/>
      <c r="R81" s="104"/>
      <c r="S81" s="1082" t="s">
        <v>541</v>
      </c>
      <c r="T81" s="1195"/>
      <c r="U81" s="1196"/>
    </row>
    <row r="82" spans="1:21" ht="15.75">
      <c r="A82" s="116"/>
      <c r="B82" s="123"/>
      <c r="C82" s="95"/>
      <c r="D82" s="95"/>
      <c r="E82" s="95"/>
      <c r="F82" s="95"/>
      <c r="G82" s="95"/>
      <c r="H82" s="95"/>
      <c r="I82" s="95"/>
      <c r="J82" s="95"/>
      <c r="K82" s="95"/>
      <c r="L82" s="95"/>
      <c r="M82" s="95"/>
      <c r="N82" s="95"/>
      <c r="O82" s="95"/>
      <c r="P82" s="95"/>
      <c r="Q82" s="95"/>
      <c r="R82" s="95"/>
      <c r="S82" s="89"/>
      <c r="T82" s="89"/>
      <c r="U82" s="120"/>
    </row>
    <row r="83" spans="1:21" s="537" customFormat="1" ht="15.75">
      <c r="A83" s="116">
        <f>+A77+1</f>
        <v>31</v>
      </c>
      <c r="B83" s="95"/>
      <c r="C83" s="117" t="s">
        <v>575</v>
      </c>
      <c r="D83" s="95"/>
      <c r="E83" s="117" t="s">
        <v>576</v>
      </c>
      <c r="F83" s="187" t="s">
        <v>577</v>
      </c>
      <c r="G83" s="133" t="s">
        <v>544</v>
      </c>
      <c r="H83" s="536"/>
      <c r="I83" s="536"/>
      <c r="J83" s="536"/>
      <c r="K83" s="536"/>
      <c r="L83" s="536"/>
      <c r="M83" s="536"/>
      <c r="N83" s="536"/>
      <c r="O83" s="536"/>
      <c r="P83" s="536"/>
      <c r="Q83" s="536" t="s">
        <v>578</v>
      </c>
      <c r="R83" s="536"/>
      <c r="S83" s="1108">
        <v>73522883</v>
      </c>
      <c r="T83" s="1085"/>
      <c r="U83" s="168"/>
    </row>
    <row r="84" spans="1:21">
      <c r="A84" s="116">
        <f>+A83+1</f>
        <v>32</v>
      </c>
      <c r="B84" s="95"/>
      <c r="C84" s="94" t="s">
        <v>579</v>
      </c>
      <c r="D84" s="26"/>
      <c r="E84" s="117" t="s">
        <v>580</v>
      </c>
      <c r="F84" s="187" t="s">
        <v>577</v>
      </c>
      <c r="G84" s="117"/>
      <c r="H84" s="117"/>
      <c r="I84" s="117"/>
      <c r="J84" s="117"/>
      <c r="K84" s="117"/>
      <c r="L84" s="117"/>
      <c r="M84" s="117"/>
      <c r="N84" s="117"/>
      <c r="O84" s="117"/>
      <c r="P84" s="117"/>
      <c r="Q84" s="117"/>
      <c r="R84" s="117"/>
      <c r="S84" s="1106">
        <f>'13 - A&amp;G Detail'!H37</f>
        <v>9087258.2648203447</v>
      </c>
      <c r="T84" s="1193"/>
      <c r="U84" s="1194"/>
    </row>
    <row r="85" spans="1:21" s="529" customFormat="1" ht="15.75">
      <c r="A85" s="116">
        <f>+A84+1</f>
        <v>33</v>
      </c>
      <c r="B85" s="95"/>
      <c r="C85" s="94" t="s">
        <v>581</v>
      </c>
      <c r="D85" s="26"/>
      <c r="E85" s="117" t="s">
        <v>580</v>
      </c>
      <c r="F85" s="187" t="s">
        <v>577</v>
      </c>
      <c r="G85" s="117"/>
      <c r="H85" s="117"/>
      <c r="I85" s="117"/>
      <c r="J85" s="117"/>
      <c r="K85" s="117"/>
      <c r="L85" s="117"/>
      <c r="M85" s="117"/>
      <c r="N85" s="117"/>
      <c r="O85" s="117"/>
      <c r="P85" s="117"/>
      <c r="Q85" s="117"/>
      <c r="R85" s="117"/>
      <c r="S85" s="1106">
        <f>'13 - A&amp;G Detail'!H37+'13 - A&amp;G Detail'!J37</f>
        <v>73441553.89000003</v>
      </c>
      <c r="T85" s="258"/>
      <c r="U85" s="1028"/>
    </row>
    <row r="86" spans="1:21" ht="15.75" thickBot="1">
      <c r="A86" s="141"/>
      <c r="B86" s="146"/>
      <c r="C86" s="146"/>
      <c r="D86" s="146"/>
      <c r="E86" s="146"/>
      <c r="F86" s="146"/>
      <c r="G86" s="146"/>
      <c r="H86" s="146"/>
      <c r="I86" s="146"/>
      <c r="J86" s="146"/>
      <c r="K86" s="146"/>
      <c r="L86" s="146"/>
      <c r="M86" s="146"/>
      <c r="N86" s="146"/>
      <c r="O86" s="146"/>
      <c r="P86" s="146"/>
      <c r="Q86" s="146"/>
      <c r="R86" s="146"/>
      <c r="S86" s="142"/>
      <c r="T86" s="142"/>
      <c r="U86" s="145"/>
    </row>
    <row r="88" spans="1:21">
      <c r="A88" s="529"/>
      <c r="B88" s="529"/>
      <c r="C88" s="529"/>
      <c r="D88" s="529"/>
      <c r="E88" s="529"/>
      <c r="G88" s="529"/>
      <c r="H88" s="529"/>
      <c r="I88" s="529"/>
      <c r="J88" s="529"/>
      <c r="K88" s="529"/>
      <c r="L88" s="529"/>
      <c r="M88" s="529"/>
      <c r="N88" s="529"/>
      <c r="O88" s="529"/>
      <c r="P88" s="529"/>
      <c r="Q88" s="529"/>
      <c r="R88" s="529"/>
      <c r="S88" s="529"/>
      <c r="T88" s="529" t="s">
        <v>145</v>
      </c>
      <c r="U88" s="529"/>
    </row>
    <row r="89" spans="1:21" ht="16.5" thickBot="1">
      <c r="A89" s="98" t="s">
        <v>582</v>
      </c>
      <c r="B89" s="529"/>
      <c r="C89" s="529"/>
      <c r="D89" s="529"/>
      <c r="E89" s="529"/>
      <c r="G89" s="529"/>
      <c r="H89" s="529"/>
      <c r="I89" s="529"/>
      <c r="J89" s="529"/>
      <c r="K89" s="529"/>
      <c r="L89" s="529"/>
      <c r="M89" s="529"/>
      <c r="N89" s="529"/>
      <c r="O89" s="529"/>
      <c r="P89" s="529"/>
      <c r="Q89" s="529"/>
      <c r="R89" s="529"/>
      <c r="S89" s="529"/>
      <c r="T89" s="529"/>
      <c r="U89" s="529"/>
    </row>
    <row r="90" spans="1:21" ht="32.25" thickBot="1">
      <c r="A90" s="102" t="s">
        <v>503</v>
      </c>
      <c r="B90" s="103" t="s">
        <v>504</v>
      </c>
      <c r="C90" s="103"/>
      <c r="D90" s="103"/>
      <c r="E90" s="105" t="s">
        <v>505</v>
      </c>
      <c r="F90" s="1082" t="s">
        <v>506</v>
      </c>
      <c r="G90" s="104"/>
      <c r="H90" s="104"/>
      <c r="I90" s="104"/>
      <c r="J90" s="104"/>
      <c r="K90" s="104"/>
      <c r="L90" s="104"/>
      <c r="M90" s="104"/>
      <c r="N90" s="104"/>
      <c r="O90" s="104"/>
      <c r="P90" s="104"/>
      <c r="Q90" s="104"/>
      <c r="R90" s="104"/>
      <c r="S90" s="1082" t="s">
        <v>541</v>
      </c>
      <c r="T90" s="1082"/>
      <c r="U90" s="1083"/>
    </row>
    <row r="91" spans="1:21" s="87" customFormat="1" ht="15.75">
      <c r="A91" s="172"/>
      <c r="B91" s="173"/>
      <c r="C91" s="173"/>
      <c r="D91" s="173"/>
      <c r="E91" s="175"/>
      <c r="F91" s="175"/>
      <c r="G91" s="174"/>
      <c r="H91" s="174"/>
      <c r="I91" s="174"/>
      <c r="J91" s="174"/>
      <c r="K91" s="174"/>
      <c r="L91" s="174"/>
      <c r="M91" s="174"/>
      <c r="N91" s="174"/>
      <c r="O91" s="174"/>
      <c r="P91" s="174"/>
      <c r="Q91" s="174"/>
      <c r="R91" s="174"/>
      <c r="S91" s="176"/>
      <c r="T91" s="176"/>
      <c r="U91" s="177"/>
    </row>
    <row r="92" spans="1:21">
      <c r="A92" s="116">
        <f>+A85+1</f>
        <v>34</v>
      </c>
      <c r="B92" s="95"/>
      <c r="C92" s="117" t="s">
        <v>583</v>
      </c>
      <c r="D92" s="121"/>
      <c r="E92" s="117" t="s">
        <v>584</v>
      </c>
      <c r="F92" s="187">
        <v>928</v>
      </c>
      <c r="G92" s="133" t="s">
        <v>544</v>
      </c>
      <c r="H92" s="117"/>
      <c r="I92" s="117"/>
      <c r="J92" s="117"/>
      <c r="K92" s="117"/>
      <c r="L92" s="117"/>
      <c r="M92" s="117"/>
      <c r="N92" s="117"/>
      <c r="O92" s="117"/>
      <c r="P92" s="117"/>
      <c r="Q92" s="117"/>
      <c r="R92" s="117"/>
      <c r="S92" s="1108">
        <v>3517286</v>
      </c>
      <c r="T92" s="555"/>
      <c r="U92" s="178"/>
    </row>
    <row r="93" spans="1:21">
      <c r="A93" s="116">
        <f>+A92+1</f>
        <v>35</v>
      </c>
      <c r="B93" s="95"/>
      <c r="C93" s="117" t="s">
        <v>585</v>
      </c>
      <c r="D93" s="204"/>
      <c r="E93" s="117" t="s">
        <v>586</v>
      </c>
      <c r="F93" s="187">
        <v>928</v>
      </c>
      <c r="G93" s="133"/>
      <c r="H93" s="117"/>
      <c r="I93" s="117"/>
      <c r="J93" s="117"/>
      <c r="K93" s="117"/>
      <c r="L93" s="117"/>
      <c r="M93" s="117"/>
      <c r="N93" s="117"/>
      <c r="O93" s="117"/>
      <c r="P93" s="117"/>
      <c r="Q93" s="117"/>
      <c r="R93" s="117"/>
      <c r="S93" s="1108">
        <v>100000</v>
      </c>
      <c r="T93" s="26"/>
      <c r="U93" s="180"/>
    </row>
    <row r="94" spans="1:21" ht="15.75" thickBot="1">
      <c r="A94" s="181"/>
      <c r="B94" s="142"/>
      <c r="C94" s="142"/>
      <c r="D94" s="142"/>
      <c r="E94" s="142"/>
      <c r="F94" s="142"/>
      <c r="G94" s="142"/>
      <c r="H94" s="142"/>
      <c r="I94" s="142"/>
      <c r="J94" s="142"/>
      <c r="K94" s="142"/>
      <c r="L94" s="142"/>
      <c r="M94" s="142"/>
      <c r="N94" s="142"/>
      <c r="O94" s="142"/>
      <c r="P94" s="142"/>
      <c r="Q94" s="142"/>
      <c r="R94" s="142"/>
      <c r="S94" s="142"/>
      <c r="T94" s="142"/>
      <c r="U94" s="145"/>
    </row>
    <row r="95" spans="1:21">
      <c r="A95" s="89"/>
      <c r="B95" s="89"/>
      <c r="C95" s="89"/>
      <c r="D95" s="89"/>
      <c r="E95" s="89"/>
      <c r="F95" s="89"/>
      <c r="G95" s="89"/>
      <c r="H95" s="89"/>
      <c r="I95" s="89"/>
      <c r="J95" s="89"/>
      <c r="K95" s="89"/>
      <c r="L95" s="89"/>
      <c r="M95" s="89"/>
      <c r="N95" s="89"/>
      <c r="O95" s="89"/>
      <c r="P95" s="89"/>
      <c r="Q95" s="89"/>
      <c r="R95" s="89"/>
      <c r="S95" s="89"/>
      <c r="T95" s="89"/>
      <c r="U95" s="89"/>
    </row>
    <row r="96" spans="1:21">
      <c r="A96" s="89"/>
      <c r="B96" s="89"/>
      <c r="C96" s="89"/>
      <c r="D96" s="89"/>
      <c r="E96" s="89"/>
      <c r="F96" s="89"/>
      <c r="G96" s="89"/>
      <c r="H96" s="89"/>
      <c r="I96" s="89"/>
      <c r="J96" s="89"/>
      <c r="K96" s="89"/>
      <c r="L96" s="89"/>
      <c r="M96" s="89"/>
      <c r="N96" s="89"/>
      <c r="O96" s="89"/>
      <c r="P96" s="89"/>
      <c r="Q96" s="89"/>
      <c r="R96" s="89"/>
      <c r="S96" s="89"/>
      <c r="T96" s="89"/>
      <c r="U96" s="89"/>
    </row>
    <row r="97" spans="1:21" s="89" customFormat="1" ht="16.5" thickBot="1">
      <c r="A97" s="182" t="s">
        <v>587</v>
      </c>
      <c r="E97" s="117"/>
      <c r="F97" s="117"/>
    </row>
    <row r="98" spans="1:21" ht="32.25" thickBot="1">
      <c r="A98" s="102" t="s">
        <v>503</v>
      </c>
      <c r="B98" s="103" t="s">
        <v>504</v>
      </c>
      <c r="C98" s="103"/>
      <c r="D98" s="103"/>
      <c r="E98" s="105" t="s">
        <v>505</v>
      </c>
      <c r="F98" s="1082" t="s">
        <v>506</v>
      </c>
      <c r="G98" s="104"/>
      <c r="H98" s="104"/>
      <c r="I98" s="104"/>
      <c r="J98" s="104"/>
      <c r="K98" s="104"/>
      <c r="L98" s="104"/>
      <c r="M98" s="104"/>
      <c r="N98" s="104"/>
      <c r="O98" s="104"/>
      <c r="P98" s="104"/>
      <c r="Q98" s="104"/>
      <c r="R98" s="104"/>
      <c r="S98" s="1082" t="s">
        <v>541</v>
      </c>
      <c r="T98" s="1082"/>
      <c r="U98" s="1083"/>
    </row>
    <row r="99" spans="1:21" s="87" customFormat="1" ht="15.75">
      <c r="A99" s="138"/>
      <c r="B99" s="90"/>
      <c r="C99" s="90"/>
      <c r="D99" s="90"/>
      <c r="E99" s="139"/>
      <c r="F99" s="139"/>
      <c r="G99" s="207"/>
      <c r="H99" s="207"/>
      <c r="I99" s="207"/>
      <c r="J99" s="207"/>
      <c r="K99" s="207"/>
      <c r="L99" s="207"/>
      <c r="M99" s="207"/>
      <c r="N99" s="207"/>
      <c r="O99" s="207"/>
      <c r="P99" s="207"/>
      <c r="Q99" s="207"/>
      <c r="R99" s="207"/>
      <c r="S99" s="1085"/>
      <c r="T99" s="1085"/>
      <c r="U99" s="1086"/>
    </row>
    <row r="100" spans="1:21">
      <c r="A100" s="116">
        <f>+A93+1</f>
        <v>36</v>
      </c>
      <c r="B100" s="95"/>
      <c r="C100" s="117" t="s">
        <v>588</v>
      </c>
      <c r="D100" s="89"/>
      <c r="E100" s="134" t="s">
        <v>589</v>
      </c>
      <c r="F100" s="134" t="s">
        <v>590</v>
      </c>
      <c r="G100" s="133" t="s">
        <v>544</v>
      </c>
      <c r="H100" s="117"/>
      <c r="I100" s="117"/>
      <c r="J100" s="117"/>
      <c r="K100" s="117"/>
      <c r="L100" s="117"/>
      <c r="M100" s="117"/>
      <c r="N100" s="117"/>
      <c r="O100" s="117"/>
      <c r="P100" s="117"/>
      <c r="Q100" s="117"/>
      <c r="R100" s="117"/>
      <c r="S100" s="1151">
        <v>0</v>
      </c>
      <c r="T100" s="555"/>
      <c r="U100" s="183"/>
    </row>
    <row r="101" spans="1:21" s="529" customFormat="1">
      <c r="A101" s="116">
        <f>+A100+1</f>
        <v>37</v>
      </c>
      <c r="B101" s="95"/>
      <c r="C101" s="117" t="s">
        <v>591</v>
      </c>
      <c r="D101" s="89"/>
      <c r="E101" s="134" t="s">
        <v>592</v>
      </c>
      <c r="F101" s="134" t="s">
        <v>590</v>
      </c>
      <c r="G101" s="133" t="s">
        <v>544</v>
      </c>
      <c r="H101" s="117"/>
      <c r="I101" s="117"/>
      <c r="J101" s="117"/>
      <c r="K101" s="117"/>
      <c r="L101" s="117"/>
      <c r="M101" s="117"/>
      <c r="N101" s="117"/>
      <c r="O101" s="117"/>
      <c r="P101" s="117"/>
      <c r="Q101" s="117"/>
      <c r="R101" s="117"/>
      <c r="S101" s="534">
        <v>0</v>
      </c>
      <c r="T101" s="555"/>
      <c r="U101" s="183"/>
    </row>
    <row r="102" spans="1:21" ht="15.75" thickBot="1">
      <c r="A102" s="141"/>
      <c r="B102" s="146"/>
      <c r="C102" s="126"/>
      <c r="D102" s="142"/>
      <c r="E102" s="144"/>
      <c r="F102" s="144"/>
      <c r="G102" s="126"/>
      <c r="H102" s="126"/>
      <c r="I102" s="126"/>
      <c r="J102" s="126"/>
      <c r="K102" s="126"/>
      <c r="L102" s="126"/>
      <c r="M102" s="126"/>
      <c r="N102" s="126"/>
      <c r="O102" s="126"/>
      <c r="P102" s="126"/>
      <c r="Q102" s="126"/>
      <c r="R102" s="126"/>
      <c r="S102" s="31"/>
      <c r="T102" s="184"/>
      <c r="U102" s="185"/>
    </row>
    <row r="103" spans="1:21">
      <c r="A103" s="529"/>
      <c r="B103" s="529"/>
      <c r="C103" s="529"/>
      <c r="D103" s="529"/>
      <c r="E103" s="89"/>
      <c r="F103" s="89"/>
      <c r="G103" s="89"/>
      <c r="H103" s="89"/>
      <c r="I103" s="89"/>
      <c r="J103" s="89"/>
      <c r="K103" s="89"/>
      <c r="L103" s="89"/>
      <c r="M103" s="89"/>
      <c r="N103" s="89"/>
      <c r="O103" s="89"/>
      <c r="P103" s="89"/>
      <c r="Q103" s="89"/>
      <c r="R103" s="89"/>
      <c r="S103" s="89"/>
      <c r="T103" s="89"/>
      <c r="U103" s="120"/>
    </row>
    <row r="104" spans="1:21" ht="18">
      <c r="A104" s="529"/>
      <c r="B104" s="529"/>
      <c r="C104" s="529"/>
      <c r="D104" s="529"/>
      <c r="E104" s="89"/>
      <c r="F104" s="89"/>
      <c r="G104" s="89"/>
      <c r="H104" s="89"/>
      <c r="I104" s="89"/>
      <c r="J104" s="89"/>
      <c r="K104" s="89"/>
      <c r="L104" s="89"/>
      <c r="M104" s="89"/>
      <c r="N104" s="89"/>
      <c r="O104" s="89"/>
      <c r="P104" s="89"/>
      <c r="Q104" s="89"/>
      <c r="R104" s="89"/>
      <c r="S104" s="89"/>
      <c r="T104" s="89"/>
      <c r="U104" s="878"/>
    </row>
    <row r="105" spans="1:21" s="89" customFormat="1" ht="16.5" thickBot="1">
      <c r="A105" s="98" t="s">
        <v>593</v>
      </c>
      <c r="G105" s="135"/>
      <c r="H105" s="529"/>
      <c r="I105" s="529"/>
      <c r="J105" s="529"/>
      <c r="K105" s="529"/>
      <c r="L105" s="529"/>
      <c r="M105" s="529"/>
      <c r="N105" s="529"/>
      <c r="O105" s="529"/>
      <c r="P105" s="529"/>
      <c r="Q105" s="529"/>
      <c r="R105" s="529"/>
      <c r="S105" s="529"/>
      <c r="T105" s="529"/>
      <c r="U105" s="529"/>
    </row>
    <row r="106" spans="1:21" s="89" customFormat="1" ht="32.25" thickBot="1">
      <c r="A106" s="102" t="s">
        <v>503</v>
      </c>
      <c r="B106" s="103" t="s">
        <v>504</v>
      </c>
      <c r="C106" s="103"/>
      <c r="D106" s="103"/>
      <c r="E106" s="105" t="s">
        <v>505</v>
      </c>
      <c r="F106" s="1082" t="s">
        <v>506</v>
      </c>
      <c r="G106" s="136"/>
      <c r="H106" s="136"/>
      <c r="I106" s="136"/>
      <c r="J106" s="136"/>
      <c r="K106" s="136"/>
      <c r="L106" s="136"/>
      <c r="M106" s="136"/>
      <c r="N106" s="136"/>
      <c r="O106" s="136"/>
      <c r="P106" s="136"/>
      <c r="Q106" s="136"/>
      <c r="R106" s="136"/>
      <c r="S106" s="104" t="s">
        <v>541</v>
      </c>
      <c r="T106" s="104"/>
      <c r="U106" s="137"/>
    </row>
    <row r="107" spans="1:21">
      <c r="A107" s="106"/>
      <c r="B107" s="109"/>
      <c r="C107" s="206"/>
      <c r="D107" s="108"/>
      <c r="E107" s="108"/>
      <c r="F107" s="108"/>
      <c r="G107" s="109"/>
      <c r="H107" s="109"/>
      <c r="I107" s="109"/>
      <c r="J107" s="109"/>
      <c r="K107" s="109"/>
      <c r="L107" s="109"/>
      <c r="M107" s="109"/>
      <c r="N107" s="109"/>
      <c r="O107" s="109"/>
      <c r="P107" s="109"/>
      <c r="Q107" s="109"/>
      <c r="R107" s="109"/>
      <c r="S107" s="109"/>
      <c r="T107" s="189"/>
      <c r="U107" s="111"/>
    </row>
    <row r="108" spans="1:21" s="87" customFormat="1" ht="15.75">
      <c r="A108" s="122">
        <f>+A101+1</f>
        <v>38</v>
      </c>
      <c r="B108" s="123"/>
      <c r="C108" s="114" t="s">
        <v>594</v>
      </c>
      <c r="D108" s="131"/>
      <c r="E108" s="131" t="s">
        <v>595</v>
      </c>
      <c r="F108" s="727">
        <v>403</v>
      </c>
      <c r="G108" s="133"/>
      <c r="H108" s="91"/>
      <c r="I108" s="91"/>
      <c r="J108" s="91"/>
      <c r="K108" s="91"/>
      <c r="L108" s="91"/>
      <c r="M108" s="91"/>
      <c r="N108" s="91"/>
      <c r="O108" s="91"/>
      <c r="P108" s="91"/>
      <c r="Q108" s="91"/>
      <c r="R108" s="91"/>
      <c r="S108" s="1109">
        <v>11818343.403734516</v>
      </c>
      <c r="U108" s="140"/>
    </row>
    <row r="109" spans="1:21" s="87" customFormat="1" ht="15.75">
      <c r="A109" s="122">
        <f>+A108+1</f>
        <v>39</v>
      </c>
      <c r="B109" s="123"/>
      <c r="C109" s="114" t="s">
        <v>596</v>
      </c>
      <c r="D109" s="131"/>
      <c r="E109" s="131" t="s">
        <v>597</v>
      </c>
      <c r="F109" s="727">
        <v>403</v>
      </c>
      <c r="G109" s="91"/>
      <c r="H109" s="91"/>
      <c r="I109" s="91"/>
      <c r="J109" s="91"/>
      <c r="K109" s="91"/>
      <c r="L109" s="91"/>
      <c r="M109" s="91"/>
      <c r="N109" s="91"/>
      <c r="O109" s="91"/>
      <c r="P109" s="91"/>
      <c r="Q109" s="91"/>
      <c r="R109" s="91"/>
      <c r="S109" s="1109">
        <v>2034856.8229938156</v>
      </c>
      <c r="U109" s="505"/>
    </row>
    <row r="110" spans="1:21">
      <c r="A110" s="122">
        <f>+A109+1</f>
        <v>40</v>
      </c>
      <c r="B110" s="190"/>
      <c r="C110" s="132" t="s">
        <v>598</v>
      </c>
      <c r="D110" s="131"/>
      <c r="E110" s="131" t="s">
        <v>599</v>
      </c>
      <c r="F110" s="727">
        <v>404</v>
      </c>
      <c r="G110" s="89"/>
      <c r="H110" s="89"/>
      <c r="I110" s="89"/>
      <c r="J110" s="89"/>
      <c r="K110" s="89"/>
      <c r="L110" s="89"/>
      <c r="M110" s="89"/>
      <c r="N110" s="89"/>
      <c r="O110" s="89"/>
      <c r="P110" s="89"/>
      <c r="Q110" s="89"/>
      <c r="R110" s="89"/>
      <c r="S110" s="1109">
        <v>3756766.3263958427</v>
      </c>
      <c r="T110" s="529"/>
      <c r="U110" s="120"/>
    </row>
    <row r="111" spans="1:21" ht="15.75" thickBot="1">
      <c r="A111" s="141"/>
      <c r="B111" s="188"/>
      <c r="C111" s="126"/>
      <c r="D111" s="129"/>
      <c r="E111" s="170"/>
      <c r="F111" s="170"/>
      <c r="G111" s="170"/>
      <c r="H111" s="142"/>
      <c r="I111" s="142"/>
      <c r="J111" s="142"/>
      <c r="K111" s="142"/>
      <c r="L111" s="142"/>
      <c r="M111" s="142"/>
      <c r="N111" s="142"/>
      <c r="O111" s="142"/>
      <c r="P111" s="142"/>
      <c r="Q111" s="142"/>
      <c r="R111" s="142"/>
      <c r="S111" s="142"/>
      <c r="T111" s="142"/>
      <c r="U111" s="145"/>
    </row>
    <row r="112" spans="1:21">
      <c r="A112" s="95"/>
      <c r="B112" s="187"/>
      <c r="C112" s="117"/>
      <c r="D112" s="131"/>
      <c r="E112" s="94"/>
      <c r="F112" s="94"/>
      <c r="G112" s="94"/>
      <c r="H112" s="94"/>
      <c r="I112" s="94"/>
      <c r="J112" s="94"/>
      <c r="K112" s="94"/>
      <c r="L112" s="94"/>
      <c r="M112" s="94"/>
      <c r="N112" s="94"/>
      <c r="O112" s="94"/>
      <c r="P112" s="94"/>
      <c r="Q112" s="94"/>
      <c r="R112" s="94"/>
      <c r="S112" s="160"/>
      <c r="T112" s="118"/>
      <c r="U112" s="160"/>
    </row>
    <row r="113" spans="1:21">
      <c r="A113" s="95"/>
      <c r="B113" s="187"/>
      <c r="C113" s="117"/>
      <c r="D113" s="131"/>
      <c r="E113" s="94"/>
      <c r="F113" s="94"/>
      <c r="G113" s="94"/>
      <c r="H113" s="94"/>
      <c r="I113" s="94"/>
      <c r="J113" s="94"/>
      <c r="K113" s="94"/>
      <c r="L113" s="94"/>
      <c r="M113" s="94"/>
      <c r="N113" s="94"/>
      <c r="O113" s="94"/>
      <c r="P113" s="94"/>
      <c r="Q113" s="94"/>
      <c r="R113" s="94"/>
      <c r="S113" s="160"/>
      <c r="T113" s="118"/>
      <c r="U113" s="160"/>
    </row>
    <row r="114" spans="1:21" ht="16.5" thickBot="1">
      <c r="A114" s="98" t="s">
        <v>600</v>
      </c>
      <c r="B114" s="529"/>
      <c r="C114" s="529"/>
      <c r="D114" s="529"/>
      <c r="E114" s="529"/>
      <c r="G114" s="529"/>
      <c r="H114" s="529"/>
      <c r="I114" s="529"/>
      <c r="J114" s="529"/>
      <c r="K114" s="529"/>
      <c r="L114" s="529"/>
      <c r="M114" s="529"/>
      <c r="N114" s="529"/>
      <c r="O114" s="529"/>
      <c r="P114" s="529"/>
      <c r="Q114" s="529"/>
      <c r="R114" s="529"/>
      <c r="S114" s="529"/>
      <c r="T114" s="529"/>
      <c r="U114" s="529"/>
    </row>
    <row r="115" spans="1:21" ht="32.25" thickBot="1">
      <c r="A115" s="102" t="s">
        <v>503</v>
      </c>
      <c r="B115" s="103" t="s">
        <v>504</v>
      </c>
      <c r="C115" s="103"/>
      <c r="D115" s="103"/>
      <c r="E115" s="105" t="s">
        <v>505</v>
      </c>
      <c r="F115" s="1082" t="s">
        <v>506</v>
      </c>
      <c r="G115" s="104"/>
      <c r="H115" s="104"/>
      <c r="I115" s="104"/>
      <c r="J115" s="104"/>
      <c r="K115" s="104"/>
      <c r="L115" s="104"/>
      <c r="M115" s="104"/>
      <c r="N115" s="104"/>
      <c r="O115" s="104"/>
      <c r="P115" s="104"/>
      <c r="Q115" s="104"/>
      <c r="R115" s="104"/>
      <c r="S115" s="1082" t="s">
        <v>541</v>
      </c>
      <c r="T115" s="1082" t="s">
        <v>601</v>
      </c>
      <c r="U115" s="1083" t="s">
        <v>602</v>
      </c>
    </row>
    <row r="116" spans="1:21" s="529" customFormat="1" ht="15.75">
      <c r="A116" s="138"/>
      <c r="B116" s="90"/>
      <c r="C116" s="90"/>
      <c r="D116" s="90"/>
      <c r="E116" s="139"/>
      <c r="F116" s="139"/>
      <c r="G116" s="207"/>
      <c r="H116" s="207"/>
      <c r="I116" s="207"/>
      <c r="J116" s="207"/>
      <c r="K116" s="207"/>
      <c r="L116" s="207"/>
      <c r="M116" s="207"/>
      <c r="N116" s="207"/>
      <c r="O116" s="207"/>
      <c r="P116" s="207"/>
      <c r="Q116" s="207"/>
      <c r="R116" s="207"/>
      <c r="S116" s="1085"/>
      <c r="T116" s="1085"/>
      <c r="U116" s="1086"/>
    </row>
    <row r="117" spans="1:21">
      <c r="A117" s="116">
        <f>+A110+1</f>
        <v>41</v>
      </c>
      <c r="B117" s="95"/>
      <c r="C117" s="117" t="s">
        <v>603</v>
      </c>
      <c r="D117" s="95"/>
      <c r="E117" s="117" t="s">
        <v>604</v>
      </c>
      <c r="F117" s="187">
        <v>408.1</v>
      </c>
      <c r="G117" s="133"/>
      <c r="H117" s="117"/>
      <c r="I117" s="117"/>
      <c r="J117" s="117"/>
      <c r="K117" s="117"/>
      <c r="L117" s="117"/>
      <c r="M117" s="117"/>
      <c r="N117" s="117"/>
      <c r="O117" s="89"/>
      <c r="P117" s="117"/>
      <c r="Q117" s="191"/>
      <c r="R117" s="26"/>
      <c r="S117" s="1108">
        <v>17885103.838067949</v>
      </c>
      <c r="T117" s="1120">
        <f>S117</f>
        <v>17885103.838067949</v>
      </c>
      <c r="U117" s="1152">
        <v>0</v>
      </c>
    </row>
    <row r="118" spans="1:21" s="529" customFormat="1">
      <c r="A118" s="116">
        <f>+A117+1</f>
        <v>42</v>
      </c>
      <c r="B118" s="95"/>
      <c r="C118" s="117" t="s">
        <v>605</v>
      </c>
      <c r="D118" s="95"/>
      <c r="E118" s="117" t="s">
        <v>606</v>
      </c>
      <c r="F118" s="187">
        <v>408.1</v>
      </c>
      <c r="G118" s="117"/>
      <c r="H118" s="117"/>
      <c r="I118" s="117"/>
      <c r="J118" s="117"/>
      <c r="K118" s="117"/>
      <c r="L118" s="117"/>
      <c r="M118" s="117"/>
      <c r="N118" s="117"/>
      <c r="O118" s="89"/>
      <c r="P118" s="117"/>
      <c r="Q118" s="191"/>
      <c r="R118" s="26"/>
      <c r="S118" s="1108">
        <v>3389984</v>
      </c>
      <c r="T118" s="993"/>
      <c r="U118" s="944"/>
    </row>
    <row r="119" spans="1:21" s="529" customFormat="1">
      <c r="A119" s="116">
        <f>+A118+1</f>
        <v>43</v>
      </c>
      <c r="B119" s="95"/>
      <c r="C119" s="117" t="s">
        <v>456</v>
      </c>
      <c r="D119" s="95"/>
      <c r="E119" s="117" t="s">
        <v>607</v>
      </c>
      <c r="F119" s="187">
        <v>408.1</v>
      </c>
      <c r="G119" s="117"/>
      <c r="H119" s="117"/>
      <c r="I119" s="117"/>
      <c r="J119" s="117"/>
      <c r="K119" s="117"/>
      <c r="L119" s="117"/>
      <c r="M119" s="117"/>
      <c r="N119" s="117"/>
      <c r="O119" s="89"/>
      <c r="P119" s="117"/>
      <c r="Q119" s="191"/>
      <c r="R119" s="26"/>
      <c r="S119" s="1108">
        <v>0</v>
      </c>
      <c r="T119" s="945"/>
      <c r="U119" s="944"/>
    </row>
    <row r="120" spans="1:21" ht="15.75" thickBot="1">
      <c r="A120" s="181"/>
      <c r="B120" s="142"/>
      <c r="C120" s="142"/>
      <c r="D120" s="142"/>
      <c r="E120" s="142"/>
      <c r="F120" s="142"/>
      <c r="G120" s="142"/>
      <c r="H120" s="142"/>
      <c r="I120" s="142"/>
      <c r="J120" s="142"/>
      <c r="K120" s="142"/>
      <c r="L120" s="142"/>
      <c r="M120" s="142"/>
      <c r="N120" s="142"/>
      <c r="O120" s="142"/>
      <c r="P120" s="142"/>
      <c r="Q120" s="142"/>
      <c r="R120" s="142"/>
      <c r="S120" s="142"/>
      <c r="T120" s="142"/>
      <c r="U120" s="145"/>
    </row>
    <row r="123" spans="1:21" ht="16.5" thickBot="1">
      <c r="A123" s="192" t="s">
        <v>608</v>
      </c>
      <c r="B123" s="529"/>
      <c r="C123" s="529"/>
      <c r="D123" s="529"/>
      <c r="E123" s="529"/>
      <c r="G123" s="529"/>
      <c r="H123" s="529"/>
      <c r="I123" s="529"/>
      <c r="J123" s="529"/>
      <c r="K123" s="529"/>
      <c r="L123" s="529"/>
      <c r="M123" s="529"/>
      <c r="N123" s="529"/>
      <c r="O123" s="529"/>
      <c r="P123" s="529"/>
      <c r="Q123" s="529"/>
      <c r="R123" s="529"/>
      <c r="S123" s="529"/>
      <c r="T123" s="529"/>
      <c r="U123" s="529"/>
    </row>
    <row r="124" spans="1:21" ht="32.25" thickBot="1">
      <c r="A124" s="102" t="s">
        <v>503</v>
      </c>
      <c r="B124" s="103" t="s">
        <v>504</v>
      </c>
      <c r="C124" s="103"/>
      <c r="D124" s="103"/>
      <c r="E124" s="105" t="s">
        <v>505</v>
      </c>
      <c r="F124" s="1082" t="s">
        <v>506</v>
      </c>
      <c r="G124" s="136"/>
      <c r="H124" s="136"/>
      <c r="I124" s="136"/>
      <c r="J124" s="104"/>
      <c r="K124" s="104"/>
      <c r="L124" s="104"/>
      <c r="M124" s="104"/>
      <c r="N124" s="104"/>
      <c r="O124" s="104"/>
      <c r="P124" s="104"/>
      <c r="Q124" s="104"/>
      <c r="R124" s="1082" t="s">
        <v>609</v>
      </c>
      <c r="S124" s="147" t="s">
        <v>541</v>
      </c>
      <c r="T124" s="1082" t="s">
        <v>519</v>
      </c>
      <c r="U124" s="1083"/>
    </row>
    <row r="125" spans="1:21" ht="15.75">
      <c r="A125" s="208"/>
      <c r="B125" s="149"/>
      <c r="C125" s="109"/>
      <c r="D125" s="109"/>
      <c r="E125" s="152"/>
      <c r="F125" s="152"/>
      <c r="G125" s="109"/>
      <c r="H125" s="109"/>
      <c r="I125" s="109"/>
      <c r="J125" s="161"/>
      <c r="K125" s="209"/>
      <c r="L125" s="109"/>
      <c r="M125" s="209"/>
      <c r="N125" s="209"/>
      <c r="O125" s="209"/>
      <c r="P125" s="210"/>
      <c r="Q125" s="210"/>
      <c r="R125" s="151"/>
      <c r="S125" s="151"/>
      <c r="T125" s="109"/>
      <c r="U125" s="111"/>
    </row>
    <row r="126" spans="1:21" s="529" customFormat="1" ht="15.75">
      <c r="A126" s="112">
        <f>+A119+1</f>
        <v>44</v>
      </c>
      <c r="B126" s="123"/>
      <c r="C126" s="89" t="s">
        <v>610</v>
      </c>
      <c r="D126" s="91"/>
      <c r="E126" s="117" t="s">
        <v>611</v>
      </c>
      <c r="F126" s="187">
        <v>427</v>
      </c>
      <c r="G126" s="133"/>
      <c r="H126" s="89"/>
      <c r="I126" s="89"/>
      <c r="J126" s="160"/>
      <c r="K126" s="556"/>
      <c r="L126" s="89"/>
      <c r="M126" s="556"/>
      <c r="N126" s="556"/>
      <c r="O126" s="556"/>
      <c r="P126" s="551"/>
      <c r="Q126" s="551"/>
      <c r="R126" s="994"/>
      <c r="S126" s="1121">
        <v>24042459.43609941</v>
      </c>
      <c r="T126" s="995"/>
      <c r="U126" s="120"/>
    </row>
    <row r="127" spans="1:21" s="529" customFormat="1" ht="15.75">
      <c r="A127" s="112">
        <f t="shared" ref="A127:A134" si="7">+A126+1</f>
        <v>45</v>
      </c>
      <c r="B127" s="123"/>
      <c r="C127" s="89" t="s">
        <v>612</v>
      </c>
      <c r="D127" s="89"/>
      <c r="E127" s="117" t="s">
        <v>613</v>
      </c>
      <c r="F127" s="187">
        <v>428</v>
      </c>
      <c r="G127" s="89"/>
      <c r="H127" s="89"/>
      <c r="I127" s="89"/>
      <c r="J127" s="160"/>
      <c r="K127" s="556"/>
      <c r="L127" s="89"/>
      <c r="M127" s="556"/>
      <c r="N127" s="556"/>
      <c r="O127" s="556"/>
      <c r="P127" s="551"/>
      <c r="Q127" s="551"/>
      <c r="R127" s="994"/>
      <c r="S127" s="1121">
        <v>767208.29333333345</v>
      </c>
      <c r="T127" s="995"/>
      <c r="U127" s="120"/>
    </row>
    <row r="128" spans="1:21" s="529" customFormat="1" ht="15.75">
      <c r="A128" s="112">
        <f t="shared" si="7"/>
        <v>46</v>
      </c>
      <c r="B128" s="123"/>
      <c r="C128" s="89" t="s">
        <v>614</v>
      </c>
      <c r="D128" s="89"/>
      <c r="E128" s="117" t="s">
        <v>615</v>
      </c>
      <c r="F128" s="187">
        <v>428.1</v>
      </c>
      <c r="G128" s="89"/>
      <c r="H128" s="89"/>
      <c r="I128" s="89"/>
      <c r="J128" s="160"/>
      <c r="K128" s="556"/>
      <c r="L128" s="89"/>
      <c r="M128" s="556"/>
      <c r="N128" s="556"/>
      <c r="O128" s="556"/>
      <c r="P128" s="551"/>
      <c r="Q128" s="551"/>
      <c r="R128" s="994"/>
      <c r="S128" s="1121">
        <v>2246789.0400000159</v>
      </c>
      <c r="T128" s="995"/>
      <c r="U128" s="120"/>
    </row>
    <row r="129" spans="1:21" s="529" customFormat="1" ht="15.75">
      <c r="A129" s="112">
        <f t="shared" si="7"/>
        <v>47</v>
      </c>
      <c r="B129" s="123"/>
      <c r="C129" s="89" t="s">
        <v>616</v>
      </c>
      <c r="D129" s="89"/>
      <c r="E129" s="117" t="s">
        <v>617</v>
      </c>
      <c r="F129" s="187">
        <v>429</v>
      </c>
      <c r="G129" s="89"/>
      <c r="H129" s="89"/>
      <c r="I129" s="89"/>
      <c r="J129" s="160"/>
      <c r="K129" s="556"/>
      <c r="L129" s="89"/>
      <c r="M129" s="556"/>
      <c r="N129" s="556"/>
      <c r="O129" s="556"/>
      <c r="P129" s="551"/>
      <c r="Q129" s="551"/>
      <c r="R129" s="994"/>
      <c r="S129" s="1121">
        <v>0</v>
      </c>
      <c r="T129" s="995"/>
      <c r="U129" s="120"/>
    </row>
    <row r="130" spans="1:21" s="529" customFormat="1" ht="15.75">
      <c r="A130" s="112">
        <f t="shared" si="7"/>
        <v>48</v>
      </c>
      <c r="B130" s="123"/>
      <c r="C130" s="89" t="s">
        <v>618</v>
      </c>
      <c r="D130" s="89"/>
      <c r="E130" s="117" t="s">
        <v>619</v>
      </c>
      <c r="F130" s="187">
        <v>429.1</v>
      </c>
      <c r="G130" s="89"/>
      <c r="H130" s="89"/>
      <c r="I130" s="89"/>
      <c r="J130" s="160"/>
      <c r="K130" s="556"/>
      <c r="L130" s="89"/>
      <c r="M130" s="556"/>
      <c r="N130" s="556"/>
      <c r="O130" s="556"/>
      <c r="P130" s="551"/>
      <c r="Q130" s="551"/>
      <c r="R130" s="994"/>
      <c r="S130" s="1121">
        <v>0</v>
      </c>
      <c r="T130" s="995"/>
      <c r="U130" s="120"/>
    </row>
    <row r="131" spans="1:21" s="529" customFormat="1" ht="15.75">
      <c r="A131" s="112">
        <f t="shared" si="7"/>
        <v>49</v>
      </c>
      <c r="B131" s="123"/>
      <c r="C131" s="89" t="s">
        <v>620</v>
      </c>
      <c r="D131" s="89"/>
      <c r="E131" s="117" t="s">
        <v>621</v>
      </c>
      <c r="F131" s="187">
        <v>430</v>
      </c>
      <c r="G131" s="89"/>
      <c r="H131" s="89"/>
      <c r="I131" s="89"/>
      <c r="J131" s="160"/>
      <c r="K131" s="556"/>
      <c r="L131" s="89"/>
      <c r="M131" s="556"/>
      <c r="N131" s="556"/>
      <c r="O131" s="556"/>
      <c r="P131" s="551"/>
      <c r="Q131" s="551"/>
      <c r="R131" s="994"/>
      <c r="S131" s="1121">
        <v>0</v>
      </c>
      <c r="T131" s="995"/>
      <c r="U131" s="120"/>
    </row>
    <row r="132" spans="1:21" s="529" customFormat="1" ht="15.75">
      <c r="A132" s="112">
        <f>+A131+1</f>
        <v>50</v>
      </c>
      <c r="B132" s="123"/>
      <c r="C132" s="89" t="s">
        <v>622</v>
      </c>
      <c r="D132" s="89"/>
      <c r="E132" s="117"/>
      <c r="F132" s="187"/>
      <c r="G132" s="89"/>
      <c r="H132" s="89"/>
      <c r="I132" s="89"/>
      <c r="J132" s="160"/>
      <c r="K132" s="556"/>
      <c r="L132" s="89"/>
      <c r="M132" s="556"/>
      <c r="N132" s="556"/>
      <c r="O132" s="556"/>
      <c r="P132" s="551"/>
      <c r="Q132" s="551"/>
      <c r="R132" s="994"/>
      <c r="S132" s="998">
        <f>+SUM(S126:S131)</f>
        <v>27056456.769432761</v>
      </c>
      <c r="T132" s="995"/>
      <c r="U132" s="120"/>
    </row>
    <row r="133" spans="1:21" s="529" customFormat="1" ht="15.75">
      <c r="A133" s="112">
        <f>+A132+1</f>
        <v>51</v>
      </c>
      <c r="B133" s="123"/>
      <c r="C133" s="89" t="s">
        <v>109</v>
      </c>
      <c r="D133" s="89"/>
      <c r="E133" s="610" t="s">
        <v>623</v>
      </c>
      <c r="F133" s="1072" t="s">
        <v>624</v>
      </c>
      <c r="G133" s="89"/>
      <c r="H133" s="89"/>
      <c r="I133" s="89"/>
      <c r="J133" s="160"/>
      <c r="K133" s="556"/>
      <c r="L133" s="89"/>
      <c r="M133" s="556"/>
      <c r="N133" s="556"/>
      <c r="O133" s="556"/>
      <c r="P133" s="551"/>
      <c r="Q133" s="551"/>
      <c r="R133" s="994"/>
      <c r="S133" s="1121">
        <v>0</v>
      </c>
      <c r="T133" s="995"/>
      <c r="U133" s="120"/>
    </row>
    <row r="134" spans="1:21" s="87" customFormat="1">
      <c r="A134" s="116">
        <f t="shared" si="7"/>
        <v>52</v>
      </c>
      <c r="B134" s="95"/>
      <c r="C134" s="115" t="s">
        <v>112</v>
      </c>
      <c r="D134" s="91"/>
      <c r="E134" s="119" t="s">
        <v>625</v>
      </c>
      <c r="F134" s="724" t="s">
        <v>626</v>
      </c>
      <c r="G134" s="91"/>
      <c r="H134" s="91"/>
      <c r="I134" s="91"/>
      <c r="J134" s="91"/>
      <c r="K134" s="162"/>
      <c r="L134" s="117"/>
      <c r="M134" s="50"/>
      <c r="N134" s="50"/>
      <c r="O134" s="50"/>
      <c r="P134" s="91"/>
      <c r="Q134" s="50"/>
      <c r="R134" s="1121">
        <v>-823998574.95976317</v>
      </c>
      <c r="S134" s="1121">
        <v>-871701621.55520904</v>
      </c>
      <c r="T134" s="551">
        <f>+(S134+R134)/2</f>
        <v>-847850098.2574861</v>
      </c>
      <c r="U134" s="157"/>
    </row>
    <row r="135" spans="1:21" s="87" customFormat="1" ht="15.75">
      <c r="A135" s="116">
        <f t="shared" ref="A135:A143" si="8">+A134+1</f>
        <v>53</v>
      </c>
      <c r="B135" s="95"/>
      <c r="C135" s="115" t="s">
        <v>627</v>
      </c>
      <c r="D135" s="91"/>
      <c r="E135" s="119" t="s">
        <v>628</v>
      </c>
      <c r="F135" s="724">
        <v>219</v>
      </c>
      <c r="G135" s="91"/>
      <c r="H135" s="91"/>
      <c r="I135" s="91"/>
      <c r="J135" s="91"/>
      <c r="K135" s="54"/>
      <c r="L135" s="50"/>
      <c r="M135" s="193"/>
      <c r="N135" s="193"/>
      <c r="O135" s="193"/>
      <c r="P135" s="193"/>
      <c r="Q135" s="26"/>
      <c r="R135" s="1121">
        <v>36872103.047499999</v>
      </c>
      <c r="S135" s="1121">
        <v>32854273.047499999</v>
      </c>
      <c r="T135" s="551">
        <f>+(S135+R135)/2</f>
        <v>34863188.047499999</v>
      </c>
      <c r="U135" s="157"/>
    </row>
    <row r="136" spans="1:21" ht="15.75">
      <c r="A136" s="116">
        <f t="shared" si="8"/>
        <v>54</v>
      </c>
      <c r="B136" s="95"/>
      <c r="C136" s="115" t="s">
        <v>629</v>
      </c>
      <c r="D136" s="91"/>
      <c r="E136" s="119" t="s">
        <v>630</v>
      </c>
      <c r="F136" s="187">
        <v>216.1</v>
      </c>
      <c r="G136" s="89"/>
      <c r="H136" s="89"/>
      <c r="I136" s="89"/>
      <c r="J136" s="89"/>
      <c r="K136" s="158"/>
      <c r="L136" s="50"/>
      <c r="M136" s="89"/>
      <c r="N136" s="89"/>
      <c r="O136" s="89"/>
      <c r="P136" s="89"/>
      <c r="Q136" s="89"/>
      <c r="R136" s="1121">
        <v>0</v>
      </c>
      <c r="S136" s="1121">
        <v>0</v>
      </c>
      <c r="T136" s="551">
        <f>+(R136+S136)/2</f>
        <v>0</v>
      </c>
      <c r="U136" s="120"/>
    </row>
    <row r="137" spans="1:21">
      <c r="A137" s="116">
        <f t="shared" si="8"/>
        <v>55</v>
      </c>
      <c r="B137" s="95"/>
      <c r="C137" s="115" t="s">
        <v>116</v>
      </c>
      <c r="D137" s="91"/>
      <c r="E137" s="119" t="s">
        <v>631</v>
      </c>
      <c r="F137" s="724" t="s">
        <v>632</v>
      </c>
      <c r="G137" s="89"/>
      <c r="H137" s="89"/>
      <c r="I137" s="89"/>
      <c r="J137" s="89"/>
      <c r="K137" s="89"/>
      <c r="L137" s="89"/>
      <c r="M137" s="89"/>
      <c r="N137" s="89"/>
      <c r="O137" s="89"/>
      <c r="P137" s="89"/>
      <c r="Q137" s="89"/>
      <c r="R137" s="1121">
        <v>-582185193.45063889</v>
      </c>
      <c r="S137" s="1121">
        <v>-722008571.01928961</v>
      </c>
      <c r="T137" s="551">
        <f>+(R137+S137)/2</f>
        <v>-652096882.23496425</v>
      </c>
      <c r="U137" s="120"/>
    </row>
    <row r="138" spans="1:21" s="529" customFormat="1">
      <c r="A138" s="116">
        <f>+A137+1</f>
        <v>56</v>
      </c>
      <c r="B138" s="95"/>
      <c r="C138" s="115" t="s">
        <v>633</v>
      </c>
      <c r="D138" s="91"/>
      <c r="E138" s="119" t="s">
        <v>634</v>
      </c>
      <c r="F138" s="724">
        <v>181</v>
      </c>
      <c r="G138" s="89"/>
      <c r="H138" s="89"/>
      <c r="I138" s="89"/>
      <c r="J138" s="89"/>
      <c r="K138" s="89"/>
      <c r="L138" s="89"/>
      <c r="M138" s="89"/>
      <c r="N138" s="89"/>
      <c r="O138" s="89"/>
      <c r="P138" s="89"/>
      <c r="Q138" s="89"/>
      <c r="R138" s="1121">
        <v>4291343.0400000056</v>
      </c>
      <c r="S138" s="1121">
        <v>2044553.9999999898</v>
      </c>
      <c r="T138" s="551">
        <f>+(R138+S138)/2</f>
        <v>3167948.5199999977</v>
      </c>
      <c r="U138" s="120"/>
    </row>
    <row r="139" spans="1:21">
      <c r="A139" s="116">
        <f>+A138+1</f>
        <v>57</v>
      </c>
      <c r="B139" s="95"/>
      <c r="C139" s="115" t="s">
        <v>635</v>
      </c>
      <c r="D139" s="91"/>
      <c r="E139" s="119" t="s">
        <v>636</v>
      </c>
      <c r="F139" s="724">
        <v>189</v>
      </c>
      <c r="G139" s="89"/>
      <c r="H139" s="89"/>
      <c r="I139" s="89"/>
      <c r="J139" s="89"/>
      <c r="K139" s="89"/>
      <c r="L139" s="89"/>
      <c r="M139" s="89"/>
      <c r="N139" s="89"/>
      <c r="O139" s="89"/>
      <c r="P139" s="89"/>
      <c r="Q139" s="89"/>
      <c r="R139" s="1121">
        <v>0</v>
      </c>
      <c r="S139" s="1121">
        <v>0</v>
      </c>
      <c r="T139" s="551">
        <f>+(S139+R139)/2</f>
        <v>0</v>
      </c>
      <c r="U139" s="120"/>
    </row>
    <row r="140" spans="1:21" s="529" customFormat="1">
      <c r="A140" s="116">
        <f t="shared" si="8"/>
        <v>58</v>
      </c>
      <c r="B140" s="95"/>
      <c r="C140" s="115" t="s">
        <v>637</v>
      </c>
      <c r="D140" s="91"/>
      <c r="E140" s="119" t="s">
        <v>638</v>
      </c>
      <c r="F140" s="724">
        <v>225</v>
      </c>
      <c r="G140" s="89"/>
      <c r="H140" s="89"/>
      <c r="I140" s="89"/>
      <c r="J140" s="89"/>
      <c r="K140" s="89"/>
      <c r="L140" s="89"/>
      <c r="M140" s="89"/>
      <c r="N140" s="89"/>
      <c r="O140" s="89"/>
      <c r="P140" s="89"/>
      <c r="Q140" s="89"/>
      <c r="R140" s="1121">
        <v>2505198.04</v>
      </c>
      <c r="S140" s="1121">
        <v>2413823.08</v>
      </c>
      <c r="T140" s="551">
        <f t="shared" ref="T140:T141" si="9">+(S140+R140)/2</f>
        <v>2459510.56</v>
      </c>
      <c r="U140" s="120"/>
    </row>
    <row r="141" spans="1:21" s="529" customFormat="1">
      <c r="A141" s="116">
        <f t="shared" si="8"/>
        <v>59</v>
      </c>
      <c r="B141" s="95"/>
      <c r="C141" s="115" t="s">
        <v>639</v>
      </c>
      <c r="D141" s="91"/>
      <c r="E141" s="119" t="s">
        <v>640</v>
      </c>
      <c r="F141" s="724">
        <v>226</v>
      </c>
      <c r="G141" s="89"/>
      <c r="H141" s="89"/>
      <c r="I141" s="89"/>
      <c r="J141" s="89"/>
      <c r="K141" s="89"/>
      <c r="L141" s="89"/>
      <c r="M141" s="89"/>
      <c r="N141" s="89"/>
      <c r="O141" s="89"/>
      <c r="P141" s="89"/>
      <c r="Q141" s="89"/>
      <c r="R141" s="1121">
        <v>0</v>
      </c>
      <c r="S141" s="1121">
        <v>0</v>
      </c>
      <c r="T141" s="551">
        <f t="shared" si="9"/>
        <v>0</v>
      </c>
      <c r="U141" s="120"/>
    </row>
    <row r="142" spans="1:21">
      <c r="A142" s="116">
        <f t="shared" si="8"/>
        <v>60</v>
      </c>
      <c r="B142" s="95"/>
      <c r="C142" s="115" t="s">
        <v>641</v>
      </c>
      <c r="D142" s="91"/>
      <c r="E142" s="119" t="s">
        <v>642</v>
      </c>
      <c r="F142" s="724">
        <v>257</v>
      </c>
      <c r="G142" s="89"/>
      <c r="H142" s="89"/>
      <c r="I142" s="89"/>
      <c r="J142" s="89"/>
      <c r="K142" s="89"/>
      <c r="L142" s="89"/>
      <c r="M142" s="89"/>
      <c r="N142" s="89"/>
      <c r="O142" s="89"/>
      <c r="P142" s="89"/>
      <c r="Q142" s="89"/>
      <c r="R142" s="1121">
        <v>0</v>
      </c>
      <c r="S142" s="1121">
        <v>0</v>
      </c>
      <c r="T142" s="551">
        <f>+(R142+S142)/2</f>
        <v>0</v>
      </c>
      <c r="U142" s="120"/>
    </row>
    <row r="143" spans="1:21">
      <c r="A143" s="116">
        <f t="shared" si="8"/>
        <v>61</v>
      </c>
      <c r="B143" s="95"/>
      <c r="C143" s="115" t="s">
        <v>643</v>
      </c>
      <c r="D143" s="91"/>
      <c r="E143" s="667" t="s">
        <v>644</v>
      </c>
      <c r="F143" s="724" t="s">
        <v>645</v>
      </c>
      <c r="G143" s="89"/>
      <c r="H143" s="89"/>
      <c r="I143" s="89"/>
      <c r="J143" s="89"/>
      <c r="K143" s="89"/>
      <c r="L143" s="89"/>
      <c r="M143" s="89"/>
      <c r="N143" s="89"/>
      <c r="O143" s="89"/>
      <c r="P143" s="89"/>
      <c r="Q143" s="89"/>
      <c r="R143" s="1022">
        <f>+'1C - ADIT Prior Year'!D78</f>
        <v>-1477655</v>
      </c>
      <c r="S143" s="1022">
        <f>+'1A - ADIT'!C83</f>
        <v>-1477655</v>
      </c>
      <c r="T143" s="551">
        <f>+(R143+S143)/2</f>
        <v>-1477655</v>
      </c>
      <c r="U143" s="120"/>
    </row>
    <row r="144" spans="1:21" s="529" customFormat="1">
      <c r="A144" s="116">
        <f>+A143+1</f>
        <v>62</v>
      </c>
      <c r="B144" s="95"/>
      <c r="C144" s="115" t="s">
        <v>646</v>
      </c>
      <c r="D144" s="91"/>
      <c r="E144" s="667" t="s">
        <v>647</v>
      </c>
      <c r="F144" s="724">
        <v>176</v>
      </c>
      <c r="G144" s="89"/>
      <c r="H144" s="89"/>
      <c r="I144" s="89"/>
      <c r="J144" s="89"/>
      <c r="K144" s="89"/>
      <c r="L144" s="89"/>
      <c r="M144" s="89"/>
      <c r="N144" s="89"/>
      <c r="O144" s="89"/>
      <c r="P144" s="89"/>
      <c r="Q144" s="89"/>
      <c r="R144" s="1121">
        <v>0</v>
      </c>
      <c r="S144" s="1121">
        <v>0</v>
      </c>
      <c r="T144" s="551">
        <f t="shared" ref="T144:T145" si="10">+(R144+S144)/2</f>
        <v>0</v>
      </c>
      <c r="U144" s="120"/>
    </row>
    <row r="145" spans="1:21" s="529" customFormat="1">
      <c r="A145" s="116">
        <f>+A144+1</f>
        <v>63</v>
      </c>
      <c r="B145" s="95"/>
      <c r="C145" s="115" t="s">
        <v>648</v>
      </c>
      <c r="D145" s="91"/>
      <c r="E145" s="667" t="s">
        <v>649</v>
      </c>
      <c r="F145" s="724">
        <v>245</v>
      </c>
      <c r="G145" s="89"/>
      <c r="H145" s="89"/>
      <c r="I145" s="89"/>
      <c r="J145" s="89"/>
      <c r="K145" s="89"/>
      <c r="L145" s="89"/>
      <c r="M145" s="89"/>
      <c r="N145" s="89"/>
      <c r="O145" s="89"/>
      <c r="P145" s="89"/>
      <c r="Q145" s="89"/>
      <c r="R145" s="1121">
        <v>0</v>
      </c>
      <c r="S145" s="1121">
        <v>0</v>
      </c>
      <c r="T145" s="551">
        <f t="shared" si="10"/>
        <v>0</v>
      </c>
      <c r="U145" s="120"/>
    </row>
    <row r="146" spans="1:21" ht="15.75" thickBot="1">
      <c r="A146" s="141">
        <f>+A145+1</f>
        <v>64</v>
      </c>
      <c r="B146" s="146"/>
      <c r="C146" s="194" t="s">
        <v>128</v>
      </c>
      <c r="D146" s="127"/>
      <c r="E146" s="195" t="s">
        <v>650</v>
      </c>
      <c r="F146" s="730">
        <v>204</v>
      </c>
      <c r="G146" s="142"/>
      <c r="H146" s="142"/>
      <c r="I146" s="142"/>
      <c r="J146" s="142"/>
      <c r="K146" s="142"/>
      <c r="L146" s="142"/>
      <c r="M146" s="142"/>
      <c r="N146" s="142"/>
      <c r="O146" s="142"/>
      <c r="P146" s="142"/>
      <c r="Q146" s="142"/>
      <c r="R146" s="1122">
        <v>0</v>
      </c>
      <c r="S146" s="1122">
        <v>0</v>
      </c>
      <c r="T146" s="999">
        <v>0</v>
      </c>
      <c r="U146" s="145"/>
    </row>
    <row r="147" spans="1:21">
      <c r="A147" s="529"/>
      <c r="B147" s="529"/>
      <c r="C147" s="529"/>
      <c r="D147" s="529"/>
      <c r="E147" s="529"/>
      <c r="G147" s="529"/>
      <c r="H147" s="529"/>
      <c r="I147" s="529"/>
      <c r="J147" s="529"/>
      <c r="K147" s="529"/>
      <c r="L147" s="529"/>
      <c r="M147" s="529"/>
      <c r="N147" s="529"/>
      <c r="O147" s="529"/>
      <c r="P147" s="529"/>
      <c r="Q147" s="529"/>
      <c r="R147" s="529"/>
      <c r="S147" s="87"/>
      <c r="T147" s="87"/>
      <c r="U147" s="87"/>
    </row>
    <row r="148" spans="1:21" ht="15.75">
      <c r="A148" s="113"/>
      <c r="B148" s="529"/>
      <c r="C148" s="529"/>
      <c r="D148" s="529"/>
      <c r="E148" s="529"/>
      <c r="G148" s="529"/>
      <c r="H148" s="529"/>
      <c r="I148" s="529"/>
      <c r="J148" s="529"/>
      <c r="K148" s="529"/>
      <c r="L148" s="529"/>
      <c r="M148" s="529"/>
      <c r="N148" s="529"/>
      <c r="O148" s="529"/>
      <c r="P148" s="529"/>
      <c r="Q148" s="529"/>
      <c r="R148" s="529"/>
      <c r="S148" s="87"/>
      <c r="T148" s="87"/>
      <c r="U148" s="87"/>
    </row>
    <row r="149" spans="1:21" ht="16.5" thickBot="1">
      <c r="A149" s="98" t="s">
        <v>651</v>
      </c>
      <c r="B149" s="529"/>
      <c r="C149" s="529"/>
      <c r="D149" s="529"/>
      <c r="E149" s="529"/>
      <c r="G149" s="529"/>
      <c r="H149" s="529"/>
      <c r="I149" s="529"/>
      <c r="J149" s="529"/>
      <c r="K149" s="529"/>
      <c r="L149" s="529"/>
      <c r="M149" s="529"/>
      <c r="N149" s="529"/>
      <c r="O149" s="529"/>
      <c r="P149" s="529"/>
      <c r="Q149" s="529"/>
      <c r="R149" s="529"/>
      <c r="S149" s="529"/>
      <c r="T149" s="529"/>
      <c r="U149" s="529"/>
    </row>
    <row r="150" spans="1:21" ht="32.25" thickBot="1">
      <c r="A150" s="102" t="s">
        <v>503</v>
      </c>
      <c r="B150" s="103" t="s">
        <v>504</v>
      </c>
      <c r="C150" s="103"/>
      <c r="D150" s="103"/>
      <c r="E150" s="105" t="s">
        <v>505</v>
      </c>
      <c r="F150" s="1082" t="s">
        <v>506</v>
      </c>
      <c r="G150" s="104"/>
      <c r="H150" s="104"/>
      <c r="I150" s="104"/>
      <c r="J150" s="104"/>
      <c r="K150" s="104"/>
      <c r="L150" s="104"/>
      <c r="M150" s="104"/>
      <c r="N150" s="104"/>
      <c r="O150" s="104"/>
      <c r="P150" s="104"/>
      <c r="Q150" s="104"/>
      <c r="R150" s="104"/>
      <c r="S150" s="1082" t="s">
        <v>652</v>
      </c>
      <c r="T150" s="1082" t="s">
        <v>653</v>
      </c>
      <c r="U150" s="1083" t="s">
        <v>654</v>
      </c>
    </row>
    <row r="151" spans="1:21" ht="15.75">
      <c r="A151" s="186" t="s">
        <v>145</v>
      </c>
      <c r="B151" s="196" t="s">
        <v>146</v>
      </c>
      <c r="C151" s="100"/>
      <c r="D151" s="100"/>
      <c r="E151" s="197"/>
      <c r="F151" s="197"/>
      <c r="G151" s="89"/>
      <c r="H151" s="89"/>
      <c r="I151" s="89"/>
      <c r="J151" s="89"/>
      <c r="K151" s="89"/>
      <c r="L151" s="89"/>
      <c r="M151" s="89"/>
      <c r="N151" s="89"/>
      <c r="O151" s="89"/>
      <c r="P151" s="89"/>
      <c r="Q151" s="89"/>
      <c r="R151" s="89"/>
      <c r="S151" s="89"/>
      <c r="T151" s="89"/>
      <c r="U151" s="120"/>
    </row>
    <row r="152" spans="1:21" ht="15.75">
      <c r="A152" s="186"/>
      <c r="B152" s="196"/>
      <c r="C152" s="100"/>
      <c r="D152" s="100"/>
      <c r="E152" s="197"/>
      <c r="F152" s="197"/>
      <c r="G152" s="160"/>
      <c r="H152" s="197"/>
      <c r="I152" s="197"/>
      <c r="J152" s="197"/>
      <c r="K152" s="197"/>
      <c r="L152" s="197"/>
      <c r="M152" s="197"/>
      <c r="N152" s="197"/>
      <c r="O152" s="197"/>
      <c r="P152" s="197"/>
      <c r="Q152" s="197"/>
      <c r="R152" s="197"/>
      <c r="S152" s="101" t="s">
        <v>655</v>
      </c>
      <c r="T152" s="101"/>
      <c r="U152" s="179"/>
    </row>
    <row r="153" spans="1:21">
      <c r="A153" s="186">
        <f>+A146+1</f>
        <v>65</v>
      </c>
      <c r="B153" s="99"/>
      <c r="C153" s="132" t="str">
        <f>+'Appendix A'!C211</f>
        <v>SIT=State Income Tax Rate or Composite</v>
      </c>
      <c r="D153" s="198"/>
      <c r="E153" s="132"/>
      <c r="F153" s="132"/>
      <c r="G153" s="132"/>
      <c r="H153" s="132"/>
      <c r="I153" s="132"/>
      <c r="J153" s="132"/>
      <c r="K153" s="132"/>
      <c r="L153" s="132"/>
      <c r="M153" s="132"/>
      <c r="N153" s="132"/>
      <c r="O153" s="132"/>
      <c r="P153" s="132"/>
      <c r="Q153" s="132"/>
      <c r="R153" s="132"/>
      <c r="S153" s="1123">
        <v>0</v>
      </c>
      <c r="T153" s="199"/>
      <c r="U153" s="200"/>
    </row>
    <row r="154" spans="1:21" ht="15.75" thickBot="1">
      <c r="A154" s="670">
        <f>+A153+1</f>
        <v>66</v>
      </c>
      <c r="B154" s="142"/>
      <c r="C154" s="142" t="s">
        <v>656</v>
      </c>
      <c r="D154" s="142"/>
      <c r="E154" s="142"/>
      <c r="F154" s="142"/>
      <c r="G154" s="142"/>
      <c r="H154" s="142"/>
      <c r="I154" s="142"/>
      <c r="J154" s="142"/>
      <c r="K154" s="142"/>
      <c r="L154" s="142"/>
      <c r="M154" s="142"/>
      <c r="N154" s="142"/>
      <c r="O154" s="142"/>
      <c r="P154" s="142"/>
      <c r="Q154" s="142"/>
      <c r="R154" s="142"/>
      <c r="S154" s="1124">
        <v>1.8499999999999999E-2</v>
      </c>
      <c r="T154" s="142"/>
      <c r="U154" s="145"/>
    </row>
    <row r="157" spans="1:21" s="87" customFormat="1" ht="16.5" thickBot="1">
      <c r="A157" s="98" t="s">
        <v>657</v>
      </c>
    </row>
    <row r="158" spans="1:21" s="87" customFormat="1" ht="32.25" thickBot="1">
      <c r="A158" s="102" t="s">
        <v>503</v>
      </c>
      <c r="B158" s="103" t="s">
        <v>504</v>
      </c>
      <c r="C158" s="103"/>
      <c r="D158" s="103"/>
      <c r="E158" s="105" t="s">
        <v>505</v>
      </c>
      <c r="F158" s="1082" t="s">
        <v>506</v>
      </c>
      <c r="G158" s="136"/>
      <c r="H158" s="104"/>
      <c r="I158" s="104"/>
      <c r="J158" s="104"/>
      <c r="K158" s="104"/>
      <c r="L158" s="104"/>
      <c r="M158" s="104"/>
      <c r="N158" s="104"/>
      <c r="O158" s="104"/>
      <c r="P158" s="104"/>
      <c r="Q158" s="104"/>
      <c r="R158" s="104"/>
      <c r="S158" s="147" t="s">
        <v>541</v>
      </c>
      <c r="T158" s="1195"/>
      <c r="U158" s="1196"/>
    </row>
    <row r="159" spans="1:21" s="87" customFormat="1" ht="15.75">
      <c r="A159" s="116"/>
      <c r="B159" s="123"/>
      <c r="C159" s="95"/>
      <c r="D159" s="95"/>
      <c r="E159" s="95"/>
      <c r="F159" s="95"/>
      <c r="G159" s="91"/>
      <c r="H159" s="95"/>
      <c r="I159" s="95"/>
      <c r="J159" s="95"/>
      <c r="K159" s="95"/>
      <c r="L159" s="95"/>
      <c r="M159" s="95"/>
      <c r="N159" s="95"/>
      <c r="O159" s="95"/>
      <c r="P159" s="95"/>
      <c r="Q159" s="95"/>
      <c r="R159" s="95"/>
      <c r="S159" s="95"/>
      <c r="T159" s="91"/>
      <c r="U159" s="140"/>
    </row>
    <row r="160" spans="1:21" s="87" customFormat="1" ht="15.75">
      <c r="A160" s="116">
        <f>+A154+1</f>
        <v>67</v>
      </c>
      <c r="B160" s="95"/>
      <c r="C160" s="117" t="s">
        <v>658</v>
      </c>
      <c r="D160" s="95"/>
      <c r="E160" s="117" t="s">
        <v>659</v>
      </c>
      <c r="F160" s="187">
        <v>411.4</v>
      </c>
      <c r="G160" s="133"/>
      <c r="H160" s="117"/>
      <c r="I160" s="117"/>
      <c r="J160" s="117"/>
      <c r="K160" s="117"/>
      <c r="L160" s="117"/>
      <c r="M160" s="117"/>
      <c r="N160" s="117"/>
      <c r="O160" s="117"/>
      <c r="P160" s="117"/>
      <c r="Q160" s="117"/>
      <c r="R160" s="117"/>
      <c r="S160" s="1108">
        <v>0</v>
      </c>
      <c r="T160" s="1200"/>
      <c r="U160" s="1201"/>
    </row>
    <row r="161" spans="1:21" s="87" customFormat="1" ht="15.75">
      <c r="A161" s="116">
        <f>+A160+1</f>
        <v>68</v>
      </c>
      <c r="B161" s="95"/>
      <c r="C161" s="117" t="s">
        <v>660</v>
      </c>
      <c r="D161" s="95"/>
      <c r="E161" s="117" t="s">
        <v>659</v>
      </c>
      <c r="F161" s="187">
        <v>411.4</v>
      </c>
      <c r="G161" s="133"/>
      <c r="H161" s="117"/>
      <c r="I161" s="117"/>
      <c r="J161" s="117"/>
      <c r="K161" s="117"/>
      <c r="L161" s="117"/>
      <c r="M161" s="117"/>
      <c r="N161" s="117"/>
      <c r="O161" s="117"/>
      <c r="P161" s="117"/>
      <c r="Q161" s="117"/>
      <c r="R161" s="117"/>
      <c r="S161" s="1108">
        <v>0</v>
      </c>
      <c r="T161" s="1085"/>
      <c r="U161" s="1086"/>
    </row>
    <row r="162" spans="1:21" s="87" customFormat="1" ht="16.5" thickBot="1">
      <c r="A162" s="141">
        <f>+A161+1</f>
        <v>69</v>
      </c>
      <c r="B162" s="146"/>
      <c r="C162" s="126" t="s">
        <v>661</v>
      </c>
      <c r="D162" s="146"/>
      <c r="E162" s="126" t="s">
        <v>662</v>
      </c>
      <c r="F162" s="188"/>
      <c r="G162" s="146" t="s">
        <v>544</v>
      </c>
      <c r="H162" s="146"/>
      <c r="I162" s="146"/>
      <c r="J162" s="146"/>
      <c r="K162" s="146"/>
      <c r="L162" s="146"/>
      <c r="M162" s="146"/>
      <c r="N162" s="146"/>
      <c r="O162" s="146"/>
      <c r="P162" s="146"/>
      <c r="Q162" s="146"/>
      <c r="R162" s="146"/>
      <c r="S162" s="1110">
        <v>232055</v>
      </c>
      <c r="T162" s="1080"/>
      <c r="U162" s="1081"/>
    </row>
    <row r="163" spans="1:21" s="87" customFormat="1" ht="15.75">
      <c r="A163" s="95"/>
      <c r="B163" s="95"/>
      <c r="C163" s="117"/>
      <c r="D163" s="95"/>
      <c r="E163" s="117"/>
      <c r="F163" s="187"/>
      <c r="G163" s="117"/>
      <c r="H163" s="95"/>
      <c r="I163" s="95"/>
      <c r="J163" s="95"/>
      <c r="K163" s="95"/>
      <c r="L163" s="95"/>
      <c r="M163" s="95"/>
      <c r="N163" s="95"/>
      <c r="O163" s="95"/>
      <c r="P163" s="95"/>
      <c r="Q163" s="95"/>
      <c r="R163" s="95"/>
      <c r="S163" s="921"/>
      <c r="T163" s="1085"/>
      <c r="U163" s="1085"/>
    </row>
    <row r="164" spans="1:21" ht="15.75">
      <c r="A164" s="95"/>
      <c r="B164" s="95"/>
      <c r="C164" s="665"/>
      <c r="D164" s="95"/>
      <c r="E164" s="95"/>
      <c r="F164" s="95"/>
      <c r="G164" s="95"/>
      <c r="H164" s="95"/>
      <c r="I164" s="95"/>
      <c r="J164" s="95"/>
      <c r="K164" s="95"/>
      <c r="L164" s="95"/>
      <c r="M164" s="95"/>
      <c r="N164" s="95"/>
      <c r="O164" s="95"/>
      <c r="P164" s="95"/>
      <c r="Q164" s="95"/>
      <c r="R164" s="95"/>
      <c r="S164" s="89"/>
      <c r="T164" s="89"/>
      <c r="U164" s="89"/>
    </row>
    <row r="165" spans="1:21" ht="16.5" thickBot="1">
      <c r="A165" s="169" t="s">
        <v>663</v>
      </c>
      <c r="B165" s="529"/>
      <c r="C165" s="529"/>
      <c r="D165" s="529"/>
      <c r="E165" s="529"/>
      <c r="G165" s="529"/>
      <c r="H165" s="529"/>
      <c r="I165" s="529"/>
      <c r="J165" s="529"/>
      <c r="K165" s="529"/>
      <c r="L165" s="529"/>
      <c r="M165" s="529"/>
      <c r="N165" s="529"/>
      <c r="O165" s="529"/>
      <c r="P165" s="529"/>
      <c r="Q165" s="529"/>
      <c r="R165" s="529"/>
      <c r="S165" s="529"/>
      <c r="T165" s="529"/>
      <c r="U165" s="529"/>
    </row>
    <row r="166" spans="1:21" ht="32.25" thickBot="1">
      <c r="A166" s="164" t="s">
        <v>503</v>
      </c>
      <c r="B166" s="165" t="s">
        <v>504</v>
      </c>
      <c r="C166" s="165"/>
      <c r="D166" s="165"/>
      <c r="E166" s="105" t="s">
        <v>505</v>
      </c>
      <c r="F166" s="1082" t="s">
        <v>506</v>
      </c>
      <c r="G166" s="104" t="s">
        <v>507</v>
      </c>
      <c r="H166" s="104" t="s">
        <v>508</v>
      </c>
      <c r="I166" s="104" t="s">
        <v>509</v>
      </c>
      <c r="J166" s="104" t="s">
        <v>510</v>
      </c>
      <c r="K166" s="104" t="s">
        <v>511</v>
      </c>
      <c r="L166" s="104" t="s">
        <v>379</v>
      </c>
      <c r="M166" s="104" t="s">
        <v>512</v>
      </c>
      <c r="N166" s="104" t="s">
        <v>513</v>
      </c>
      <c r="O166" s="104" t="s">
        <v>514</v>
      </c>
      <c r="P166" s="104" t="s">
        <v>515</v>
      </c>
      <c r="Q166" s="104" t="s">
        <v>516</v>
      </c>
      <c r="R166" s="104" t="s">
        <v>517</v>
      </c>
      <c r="S166" s="104" t="s">
        <v>518</v>
      </c>
      <c r="T166" s="1082" t="s">
        <v>519</v>
      </c>
      <c r="U166" s="1083"/>
    </row>
    <row r="167" spans="1:21" s="87" customFormat="1" ht="15.75">
      <c r="A167" s="172"/>
      <c r="B167" s="173"/>
      <c r="C167" s="173"/>
      <c r="D167" s="173"/>
      <c r="E167" s="883"/>
      <c r="F167" s="175"/>
      <c r="G167" s="174"/>
      <c r="H167" s="174"/>
      <c r="I167" s="174"/>
      <c r="J167" s="174"/>
      <c r="K167" s="174"/>
      <c r="L167" s="174"/>
      <c r="M167" s="174"/>
      <c r="N167" s="174"/>
      <c r="O167" s="174"/>
      <c r="P167" s="174"/>
      <c r="Q167" s="174"/>
      <c r="R167" s="174"/>
      <c r="S167" s="176"/>
      <c r="T167" s="176"/>
      <c r="U167" s="202"/>
    </row>
    <row r="168" spans="1:21" s="89" customFormat="1">
      <c r="A168" s="112">
        <f>+A162+1</f>
        <v>70</v>
      </c>
      <c r="C168" s="89" t="str">
        <f>+'Appendix A'!C257</f>
        <v>Excluded Transmission Facilities</v>
      </c>
      <c r="E168" s="114">
        <v>206</v>
      </c>
      <c r="F168" s="729" t="s">
        <v>531</v>
      </c>
      <c r="G168" s="1108">
        <v>2469683.44</v>
      </c>
      <c r="H168" s="1108">
        <v>2461408</v>
      </c>
      <c r="I168" s="1108">
        <v>2461408</v>
      </c>
      <c r="J168" s="1108">
        <v>2461408</v>
      </c>
      <c r="K168" s="1108">
        <v>2461408</v>
      </c>
      <c r="L168" s="1108">
        <v>2461408</v>
      </c>
      <c r="M168" s="1108">
        <v>2461408</v>
      </c>
      <c r="N168" s="1108">
        <v>2461408</v>
      </c>
      <c r="O168" s="1108">
        <v>2461408</v>
      </c>
      <c r="P168" s="1108">
        <v>2461408</v>
      </c>
      <c r="Q168" s="1108">
        <v>2461408</v>
      </c>
      <c r="R168" s="1108">
        <v>2461408</v>
      </c>
      <c r="S168" s="1108">
        <v>2461408</v>
      </c>
      <c r="T168" s="53">
        <f>+(R168+S168)/2</f>
        <v>2461408</v>
      </c>
      <c r="U168" s="120"/>
    </row>
    <row r="169" spans="1:21" s="89" customFormat="1" ht="15.75" thickBot="1">
      <c r="A169" s="181"/>
      <c r="B169" s="142"/>
      <c r="C169" s="142"/>
      <c r="D169" s="142"/>
      <c r="E169" s="142"/>
      <c r="F169" s="142"/>
      <c r="G169" s="142"/>
      <c r="H169" s="1024"/>
      <c r="I169" s="142"/>
      <c r="J169" s="142"/>
      <c r="K169" s="142"/>
      <c r="L169" s="142"/>
      <c r="M169" s="142"/>
      <c r="N169" s="142"/>
      <c r="O169" s="142"/>
      <c r="P169" s="142"/>
      <c r="Q169" s="142"/>
      <c r="R169" s="142"/>
      <c r="S169" s="142"/>
      <c r="T169" s="142"/>
      <c r="U169" s="145"/>
    </row>
    <row r="170" spans="1:21" s="89" customFormat="1"/>
    <row r="171" spans="1:21">
      <c r="A171" s="95"/>
      <c r="B171" s="95"/>
      <c r="C171" s="95"/>
      <c r="D171" s="95"/>
      <c r="E171" s="95"/>
      <c r="F171" s="95"/>
      <c r="G171" s="95"/>
      <c r="H171" s="95"/>
      <c r="I171" s="95"/>
      <c r="J171" s="95"/>
      <c r="K171" s="95"/>
      <c r="L171" s="95"/>
      <c r="M171" s="95"/>
      <c r="N171" s="95"/>
      <c r="O171" s="95"/>
      <c r="P171" s="95"/>
      <c r="Q171" s="95"/>
      <c r="R171" s="95"/>
      <c r="S171" s="89"/>
      <c r="T171" s="89"/>
      <c r="U171" s="89"/>
    </row>
    <row r="172" spans="1:21" ht="16.5" thickBot="1">
      <c r="A172" s="98" t="s">
        <v>199</v>
      </c>
      <c r="B172" s="529"/>
      <c r="C172" s="529"/>
      <c r="D172" s="529"/>
      <c r="E172" s="529"/>
      <c r="G172" s="529"/>
      <c r="H172" s="529"/>
      <c r="I172" s="529"/>
      <c r="J172" s="529"/>
      <c r="K172" s="529"/>
      <c r="L172" s="529"/>
      <c r="M172" s="529"/>
      <c r="N172" s="529"/>
      <c r="O172" s="529"/>
      <c r="P172" s="529"/>
      <c r="Q172" s="529"/>
      <c r="R172" s="529"/>
      <c r="S172" s="529"/>
      <c r="T172" s="529"/>
      <c r="U172" s="529"/>
    </row>
    <row r="173" spans="1:21" ht="32.25" thickBot="1">
      <c r="A173" s="164" t="s">
        <v>503</v>
      </c>
      <c r="B173" s="165" t="s">
        <v>504</v>
      </c>
      <c r="C173" s="165"/>
      <c r="D173" s="165"/>
      <c r="E173" s="105" t="s">
        <v>505</v>
      </c>
      <c r="F173" s="1082" t="s">
        <v>506</v>
      </c>
      <c r="G173" s="166"/>
      <c r="H173" s="166"/>
      <c r="I173" s="166"/>
      <c r="J173" s="166"/>
      <c r="K173" s="166"/>
      <c r="L173" s="166"/>
      <c r="M173" s="166"/>
      <c r="N173" s="166"/>
      <c r="O173" s="166"/>
      <c r="P173" s="166"/>
      <c r="Q173" s="166"/>
      <c r="R173" s="166"/>
      <c r="S173" s="1084" t="s">
        <v>541</v>
      </c>
      <c r="T173" s="1198"/>
      <c r="U173" s="1199"/>
    </row>
    <row r="174" spans="1:21" s="87" customFormat="1" ht="15.75">
      <c r="A174" s="172"/>
      <c r="B174" s="173"/>
      <c r="C174" s="173"/>
      <c r="D174" s="173"/>
      <c r="E174" s="175"/>
      <c r="F174" s="175"/>
      <c r="G174" s="174"/>
      <c r="H174" s="174"/>
      <c r="I174" s="174"/>
      <c r="J174" s="174"/>
      <c r="K174" s="174"/>
      <c r="L174" s="174"/>
      <c r="M174" s="174"/>
      <c r="N174" s="174"/>
      <c r="O174" s="174"/>
      <c r="P174" s="174"/>
      <c r="Q174" s="174"/>
      <c r="R174" s="174"/>
      <c r="S174" s="176"/>
      <c r="T174" s="176"/>
      <c r="U174" s="177"/>
    </row>
    <row r="175" spans="1:21" ht="15.75">
      <c r="A175" s="116">
        <f>+A168+1</f>
        <v>71</v>
      </c>
      <c r="B175" s="99"/>
      <c r="C175" s="117" t="str">
        <f>+'Appendix A'!C282</f>
        <v>Facility Credits under Section 30.9 of the PJM OATT</v>
      </c>
      <c r="D175" s="131"/>
      <c r="E175" s="95"/>
      <c r="F175" s="882" t="str">
        <f>"(Appendix A, Note "&amp;'Appendix A'!B314&amp;")"</f>
        <v>(Appendix A, Note S)</v>
      </c>
      <c r="G175" s="187"/>
      <c r="H175" s="95"/>
      <c r="I175" s="95"/>
      <c r="J175" s="95"/>
      <c r="K175" s="95"/>
      <c r="L175" s="95"/>
      <c r="M175" s="95"/>
      <c r="N175" s="95"/>
      <c r="O175" s="95"/>
      <c r="P175" s="95"/>
      <c r="Q175" s="95"/>
      <c r="R175" s="95"/>
      <c r="S175" s="1125">
        <v>0</v>
      </c>
      <c r="T175" s="1200"/>
      <c r="U175" s="1201"/>
    </row>
    <row r="176" spans="1:21" ht="15.75" thickBot="1">
      <c r="A176" s="141"/>
      <c r="B176" s="146"/>
      <c r="C176" s="146"/>
      <c r="D176" s="146"/>
      <c r="E176" s="146"/>
      <c r="F176" s="146"/>
      <c r="G176" s="146"/>
      <c r="H176" s="146"/>
      <c r="I176" s="146"/>
      <c r="J176" s="146"/>
      <c r="K176" s="146"/>
      <c r="L176" s="146"/>
      <c r="M176" s="146"/>
      <c r="N176" s="146"/>
      <c r="O176" s="146"/>
      <c r="P176" s="146"/>
      <c r="Q176" s="146"/>
      <c r="R176" s="146"/>
      <c r="S176" s="142"/>
      <c r="T176" s="142"/>
      <c r="U176" s="145"/>
    </row>
    <row r="179" spans="1:21" ht="16.5" thickBot="1">
      <c r="A179" s="98" t="s">
        <v>664</v>
      </c>
      <c r="B179" s="529"/>
      <c r="C179" s="529"/>
      <c r="D179" s="529"/>
      <c r="E179" s="529"/>
      <c r="G179" s="529"/>
      <c r="H179" s="529"/>
      <c r="I179" s="529"/>
      <c r="J179" s="529"/>
      <c r="K179" s="529"/>
      <c r="L179" s="529"/>
      <c r="M179" s="529"/>
      <c r="N179" s="529"/>
      <c r="O179" s="529"/>
      <c r="P179" s="529"/>
      <c r="Q179" s="529"/>
      <c r="R179" s="529"/>
      <c r="S179" s="529"/>
      <c r="T179" s="529"/>
      <c r="U179" s="529"/>
    </row>
    <row r="180" spans="1:21" ht="32.25" thickBot="1">
      <c r="A180" s="164" t="s">
        <v>503</v>
      </c>
      <c r="B180" s="165" t="s">
        <v>504</v>
      </c>
      <c r="C180" s="165"/>
      <c r="D180" s="165"/>
      <c r="E180" s="105" t="s">
        <v>505</v>
      </c>
      <c r="F180" s="1082" t="s">
        <v>506</v>
      </c>
      <c r="G180" s="166"/>
      <c r="H180" s="166"/>
      <c r="I180" s="166"/>
      <c r="J180" s="166"/>
      <c r="K180" s="166"/>
      <c r="L180" s="166"/>
      <c r="M180" s="166"/>
      <c r="N180" s="166"/>
      <c r="O180" s="166"/>
      <c r="P180" s="166"/>
      <c r="Q180" s="166"/>
      <c r="R180" s="166"/>
      <c r="S180" s="1084" t="s">
        <v>665</v>
      </c>
      <c r="T180" s="1195"/>
      <c r="U180" s="1196"/>
    </row>
    <row r="181" spans="1:21" s="87" customFormat="1" ht="15.75">
      <c r="A181" s="172"/>
      <c r="B181" s="173"/>
      <c r="C181" s="173"/>
      <c r="D181" s="173"/>
      <c r="E181" s="175"/>
      <c r="F181" s="175"/>
      <c r="G181" s="174"/>
      <c r="H181" s="174"/>
      <c r="I181" s="174"/>
      <c r="J181" s="174"/>
      <c r="K181" s="174"/>
      <c r="L181" s="174"/>
      <c r="M181" s="174"/>
      <c r="N181" s="174"/>
      <c r="O181" s="174"/>
      <c r="P181" s="174"/>
      <c r="Q181" s="174"/>
      <c r="R181" s="174"/>
      <c r="S181" s="176"/>
      <c r="T181" s="176"/>
      <c r="U181" s="177"/>
    </row>
    <row r="182" spans="1:21" ht="15.75">
      <c r="A182" s="116"/>
      <c r="B182" s="169" t="s">
        <v>666</v>
      </c>
      <c r="C182" s="91"/>
      <c r="D182" s="91"/>
      <c r="E182" s="100"/>
      <c r="F182" s="100"/>
      <c r="G182" s="133"/>
      <c r="H182" s="100"/>
      <c r="I182" s="100"/>
      <c r="J182" s="100"/>
      <c r="K182" s="100"/>
      <c r="L182" s="100"/>
      <c r="M182" s="100"/>
      <c r="N182" s="100"/>
      <c r="O182" s="100"/>
      <c r="P182" s="100"/>
      <c r="Q182" s="100"/>
      <c r="R182" s="100"/>
      <c r="S182" s="89"/>
      <c r="T182" s="89"/>
      <c r="U182" s="120"/>
    </row>
    <row r="183" spans="1:21" ht="15.75">
      <c r="A183" s="116">
        <f>+A175+1</f>
        <v>72</v>
      </c>
      <c r="B183" s="99"/>
      <c r="C183" s="117" t="s">
        <v>667</v>
      </c>
      <c r="D183" s="117"/>
      <c r="E183" s="117" t="s">
        <v>668</v>
      </c>
      <c r="F183" s="187" t="s">
        <v>624</v>
      </c>
      <c r="G183" s="529"/>
      <c r="H183" s="117"/>
      <c r="I183" s="117"/>
      <c r="J183" s="117"/>
      <c r="K183" s="117"/>
      <c r="L183" s="117"/>
      <c r="M183" s="117"/>
      <c r="N183" s="117"/>
      <c r="O183" s="117"/>
      <c r="P183" s="117"/>
      <c r="Q183" s="117"/>
      <c r="R183" s="117"/>
      <c r="S183" s="1126">
        <v>3308.8</v>
      </c>
      <c r="T183" s="1200"/>
      <c r="U183" s="1201"/>
    </row>
    <row r="184" spans="1:21" ht="15.75" thickBot="1">
      <c r="A184" s="181"/>
      <c r="B184" s="142"/>
      <c r="C184" s="142"/>
      <c r="D184" s="142"/>
      <c r="E184" s="142"/>
      <c r="F184" s="142"/>
      <c r="G184" s="142"/>
      <c r="H184" s="142"/>
      <c r="I184" s="142"/>
      <c r="J184" s="142"/>
      <c r="K184" s="142"/>
      <c r="L184" s="142"/>
      <c r="M184" s="142"/>
      <c r="N184" s="142"/>
      <c r="O184" s="142"/>
      <c r="P184" s="142"/>
      <c r="Q184" s="142"/>
      <c r="R184" s="142"/>
      <c r="S184" s="142"/>
      <c r="T184" s="142"/>
      <c r="U184" s="145"/>
    </row>
    <row r="185" spans="1:21">
      <c r="A185" s="89"/>
      <c r="B185" s="89"/>
      <c r="C185" s="89"/>
      <c r="D185" s="203"/>
      <c r="E185" s="89"/>
      <c r="F185" s="89"/>
      <c r="G185" s="89"/>
      <c r="H185" s="89"/>
      <c r="I185" s="89"/>
      <c r="J185" s="89"/>
      <c r="K185" s="89"/>
      <c r="L185" s="89"/>
      <c r="M185" s="89"/>
      <c r="N185" s="89"/>
      <c r="O185" s="89"/>
      <c r="P185" s="89"/>
      <c r="Q185" s="89"/>
      <c r="R185" s="89"/>
      <c r="S185" s="89"/>
      <c r="T185" s="89"/>
      <c r="U185" s="89"/>
    </row>
    <row r="186" spans="1:21" ht="15.75">
      <c r="A186" s="98"/>
      <c r="B186" s="529"/>
      <c r="C186" s="529"/>
      <c r="D186" s="529"/>
      <c r="E186" s="529"/>
      <c r="G186" s="529"/>
      <c r="H186" s="529"/>
      <c r="I186" s="529"/>
      <c r="J186" s="529"/>
      <c r="K186" s="529"/>
      <c r="L186" s="529"/>
      <c r="M186" s="529"/>
      <c r="N186" s="529"/>
      <c r="O186" s="529"/>
      <c r="P186" s="529"/>
      <c r="Q186" s="529"/>
      <c r="R186" s="529"/>
      <c r="S186" s="529"/>
      <c r="T186" s="529"/>
      <c r="U186" s="775"/>
    </row>
    <row r="187" spans="1:21" s="87" customFormat="1" ht="16.5" thickBot="1">
      <c r="A187" s="71" t="s">
        <v>48</v>
      </c>
      <c r="B187" s="69"/>
      <c r="C187" s="69"/>
      <c r="D187" s="69"/>
      <c r="E187" s="69"/>
      <c r="F187" s="69"/>
      <c r="G187" s="69"/>
      <c r="H187" s="69"/>
      <c r="I187" s="69"/>
      <c r="J187" s="69"/>
      <c r="K187" s="83"/>
      <c r="L187" s="83"/>
      <c r="M187" s="83"/>
      <c r="N187" s="83"/>
      <c r="O187" s="83"/>
      <c r="P187" s="83"/>
      <c r="Q187" s="83"/>
      <c r="R187" s="83"/>
      <c r="S187" s="57"/>
      <c r="T187" s="57"/>
      <c r="U187" s="57"/>
    </row>
    <row r="188" spans="1:21" ht="32.25" thickBot="1">
      <c r="A188" s="102" t="s">
        <v>503</v>
      </c>
      <c r="B188" s="103" t="s">
        <v>504</v>
      </c>
      <c r="C188" s="103"/>
      <c r="D188" s="103"/>
      <c r="E188" s="105" t="s">
        <v>505</v>
      </c>
      <c r="F188" s="1082" t="s">
        <v>506</v>
      </c>
      <c r="G188" s="104"/>
      <c r="H188" s="104" t="s">
        <v>669</v>
      </c>
      <c r="I188" s="104" t="s">
        <v>670</v>
      </c>
      <c r="J188" s="104" t="s">
        <v>671</v>
      </c>
      <c r="K188" s="104" t="s">
        <v>69</v>
      </c>
      <c r="L188" s="104"/>
      <c r="M188" s="104"/>
      <c r="N188" s="104"/>
      <c r="O188" s="104"/>
      <c r="P188" s="104"/>
      <c r="Q188" s="104"/>
      <c r="R188" s="104"/>
      <c r="S188" s="1082"/>
      <c r="T188" s="1195"/>
      <c r="U188" s="1196"/>
    </row>
    <row r="189" spans="1:21">
      <c r="A189" s="66"/>
      <c r="B189" s="64"/>
      <c r="C189" s="64"/>
      <c r="D189" s="64"/>
      <c r="E189" s="70"/>
      <c r="F189" s="70"/>
      <c r="G189" s="64"/>
      <c r="H189" s="65"/>
      <c r="I189" s="65"/>
      <c r="J189" s="65"/>
      <c r="K189" s="61"/>
      <c r="L189" s="61"/>
      <c r="M189" s="61"/>
      <c r="N189" s="61"/>
      <c r="O189" s="61"/>
      <c r="P189" s="61"/>
      <c r="Q189" s="61"/>
      <c r="R189" s="61"/>
      <c r="S189" s="56"/>
      <c r="T189" s="62"/>
      <c r="U189" s="63"/>
    </row>
    <row r="190" spans="1:21" ht="15.75">
      <c r="A190" s="554">
        <f>+A183+1</f>
        <v>73</v>
      </c>
      <c r="B190" s="69"/>
      <c r="C190" s="69" t="s">
        <v>672</v>
      </c>
      <c r="D190" s="64"/>
      <c r="E190" s="69" t="s">
        <v>673</v>
      </c>
      <c r="F190" s="69">
        <v>182.1</v>
      </c>
      <c r="G190" s="64"/>
      <c r="H190" s="1127">
        <v>0</v>
      </c>
      <c r="I190" s="1127">
        <v>0</v>
      </c>
      <c r="J190" s="1127">
        <v>0</v>
      </c>
      <c r="K190" s="853">
        <f>+H190+I190+J190</f>
        <v>0</v>
      </c>
      <c r="L190" s="73"/>
      <c r="M190" s="73"/>
      <c r="N190" s="73"/>
      <c r="O190" s="73"/>
      <c r="P190" s="73"/>
      <c r="Q190" s="73"/>
      <c r="R190" s="73"/>
      <c r="S190" s="1077"/>
      <c r="T190" s="74"/>
      <c r="U190" s="76"/>
    </row>
    <row r="191" spans="1:21" ht="15.75">
      <c r="A191" s="554">
        <f>+A190+1</f>
        <v>74</v>
      </c>
      <c r="B191" s="69"/>
      <c r="C191" s="69" t="s">
        <v>674</v>
      </c>
      <c r="D191" s="65"/>
      <c r="E191" s="69" t="str">
        <f>+E190</f>
        <v>Per FERC Order</v>
      </c>
      <c r="F191" s="69"/>
      <c r="G191" s="64"/>
      <c r="H191" s="1127">
        <v>0</v>
      </c>
      <c r="I191" s="1127">
        <v>0</v>
      </c>
      <c r="J191" s="1127">
        <v>0</v>
      </c>
      <c r="K191" s="853"/>
      <c r="L191" s="73"/>
      <c r="M191" s="73"/>
      <c r="N191" s="73"/>
      <c r="O191" s="73"/>
      <c r="P191" s="73"/>
      <c r="Q191" s="73"/>
      <c r="R191" s="73"/>
      <c r="S191" s="1077"/>
      <c r="T191" s="74"/>
      <c r="U191" s="76"/>
    </row>
    <row r="192" spans="1:21" ht="15.75">
      <c r="A192" s="554">
        <f>+A191+1</f>
        <v>75</v>
      </c>
      <c r="B192" s="69"/>
      <c r="C192" s="69" t="s">
        <v>675</v>
      </c>
      <c r="D192" s="65"/>
      <c r="E192" s="69" t="str">
        <f>"(Line "&amp;A190&amp;") / (Line "&amp;A191&amp;")"</f>
        <v>(Line 73) / (Line 74)</v>
      </c>
      <c r="F192" s="69">
        <v>407</v>
      </c>
      <c r="G192" s="64"/>
      <c r="H192" s="854">
        <v>0</v>
      </c>
      <c r="I192" s="855">
        <v>0</v>
      </c>
      <c r="J192" s="854">
        <v>0</v>
      </c>
      <c r="K192" s="853">
        <f>+H192+I192+J192</f>
        <v>0</v>
      </c>
      <c r="L192" s="73"/>
      <c r="M192" s="73"/>
      <c r="N192" s="73"/>
      <c r="O192" s="73"/>
      <c r="P192" s="73"/>
      <c r="Q192" s="73"/>
      <c r="R192" s="73"/>
      <c r="S192" s="1077"/>
      <c r="T192" s="74"/>
      <c r="U192" s="76"/>
    </row>
    <row r="193" spans="1:21" ht="15.75">
      <c r="A193" s="554"/>
      <c r="B193" s="69"/>
      <c r="C193" s="69"/>
      <c r="D193" s="65"/>
      <c r="E193" s="69"/>
      <c r="F193" s="69"/>
      <c r="G193" s="64"/>
      <c r="H193" s="855"/>
      <c r="I193" s="855"/>
      <c r="J193" s="855"/>
      <c r="K193" s="853"/>
      <c r="L193" s="73"/>
      <c r="M193" s="73"/>
      <c r="N193" s="73"/>
      <c r="O193" s="73"/>
      <c r="P193" s="73"/>
      <c r="Q193" s="73"/>
      <c r="R193" s="73"/>
      <c r="S193" s="1077"/>
      <c r="T193" s="74"/>
      <c r="U193" s="76"/>
    </row>
    <row r="194" spans="1:21" ht="15.75">
      <c r="A194" s="554">
        <f>+A192+1</f>
        <v>76</v>
      </c>
      <c r="B194" s="69"/>
      <c r="C194" s="69" t="s">
        <v>676</v>
      </c>
      <c r="D194" s="65"/>
      <c r="E194" s="69" t="str">
        <f>"(Line "&amp;A190&amp;") - (Line "&amp;A192&amp;")"</f>
        <v>(Line 73) - (Line 75)</v>
      </c>
      <c r="F194" s="69">
        <v>182.1</v>
      </c>
      <c r="G194" s="67"/>
      <c r="H194" s="1128">
        <f>+H190-H192</f>
        <v>0</v>
      </c>
      <c r="I194" s="1128">
        <f>+I190-I192</f>
        <v>0</v>
      </c>
      <c r="J194" s="1128">
        <f>+J190-J192</f>
        <v>0</v>
      </c>
      <c r="K194" s="853">
        <f>+H194+I194+J194</f>
        <v>0</v>
      </c>
      <c r="L194" s="73"/>
      <c r="M194" s="73"/>
      <c r="N194" s="73"/>
      <c r="O194" s="73"/>
      <c r="P194" s="73"/>
      <c r="Q194" s="73"/>
      <c r="R194" s="73"/>
      <c r="S194" s="1077"/>
      <c r="T194" s="74"/>
      <c r="U194" s="76"/>
    </row>
    <row r="195" spans="1:21" ht="15.75">
      <c r="A195" s="554">
        <f>+A194+1</f>
        <v>77</v>
      </c>
      <c r="B195" s="69"/>
      <c r="C195" s="69" t="s">
        <v>677</v>
      </c>
      <c r="D195" s="65"/>
      <c r="E195" s="69" t="str">
        <f>"(Line "&amp;A190&amp;") + (Line "&amp;A194&amp;") / 2"</f>
        <v>(Line 73) + (Line 76) / 2</v>
      </c>
      <c r="F195" s="69"/>
      <c r="G195" s="64"/>
      <c r="H195" s="1127">
        <f>+H190/2+H194/2</f>
        <v>0</v>
      </c>
      <c r="I195" s="1128">
        <f>+I190/2+I194/2</f>
        <v>0</v>
      </c>
      <c r="J195" s="1127">
        <f>+J190/2+J194/2</f>
        <v>0</v>
      </c>
      <c r="K195" s="853">
        <f>+H195+I195+J195</f>
        <v>0</v>
      </c>
      <c r="L195" s="73"/>
      <c r="M195" s="73"/>
      <c r="N195" s="73"/>
      <c r="O195" s="73"/>
      <c r="P195" s="73"/>
      <c r="Q195" s="73"/>
      <c r="R195" s="73"/>
      <c r="S195" s="1077"/>
      <c r="T195" s="74"/>
      <c r="U195" s="76"/>
    </row>
    <row r="196" spans="1:21">
      <c r="A196" s="552"/>
      <c r="B196" s="69"/>
      <c r="C196" s="64"/>
      <c r="D196" s="65"/>
      <c r="E196" s="69"/>
      <c r="F196" s="69"/>
      <c r="G196" s="64"/>
      <c r="H196" s="64"/>
      <c r="I196" s="64"/>
      <c r="J196" s="64"/>
      <c r="K196" s="64"/>
      <c r="L196" s="75"/>
      <c r="M196" s="75"/>
      <c r="N196" s="75"/>
      <c r="O196" s="75"/>
      <c r="P196" s="75"/>
      <c r="Q196" s="75"/>
      <c r="R196" s="75"/>
      <c r="S196" s="69"/>
      <c r="T196" s="57"/>
      <c r="U196" s="77"/>
    </row>
    <row r="197" spans="1:21" ht="15.75" thickBot="1">
      <c r="A197" s="553"/>
      <c r="B197" s="78"/>
      <c r="C197" s="78" t="s">
        <v>678</v>
      </c>
      <c r="D197" s="79"/>
      <c r="E197" s="78"/>
      <c r="F197" s="78"/>
      <c r="G197" s="68"/>
      <c r="H197" s="79" t="s">
        <v>679</v>
      </c>
      <c r="I197" s="79" t="s">
        <v>680</v>
      </c>
      <c r="J197" s="79" t="s">
        <v>679</v>
      </c>
      <c r="K197" s="79"/>
      <c r="L197" s="80"/>
      <c r="M197" s="81"/>
      <c r="N197" s="81"/>
      <c r="O197" s="81"/>
      <c r="P197" s="81"/>
      <c r="Q197" s="81"/>
      <c r="R197" s="81"/>
      <c r="S197" s="68"/>
      <c r="T197" s="68"/>
      <c r="U197" s="82"/>
    </row>
    <row r="198" spans="1:21">
      <c r="A198" s="529"/>
      <c r="B198" s="529"/>
      <c r="C198" s="529"/>
      <c r="D198" s="529"/>
      <c r="E198" s="529"/>
      <c r="G198" s="529"/>
      <c r="H198" s="529"/>
      <c r="I198" s="529"/>
      <c r="J198" s="529"/>
      <c r="K198" s="91"/>
      <c r="L198" s="91"/>
      <c r="M198" s="91"/>
      <c r="N198" s="91"/>
      <c r="O198" s="91"/>
      <c r="P198" s="91"/>
      <c r="Q198" s="91"/>
      <c r="R198" s="91"/>
      <c r="S198" s="91"/>
      <c r="T198" s="91"/>
      <c r="U198" s="91"/>
    </row>
    <row r="199" spans="1:21">
      <c r="A199" s="529"/>
      <c r="B199" s="529"/>
      <c r="C199" s="529"/>
      <c r="D199" s="529"/>
      <c r="E199" s="529"/>
      <c r="G199" s="529"/>
      <c r="H199" s="529"/>
      <c r="I199" s="529"/>
      <c r="J199" s="529"/>
      <c r="K199" s="91"/>
      <c r="L199" s="91"/>
      <c r="M199" s="91"/>
      <c r="N199" s="91"/>
      <c r="O199" s="91"/>
      <c r="P199" s="91"/>
      <c r="Q199" s="91"/>
      <c r="R199" s="91"/>
      <c r="S199" s="91"/>
      <c r="T199" s="91"/>
      <c r="U199" s="91"/>
    </row>
    <row r="200" spans="1:21" ht="16.5" thickBot="1">
      <c r="A200" s="98" t="s">
        <v>681</v>
      </c>
      <c r="B200" s="89"/>
      <c r="C200" s="89"/>
      <c r="D200" s="89"/>
      <c r="E200" s="89"/>
      <c r="F200" s="89"/>
      <c r="G200" s="135"/>
      <c r="H200" s="1192"/>
      <c r="I200" s="1192"/>
      <c r="J200" s="1192"/>
      <c r="K200" s="1192"/>
      <c r="L200" s="1192"/>
      <c r="M200" s="1192"/>
      <c r="N200" s="1192"/>
      <c r="O200" s="1192"/>
      <c r="P200" s="1192"/>
      <c r="Q200" s="1192"/>
      <c r="R200" s="1192"/>
      <c r="S200" s="1192"/>
      <c r="T200" s="89"/>
      <c r="U200" s="89"/>
    </row>
    <row r="201" spans="1:21" ht="32.25" thickBot="1">
      <c r="A201" s="102" t="s">
        <v>503</v>
      </c>
      <c r="B201" s="103" t="s">
        <v>504</v>
      </c>
      <c r="C201" s="103"/>
      <c r="D201" s="103"/>
      <c r="E201" s="105" t="s">
        <v>505</v>
      </c>
      <c r="F201" s="1082" t="s">
        <v>506</v>
      </c>
      <c r="G201" s="136"/>
      <c r="H201" s="136"/>
      <c r="I201" s="136"/>
      <c r="J201" s="136"/>
      <c r="K201" s="136"/>
      <c r="L201" s="136"/>
      <c r="M201" s="136"/>
      <c r="N201" s="136"/>
      <c r="O201" s="136"/>
      <c r="P201" s="136"/>
      <c r="Q201" s="1082" t="s">
        <v>550</v>
      </c>
      <c r="R201" s="1082" t="s">
        <v>682</v>
      </c>
      <c r="S201" s="1082" t="s">
        <v>683</v>
      </c>
      <c r="T201" s="1082" t="s">
        <v>519</v>
      </c>
      <c r="U201" s="1083"/>
    </row>
    <row r="202" spans="1:21">
      <c r="A202" s="116"/>
      <c r="B202" s="91"/>
      <c r="C202" s="114"/>
      <c r="D202" s="91"/>
      <c r="E202" s="121"/>
      <c r="F202" s="121"/>
      <c r="G202" s="91"/>
      <c r="H202" s="91"/>
      <c r="I202" s="91"/>
      <c r="J202" s="91"/>
      <c r="K202" s="91"/>
      <c r="L202" s="91"/>
      <c r="M202" s="91"/>
      <c r="N202" s="91"/>
      <c r="O202" s="91"/>
      <c r="P202" s="91"/>
      <c r="Q202" s="26"/>
      <c r="R202" s="26"/>
      <c r="S202" s="20"/>
      <c r="T202" s="20"/>
      <c r="U202" s="140"/>
    </row>
    <row r="203" spans="1:21">
      <c r="A203" s="122">
        <f>+A195+1</f>
        <v>78</v>
      </c>
      <c r="B203" s="91"/>
      <c r="C203" s="114" t="s">
        <v>45</v>
      </c>
      <c r="D203" s="131"/>
      <c r="E203" s="131" t="s">
        <v>684</v>
      </c>
      <c r="F203" s="724">
        <v>254</v>
      </c>
      <c r="G203" s="89"/>
      <c r="H203" s="89"/>
      <c r="I203" s="89"/>
      <c r="J203" s="26"/>
      <c r="K203" s="89"/>
      <c r="L203" s="89"/>
      <c r="M203" s="89"/>
      <c r="N203" s="89"/>
      <c r="O203" s="89"/>
      <c r="P203" s="89"/>
      <c r="Q203" s="1129">
        <f>+'9 - Excess ADIT'!P38+'9 - Excess ADIT'!P64</f>
        <v>-30109875.122095782</v>
      </c>
      <c r="R203" s="1129">
        <f>+'9 - Excess ADIT'!Q70</f>
        <v>-2873033.8514752002</v>
      </c>
      <c r="S203" s="1129">
        <f>+'9 - Excess ADIT'!R38+'9 - Excess ADIT'!R64</f>
        <v>-27236841.270620577</v>
      </c>
      <c r="T203" s="53">
        <f>+(S203+Q203)/2</f>
        <v>-28673358.196358182</v>
      </c>
      <c r="U203" s="120"/>
    </row>
    <row r="204" spans="1:21" ht="16.5" thickBot="1">
      <c r="A204" s="141"/>
      <c r="B204" s="146"/>
      <c r="C204" s="125"/>
      <c r="D204" s="146"/>
      <c r="E204" s="126"/>
      <c r="F204" s="126"/>
      <c r="G204" s="142"/>
      <c r="H204" s="142"/>
      <c r="I204" s="163"/>
      <c r="J204" s="126"/>
      <c r="K204" s="126"/>
      <c r="L204" s="126"/>
      <c r="M204" s="126"/>
      <c r="N204" s="126"/>
      <c r="O204" s="126"/>
      <c r="P204" s="126"/>
      <c r="Q204" s="126"/>
      <c r="R204" s="126"/>
      <c r="S204" s="142"/>
      <c r="T204" s="1190"/>
      <c r="U204" s="1191"/>
    </row>
    <row r="206" spans="1:21" ht="18">
      <c r="A206" s="529"/>
      <c r="B206" s="529"/>
      <c r="C206" s="529"/>
      <c r="D206" s="529"/>
      <c r="E206" s="529"/>
      <c r="G206" s="529"/>
      <c r="H206" s="529"/>
      <c r="I206" s="529"/>
      <c r="J206" s="529"/>
      <c r="K206" s="529"/>
      <c r="L206" s="529"/>
      <c r="M206" s="529"/>
      <c r="N206" s="529"/>
      <c r="O206" s="529"/>
      <c r="P206" s="529"/>
      <c r="Q206" s="529"/>
      <c r="R206" s="529"/>
      <c r="S206" s="529"/>
      <c r="T206" s="529"/>
      <c r="U206" s="878"/>
    </row>
    <row r="207" spans="1:21" ht="16.5" thickBot="1">
      <c r="A207" s="98" t="s">
        <v>64</v>
      </c>
      <c r="B207" s="89"/>
      <c r="C207" s="89"/>
      <c r="D207" s="89"/>
      <c r="E207" s="89"/>
      <c r="F207" s="89"/>
      <c r="G207" s="135"/>
      <c r="H207" s="1192"/>
      <c r="I207" s="1192"/>
      <c r="J207" s="1192"/>
      <c r="K207" s="1192"/>
      <c r="L207" s="1192"/>
      <c r="M207" s="1192"/>
      <c r="N207" s="1192"/>
      <c r="O207" s="1192"/>
      <c r="P207" s="1192"/>
      <c r="Q207" s="1192"/>
      <c r="R207" s="1192"/>
      <c r="S207" s="1192"/>
      <c r="T207" s="89"/>
      <c r="U207" s="775"/>
    </row>
    <row r="208" spans="1:21" ht="32.25" thickBot="1">
      <c r="A208" s="102" t="s">
        <v>503</v>
      </c>
      <c r="B208" s="103" t="s">
        <v>504</v>
      </c>
      <c r="C208" s="103"/>
      <c r="D208" s="103"/>
      <c r="E208" s="105" t="s">
        <v>505</v>
      </c>
      <c r="F208" s="1082" t="s">
        <v>506</v>
      </c>
      <c r="G208" s="104" t="s">
        <v>507</v>
      </c>
      <c r="H208" s="104" t="s">
        <v>508</v>
      </c>
      <c r="I208" s="104" t="s">
        <v>509</v>
      </c>
      <c r="J208" s="104" t="s">
        <v>510</v>
      </c>
      <c r="K208" s="104" t="s">
        <v>511</v>
      </c>
      <c r="L208" s="104" t="s">
        <v>379</v>
      </c>
      <c r="M208" s="104" t="s">
        <v>512</v>
      </c>
      <c r="N208" s="104" t="s">
        <v>513</v>
      </c>
      <c r="O208" s="104" t="s">
        <v>514</v>
      </c>
      <c r="P208" s="104" t="s">
        <v>515</v>
      </c>
      <c r="Q208" s="104" t="s">
        <v>516</v>
      </c>
      <c r="R208" s="104" t="s">
        <v>517</v>
      </c>
      <c r="S208" s="104" t="s">
        <v>518</v>
      </c>
      <c r="T208" s="1082" t="s">
        <v>519</v>
      </c>
      <c r="U208" s="1083"/>
    </row>
    <row r="209" spans="1:21">
      <c r="A209" s="116"/>
      <c r="B209" s="91"/>
      <c r="C209" s="114"/>
      <c r="D209" s="91"/>
      <c r="E209" s="121"/>
      <c r="F209" s="121"/>
      <c r="G209" s="91"/>
      <c r="H209" s="91"/>
      <c r="I209" s="91"/>
      <c r="J209" s="91"/>
      <c r="K209" s="91"/>
      <c r="L209" s="91"/>
      <c r="M209" s="91"/>
      <c r="N209" s="91"/>
      <c r="O209" s="91"/>
      <c r="P209" s="91"/>
      <c r="Q209" s="26"/>
      <c r="R209" s="26"/>
      <c r="S209" s="20"/>
      <c r="T209" s="20"/>
      <c r="U209" s="140"/>
    </row>
    <row r="210" spans="1:21" ht="15.75">
      <c r="A210" s="116"/>
      <c r="B210" s="123" t="s">
        <v>64</v>
      </c>
      <c r="C210" s="114"/>
      <c r="D210" s="91"/>
      <c r="E210" s="121"/>
      <c r="F210" s="121"/>
      <c r="G210" s="133"/>
      <c r="H210" s="91"/>
      <c r="I210" s="91"/>
      <c r="J210" s="91"/>
      <c r="K210" s="91"/>
      <c r="L210" s="91"/>
      <c r="M210" s="91"/>
      <c r="N210" s="91"/>
      <c r="O210" s="91"/>
      <c r="P210" s="91"/>
      <c r="Q210" s="26"/>
      <c r="R210" s="26"/>
      <c r="S210" s="20"/>
      <c r="T210" s="20"/>
      <c r="U210" s="140"/>
    </row>
    <row r="211" spans="1:21">
      <c r="A211" s="116"/>
      <c r="B211" s="91"/>
      <c r="C211" s="114"/>
      <c r="D211" s="91"/>
      <c r="E211" s="121"/>
      <c r="F211" s="121"/>
      <c r="G211" s="91"/>
      <c r="H211" s="91"/>
      <c r="I211" s="91"/>
      <c r="J211" s="91"/>
      <c r="K211" s="91"/>
      <c r="L211" s="91"/>
      <c r="M211" s="91"/>
      <c r="N211" s="91"/>
      <c r="O211" s="91"/>
      <c r="P211" s="91"/>
      <c r="Q211" s="26"/>
      <c r="R211" s="26"/>
      <c r="S211" s="20"/>
      <c r="T211" s="20"/>
      <c r="U211" s="140"/>
    </row>
    <row r="212" spans="1:21">
      <c r="A212" s="122">
        <f>+A203+1</f>
        <v>79</v>
      </c>
      <c r="B212" s="91"/>
      <c r="C212" s="114" t="s">
        <v>65</v>
      </c>
      <c r="D212" s="131"/>
      <c r="E212" s="131" t="s">
        <v>685</v>
      </c>
      <c r="F212" s="727">
        <v>228.1</v>
      </c>
      <c r="G212" s="1130">
        <v>0</v>
      </c>
      <c r="H212" s="1130">
        <v>0</v>
      </c>
      <c r="I212" s="1130">
        <v>0</v>
      </c>
      <c r="J212" s="1130">
        <v>0</v>
      </c>
      <c r="K212" s="1130">
        <v>0</v>
      </c>
      <c r="L212" s="1130">
        <v>0</v>
      </c>
      <c r="M212" s="1130">
        <v>0</v>
      </c>
      <c r="N212" s="1130">
        <v>0</v>
      </c>
      <c r="O212" s="1130">
        <v>0</v>
      </c>
      <c r="P212" s="1130">
        <v>0</v>
      </c>
      <c r="Q212" s="1130">
        <v>0</v>
      </c>
      <c r="R212" s="1130">
        <v>0</v>
      </c>
      <c r="S212" s="1130">
        <v>0</v>
      </c>
      <c r="T212" s="53">
        <f>AVERAGE(G212:S212)</f>
        <v>0</v>
      </c>
      <c r="U212" s="140"/>
    </row>
    <row r="213" spans="1:21" s="529" customFormat="1">
      <c r="A213" s="122">
        <f>+A212+1</f>
        <v>80</v>
      </c>
      <c r="B213" s="91"/>
      <c r="C213" s="114" t="s">
        <v>67</v>
      </c>
      <c r="D213" s="131"/>
      <c r="E213" s="131" t="s">
        <v>686</v>
      </c>
      <c r="F213" s="727">
        <v>228.2</v>
      </c>
      <c r="G213" s="1130">
        <v>-1562939</v>
      </c>
      <c r="H213" s="1130">
        <v>-1562939</v>
      </c>
      <c r="I213" s="1130">
        <v>-1562939</v>
      </c>
      <c r="J213" s="1130">
        <v>-1276939</v>
      </c>
      <c r="K213" s="1130">
        <v>-1276939</v>
      </c>
      <c r="L213" s="1130">
        <v>-1276939</v>
      </c>
      <c r="M213" s="1130">
        <v>-1276939</v>
      </c>
      <c r="N213" s="1130">
        <v>-1276939</v>
      </c>
      <c r="O213" s="1130">
        <v>-1276939</v>
      </c>
      <c r="P213" s="1130">
        <v>-1276939</v>
      </c>
      <c r="Q213" s="1130">
        <v>-1276939</v>
      </c>
      <c r="R213" s="1130">
        <v>-1276939</v>
      </c>
      <c r="S213" s="1130">
        <v>-1735346</v>
      </c>
      <c r="T213" s="53">
        <f>AVERAGE(G213:S213)</f>
        <v>-1378201.076923077</v>
      </c>
      <c r="U213" s="140"/>
    </row>
    <row r="214" spans="1:21" s="529" customFormat="1">
      <c r="A214" s="122">
        <f>+A213+1</f>
        <v>81</v>
      </c>
      <c r="B214" s="91"/>
      <c r="C214" s="114" t="s">
        <v>687</v>
      </c>
      <c r="D214" s="131"/>
      <c r="E214" s="131" t="s">
        <v>688</v>
      </c>
      <c r="F214" s="727">
        <v>228.3</v>
      </c>
      <c r="G214" s="1130">
        <f>-1890880</f>
        <v>-1890880</v>
      </c>
      <c r="H214" s="1130">
        <f>-1890880</f>
        <v>-1890880</v>
      </c>
      <c r="I214" s="1130">
        <f>-1890880</f>
        <v>-1890880</v>
      </c>
      <c r="J214" s="1130">
        <f>-1890880</f>
        <v>-1890880</v>
      </c>
      <c r="K214" s="1130">
        <v>-2019489</v>
      </c>
      <c r="L214" s="1130">
        <v>-2019489</v>
      </c>
      <c r="M214" s="1130">
        <v>-1890880</v>
      </c>
      <c r="N214" s="1130">
        <v>-1900538</v>
      </c>
      <c r="O214" s="1130">
        <v>-1910195</v>
      </c>
      <c r="P214" s="1130">
        <v>-2005633</v>
      </c>
      <c r="Q214" s="1130">
        <v>-1982651</v>
      </c>
      <c r="R214" s="1130">
        <v>-1988531</v>
      </c>
      <c r="S214" s="1130">
        <v>-1793198</v>
      </c>
      <c r="T214" s="53">
        <f>AVERAGE(G214:S214)</f>
        <v>-1928778.7692307692</v>
      </c>
      <c r="U214" s="140"/>
    </row>
    <row r="215" spans="1:21" s="529" customFormat="1">
      <c r="A215" s="122">
        <f>+A214+1</f>
        <v>82</v>
      </c>
      <c r="B215" s="91"/>
      <c r="C215" s="114" t="s">
        <v>689</v>
      </c>
      <c r="D215" s="131"/>
      <c r="E215" s="131" t="s">
        <v>690</v>
      </c>
      <c r="F215" s="727">
        <v>228.4</v>
      </c>
      <c r="G215" s="1130">
        <v>0</v>
      </c>
      <c r="H215" s="1130">
        <v>0</v>
      </c>
      <c r="I215" s="1130">
        <v>0</v>
      </c>
      <c r="J215" s="1130">
        <v>0</v>
      </c>
      <c r="K215" s="1130">
        <v>0</v>
      </c>
      <c r="L215" s="1130">
        <v>0</v>
      </c>
      <c r="M215" s="1130">
        <v>0</v>
      </c>
      <c r="N215" s="1130">
        <v>0</v>
      </c>
      <c r="O215" s="1130">
        <v>0</v>
      </c>
      <c r="P215" s="1130">
        <v>0</v>
      </c>
      <c r="Q215" s="1130">
        <v>0</v>
      </c>
      <c r="R215" s="1130">
        <v>0</v>
      </c>
      <c r="S215" s="1130">
        <v>0</v>
      </c>
      <c r="T215" s="53">
        <f>AVERAGE(G215:S215)</f>
        <v>0</v>
      </c>
      <c r="U215" s="140"/>
    </row>
    <row r="216" spans="1:21" s="529" customFormat="1">
      <c r="A216" s="122"/>
      <c r="B216" s="91"/>
      <c r="C216" s="114"/>
      <c r="D216" s="131"/>
      <c r="E216" s="131"/>
      <c r="F216" s="131"/>
      <c r="G216" s="89"/>
      <c r="H216" s="89"/>
      <c r="I216" s="89"/>
      <c r="J216" s="26"/>
      <c r="K216" s="89"/>
      <c r="L216" s="89"/>
      <c r="M216" s="89"/>
      <c r="N216" s="89"/>
      <c r="O216" s="89"/>
      <c r="P216" s="89"/>
      <c r="Q216" s="49"/>
      <c r="R216" s="49"/>
      <c r="S216" s="49"/>
      <c r="T216" s="49"/>
      <c r="U216" s="120"/>
    </row>
    <row r="217" spans="1:21" ht="16.5" thickBot="1">
      <c r="A217" s="591" t="s">
        <v>691</v>
      </c>
      <c r="B217" s="146"/>
      <c r="C217" s="125"/>
      <c r="D217" s="146"/>
      <c r="E217" s="126"/>
      <c r="F217" s="126"/>
      <c r="G217" s="142"/>
      <c r="H217" s="142"/>
      <c r="I217" s="163"/>
      <c r="J217" s="126"/>
      <c r="K217" s="126"/>
      <c r="L217" s="126"/>
      <c r="M217" s="126"/>
      <c r="N217" s="126"/>
      <c r="O217" s="126"/>
      <c r="P217" s="126"/>
      <c r="Q217" s="126"/>
      <c r="R217" s="126"/>
      <c r="S217" s="142"/>
      <c r="T217" s="1190"/>
      <c r="U217" s="1191"/>
    </row>
    <row r="219" spans="1:21" ht="16.5" thickBot="1">
      <c r="A219" s="98" t="s">
        <v>74</v>
      </c>
      <c r="B219" s="89"/>
      <c r="C219" s="89"/>
      <c r="D219" s="89"/>
      <c r="E219" s="89"/>
      <c r="F219" s="89"/>
      <c r="G219" s="135"/>
      <c r="H219" s="1192"/>
      <c r="I219" s="1192"/>
      <c r="J219" s="1192"/>
      <c r="K219" s="1192"/>
      <c r="L219" s="1192"/>
      <c r="M219" s="1192"/>
      <c r="N219" s="1192"/>
      <c r="O219" s="1192"/>
      <c r="P219" s="1192"/>
      <c r="Q219" s="1192"/>
      <c r="R219" s="1192"/>
      <c r="S219" s="1192"/>
      <c r="T219" s="89"/>
      <c r="U219" s="89"/>
    </row>
    <row r="220" spans="1:21" ht="32.25" thickBot="1">
      <c r="A220" s="102" t="s">
        <v>503</v>
      </c>
      <c r="B220" s="103" t="s">
        <v>504</v>
      </c>
      <c r="C220" s="103"/>
      <c r="D220" s="103"/>
      <c r="E220" s="105" t="s">
        <v>505</v>
      </c>
      <c r="F220" s="1082" t="s">
        <v>506</v>
      </c>
      <c r="G220" s="104" t="s">
        <v>507</v>
      </c>
      <c r="H220" s="104" t="s">
        <v>508</v>
      </c>
      <c r="I220" s="104" t="s">
        <v>509</v>
      </c>
      <c r="J220" s="104" t="s">
        <v>510</v>
      </c>
      <c r="K220" s="104" t="s">
        <v>511</v>
      </c>
      <c r="L220" s="104" t="s">
        <v>379</v>
      </c>
      <c r="M220" s="104" t="s">
        <v>512</v>
      </c>
      <c r="N220" s="104" t="s">
        <v>513</v>
      </c>
      <c r="O220" s="104" t="s">
        <v>514</v>
      </c>
      <c r="P220" s="104" t="s">
        <v>515</v>
      </c>
      <c r="Q220" s="104" t="s">
        <v>516</v>
      </c>
      <c r="R220" s="104" t="s">
        <v>517</v>
      </c>
      <c r="S220" s="104" t="s">
        <v>518</v>
      </c>
      <c r="T220" s="1082" t="s">
        <v>519</v>
      </c>
      <c r="U220" s="1083"/>
    </row>
    <row r="221" spans="1:21">
      <c r="A221" s="116"/>
      <c r="B221" s="91"/>
      <c r="C221" s="114"/>
      <c r="D221" s="91"/>
      <c r="E221" s="121"/>
      <c r="F221" s="121"/>
      <c r="G221" s="91"/>
      <c r="H221" s="91"/>
      <c r="I221" s="91"/>
      <c r="J221" s="91"/>
      <c r="K221" s="91"/>
      <c r="L221" s="91"/>
      <c r="M221" s="91"/>
      <c r="N221" s="91"/>
      <c r="O221" s="91"/>
      <c r="P221" s="91"/>
      <c r="Q221" s="26"/>
      <c r="R221" s="26"/>
      <c r="S221" s="20"/>
      <c r="T221" s="20"/>
      <c r="U221" s="140"/>
    </row>
    <row r="222" spans="1:21">
      <c r="A222" s="122">
        <f>+A215+1</f>
        <v>83</v>
      </c>
      <c r="B222" s="91"/>
      <c r="C222" s="114" t="s">
        <v>692</v>
      </c>
      <c r="D222" s="131"/>
      <c r="E222" s="131" t="s">
        <v>693</v>
      </c>
      <c r="F222" s="131">
        <v>253</v>
      </c>
      <c r="G222" s="1130">
        <v>-1947</v>
      </c>
      <c r="H222" s="1130">
        <v>-1947</v>
      </c>
      <c r="I222" s="1130">
        <v>-1947</v>
      </c>
      <c r="J222" s="1130">
        <v>-1947</v>
      </c>
      <c r="K222" s="1130">
        <v>-1947</v>
      </c>
      <c r="L222" s="1130">
        <v>-1947</v>
      </c>
      <c r="M222" s="1130">
        <v>-1947</v>
      </c>
      <c r="N222" s="1130">
        <v>-1947</v>
      </c>
      <c r="O222" s="1130">
        <v>-1947</v>
      </c>
      <c r="P222" s="1130">
        <v>-1947</v>
      </c>
      <c r="Q222" s="1130">
        <v>-1947</v>
      </c>
      <c r="R222" s="1130">
        <v>-1947</v>
      </c>
      <c r="S222" s="1130">
        <v>-1947</v>
      </c>
      <c r="T222" s="53">
        <f>AVERAGE(G222:S222)</f>
        <v>-1947</v>
      </c>
      <c r="U222" s="140"/>
    </row>
    <row r="223" spans="1:21" ht="16.5" thickBot="1">
      <c r="A223" s="591"/>
      <c r="B223" s="146"/>
      <c r="C223" s="125"/>
      <c r="D223" s="146"/>
      <c r="E223" s="126"/>
      <c r="F223" s="126"/>
      <c r="G223" s="142"/>
      <c r="H223" s="142"/>
      <c r="I223" s="163"/>
      <c r="J223" s="126"/>
      <c r="K223" s="126"/>
      <c r="L223" s="126"/>
      <c r="M223" s="126"/>
      <c r="N223" s="126"/>
      <c r="O223" s="126"/>
      <c r="P223" s="126"/>
      <c r="Q223" s="126"/>
      <c r="R223" s="126"/>
      <c r="S223" s="142"/>
      <c r="T223" s="1190"/>
      <c r="U223" s="1191"/>
    </row>
    <row r="227" spans="1:21" ht="16.5" thickBot="1">
      <c r="A227" s="277" t="s">
        <v>73</v>
      </c>
      <c r="B227" s="529"/>
      <c r="C227" s="529"/>
      <c r="D227" s="529"/>
      <c r="E227" s="529"/>
      <c r="G227" s="529"/>
      <c r="H227" s="529"/>
      <c r="I227" s="529"/>
      <c r="J227" s="529"/>
      <c r="K227" s="529"/>
      <c r="L227" s="529"/>
      <c r="M227" s="529"/>
      <c r="N227" s="529"/>
      <c r="O227" s="529"/>
      <c r="P227" s="529"/>
      <c r="Q227" s="529"/>
      <c r="R227" s="529"/>
      <c r="S227" s="529"/>
      <c r="T227" s="529"/>
      <c r="U227" s="529"/>
    </row>
    <row r="228" spans="1:21" ht="32.25" thickBot="1">
      <c r="A228" s="102" t="s">
        <v>503</v>
      </c>
      <c r="B228" s="103" t="s">
        <v>504</v>
      </c>
      <c r="C228" s="103"/>
      <c r="D228" s="103"/>
      <c r="E228" s="105" t="s">
        <v>505</v>
      </c>
      <c r="F228" s="1082" t="s">
        <v>506</v>
      </c>
      <c r="G228" s="104" t="s">
        <v>507</v>
      </c>
      <c r="H228" s="104" t="s">
        <v>508</v>
      </c>
      <c r="I228" s="104" t="s">
        <v>509</v>
      </c>
      <c r="J228" s="104" t="s">
        <v>510</v>
      </c>
      <c r="K228" s="104" t="s">
        <v>511</v>
      </c>
      <c r="L228" s="104" t="s">
        <v>379</v>
      </c>
      <c r="M228" s="104" t="s">
        <v>512</v>
      </c>
      <c r="N228" s="104" t="s">
        <v>513</v>
      </c>
      <c r="O228" s="104" t="s">
        <v>514</v>
      </c>
      <c r="P228" s="104" t="s">
        <v>515</v>
      </c>
      <c r="Q228" s="104" t="s">
        <v>516</v>
      </c>
      <c r="R228" s="104" t="s">
        <v>517</v>
      </c>
      <c r="S228" s="104" t="s">
        <v>518</v>
      </c>
      <c r="T228" s="1082" t="s">
        <v>519</v>
      </c>
      <c r="U228" s="1083"/>
    </row>
    <row r="229" spans="1:21" s="529" customFormat="1">
      <c r="A229" s="116">
        <f>+A222+1</f>
        <v>84</v>
      </c>
      <c r="B229" s="89"/>
      <c r="C229" s="132" t="s">
        <v>694</v>
      </c>
      <c r="D229" s="89"/>
      <c r="E229" s="197" t="s">
        <v>695</v>
      </c>
      <c r="F229" s="728">
        <v>252</v>
      </c>
      <c r="G229" s="1130">
        <v>0</v>
      </c>
      <c r="H229" s="1130">
        <v>0</v>
      </c>
      <c r="I229" s="1130">
        <v>0</v>
      </c>
      <c r="J229" s="1130">
        <v>0</v>
      </c>
      <c r="K229" s="1130">
        <v>0</v>
      </c>
      <c r="L229" s="1130">
        <v>0</v>
      </c>
      <c r="M229" s="1130">
        <v>0</v>
      </c>
      <c r="N229" s="1130">
        <v>0</v>
      </c>
      <c r="O229" s="1130">
        <v>0</v>
      </c>
      <c r="P229" s="1130">
        <v>0</v>
      </c>
      <c r="Q229" s="1130">
        <v>0</v>
      </c>
      <c r="R229" s="1130">
        <v>0</v>
      </c>
      <c r="S229" s="1130">
        <v>0</v>
      </c>
      <c r="T229" s="53">
        <f>AVERAGE(G229:S229)</f>
        <v>0</v>
      </c>
      <c r="U229" s="120"/>
    </row>
    <row r="230" spans="1:21" s="529" customFormat="1">
      <c r="A230" s="116">
        <f>+A229+1</f>
        <v>85</v>
      </c>
      <c r="B230" s="89"/>
      <c r="C230" s="132" t="s">
        <v>696</v>
      </c>
      <c r="D230" s="89"/>
      <c r="E230" s="513" t="s">
        <v>697</v>
      </c>
      <c r="F230" s="882">
        <v>235</v>
      </c>
      <c r="G230" s="1130">
        <v>-1090911</v>
      </c>
      <c r="H230" s="1130">
        <v>-854127</v>
      </c>
      <c r="I230" s="1130">
        <v>-854127</v>
      </c>
      <c r="J230" s="1130">
        <v>-854127</v>
      </c>
      <c r="K230" s="1130">
        <v>-854127</v>
      </c>
      <c r="L230" s="1130">
        <v>-854127</v>
      </c>
      <c r="M230" s="1130">
        <v>0</v>
      </c>
      <c r="N230" s="1130">
        <v>0</v>
      </c>
      <c r="O230" s="1130">
        <v>0</v>
      </c>
      <c r="P230" s="1130">
        <v>0</v>
      </c>
      <c r="Q230" s="1130">
        <v>0</v>
      </c>
      <c r="R230" s="1130">
        <v>0</v>
      </c>
      <c r="S230" s="1130">
        <v>-154200</v>
      </c>
      <c r="T230" s="53">
        <f>AVERAGE(G230:S230)</f>
        <v>-424288.15384615387</v>
      </c>
      <c r="U230" s="120"/>
    </row>
    <row r="231" spans="1:21" s="529" customFormat="1">
      <c r="A231" s="116">
        <f>+A230+1</f>
        <v>86</v>
      </c>
      <c r="B231" s="89"/>
      <c r="C231" s="132" t="s">
        <v>69</v>
      </c>
      <c r="D231" s="89"/>
      <c r="E231" s="197"/>
      <c r="F231" s="728"/>
      <c r="G231" s="1004"/>
      <c r="H231" s="1004"/>
      <c r="I231" s="1004"/>
      <c r="J231" s="1004"/>
      <c r="K231" s="1004"/>
      <c r="L231" s="1004"/>
      <c r="M231" s="1004"/>
      <c r="N231" s="1004"/>
      <c r="O231" s="1004"/>
      <c r="P231" s="1004"/>
      <c r="Q231" s="1004"/>
      <c r="R231" s="1004"/>
      <c r="S231" s="1004"/>
      <c r="T231" s="53">
        <f>+T229+T230</f>
        <v>-424288.15384615387</v>
      </c>
      <c r="U231" s="120"/>
    </row>
    <row r="232" spans="1:21" ht="15.75" thickBot="1">
      <c r="A232" s="591"/>
      <c r="B232" s="142"/>
      <c r="C232" s="143"/>
      <c r="D232" s="142"/>
      <c r="E232" s="142" t="s">
        <v>698</v>
      </c>
      <c r="F232" s="144"/>
      <c r="G232" s="31"/>
      <c r="H232" s="31"/>
      <c r="I232" s="31"/>
      <c r="J232" s="31"/>
      <c r="K232" s="31"/>
      <c r="L232" s="31"/>
      <c r="M232" s="31"/>
      <c r="N232" s="31"/>
      <c r="O232" s="31"/>
      <c r="P232" s="31"/>
      <c r="Q232" s="31"/>
      <c r="R232" s="31"/>
      <c r="S232" s="31"/>
      <c r="T232" s="31"/>
      <c r="U232" s="145"/>
    </row>
    <row r="235" spans="1:21" ht="16.5" thickBot="1">
      <c r="A235" s="277" t="s">
        <v>75</v>
      </c>
      <c r="B235" s="529"/>
      <c r="C235" s="529"/>
      <c r="D235" s="529"/>
      <c r="E235" s="529"/>
      <c r="G235" s="529"/>
      <c r="H235" s="529"/>
      <c r="I235" s="529"/>
      <c r="J235" s="529"/>
      <c r="K235" s="529"/>
      <c r="L235" s="529"/>
      <c r="M235" s="529"/>
      <c r="N235" s="529"/>
      <c r="O235" s="529"/>
      <c r="P235" s="529"/>
      <c r="Q235" s="529"/>
      <c r="R235" s="529"/>
      <c r="S235" s="529"/>
      <c r="T235" s="529"/>
      <c r="U235" s="529"/>
    </row>
    <row r="236" spans="1:21" ht="32.25" thickBot="1">
      <c r="A236" s="102" t="s">
        <v>503</v>
      </c>
      <c r="B236" s="103" t="s">
        <v>504</v>
      </c>
      <c r="C236" s="103"/>
      <c r="D236" s="103"/>
      <c r="E236" s="105" t="s">
        <v>505</v>
      </c>
      <c r="F236" s="1082" t="s">
        <v>506</v>
      </c>
      <c r="G236" s="666"/>
      <c r="H236" s="136"/>
      <c r="I236" s="136"/>
      <c r="J236" s="136"/>
      <c r="K236" s="136"/>
      <c r="L236" s="136"/>
      <c r="M236" s="136"/>
      <c r="N236" s="136"/>
      <c r="O236" s="136"/>
      <c r="P236" s="136"/>
      <c r="Q236" s="136"/>
      <c r="R236" s="1082"/>
      <c r="S236" s="1082"/>
      <c r="T236" s="1082" t="s">
        <v>519</v>
      </c>
      <c r="U236" s="137"/>
    </row>
    <row r="237" spans="1:21">
      <c r="A237" s="116">
        <f>+A231+1</f>
        <v>87</v>
      </c>
      <c r="B237" s="89"/>
      <c r="C237" s="132" t="s">
        <v>699</v>
      </c>
      <c r="D237" s="89"/>
      <c r="E237" s="529" t="s">
        <v>700</v>
      </c>
      <c r="F237" s="728">
        <v>242</v>
      </c>
      <c r="G237" s="133"/>
      <c r="H237" s="89"/>
      <c r="I237" s="89"/>
      <c r="J237" s="89"/>
      <c r="K237" s="89"/>
      <c r="L237" s="89"/>
      <c r="M237" s="89"/>
      <c r="N237" s="89"/>
      <c r="O237" s="89"/>
      <c r="P237" s="89"/>
      <c r="Q237" s="89"/>
      <c r="R237" s="53"/>
      <c r="S237" s="53"/>
      <c r="T237" s="53">
        <f>+'10 - Misc. Liabilities'!W22</f>
        <v>-1743491.2168173818</v>
      </c>
      <c r="U237" s="140"/>
    </row>
    <row r="238" spans="1:21" ht="15.75" thickBot="1">
      <c r="A238" s="181"/>
      <c r="B238" s="142"/>
      <c r="C238" s="142"/>
      <c r="D238" s="142"/>
      <c r="E238" s="142"/>
      <c r="F238" s="142"/>
      <c r="G238" s="142"/>
      <c r="H238" s="142"/>
      <c r="I238" s="142"/>
      <c r="J238" s="142"/>
      <c r="K238" s="142"/>
      <c r="L238" s="142"/>
      <c r="M238" s="142"/>
      <c r="N238" s="142"/>
      <c r="O238" s="142"/>
      <c r="P238" s="142"/>
      <c r="Q238" s="142"/>
      <c r="R238" s="142"/>
      <c r="S238" s="142"/>
      <c r="T238" s="142"/>
      <c r="U238" s="145"/>
    </row>
    <row r="239" spans="1:21" ht="15.75" thickBot="1">
      <c r="A239" s="529"/>
      <c r="B239" s="529"/>
      <c r="C239" s="529"/>
      <c r="D239" s="529"/>
      <c r="E239" s="529"/>
      <c r="G239" s="529"/>
      <c r="H239" s="529"/>
      <c r="I239" s="529"/>
      <c r="J239" s="529"/>
      <c r="K239" s="529"/>
      <c r="L239" s="529"/>
      <c r="M239" s="529"/>
      <c r="N239" s="529"/>
      <c r="O239" s="529"/>
      <c r="P239" s="529"/>
      <c r="Q239" s="529"/>
      <c r="R239" s="529"/>
      <c r="S239" s="529"/>
      <c r="T239" s="529"/>
      <c r="U239" s="529"/>
    </row>
    <row r="240" spans="1:21" ht="16.5" thickBot="1">
      <c r="A240" s="277" t="s">
        <v>701</v>
      </c>
      <c r="B240" s="529"/>
      <c r="C240" s="529"/>
      <c r="D240" s="529"/>
      <c r="E240" s="529"/>
      <c r="G240" s="271" t="s">
        <v>502</v>
      </c>
      <c r="H240" s="1187" t="s">
        <v>702</v>
      </c>
      <c r="I240" s="1188"/>
      <c r="J240" s="1188"/>
      <c r="K240" s="1188"/>
      <c r="L240" s="1188"/>
      <c r="M240" s="1188"/>
      <c r="N240" s="1188"/>
      <c r="O240" s="1188"/>
      <c r="P240" s="1188"/>
      <c r="Q240" s="1188"/>
      <c r="R240" s="1188"/>
      <c r="S240" s="1189"/>
      <c r="T240" s="89"/>
      <c r="U240" s="89"/>
    </row>
    <row r="241" spans="1:21" ht="32.25" thickBot="1">
      <c r="A241" s="102" t="s">
        <v>503</v>
      </c>
      <c r="B241" s="103" t="s">
        <v>504</v>
      </c>
      <c r="C241" s="103"/>
      <c r="D241" s="103"/>
      <c r="E241" s="105" t="s">
        <v>505</v>
      </c>
      <c r="F241" s="1082" t="s">
        <v>506</v>
      </c>
      <c r="G241" s="737" t="s">
        <v>507</v>
      </c>
      <c r="H241" s="104" t="s">
        <v>508</v>
      </c>
      <c r="I241" s="104" t="s">
        <v>509</v>
      </c>
      <c r="J241" s="104" t="s">
        <v>510</v>
      </c>
      <c r="K241" s="104" t="s">
        <v>511</v>
      </c>
      <c r="L241" s="104" t="s">
        <v>379</v>
      </c>
      <c r="M241" s="104" t="s">
        <v>512</v>
      </c>
      <c r="N241" s="104" t="s">
        <v>513</v>
      </c>
      <c r="O241" s="104" t="s">
        <v>514</v>
      </c>
      <c r="P241" s="104" t="s">
        <v>515</v>
      </c>
      <c r="Q241" s="104" t="s">
        <v>516</v>
      </c>
      <c r="R241" s="104" t="s">
        <v>517</v>
      </c>
      <c r="S241" s="104" t="s">
        <v>518</v>
      </c>
      <c r="T241" s="1083" t="s">
        <v>519</v>
      </c>
      <c r="U241" s="1085"/>
    </row>
    <row r="242" spans="1:21">
      <c r="A242" s="116"/>
      <c r="B242" s="89" t="str">
        <f>+'7A - Project ROE Adder'!G8</f>
        <v>Name</v>
      </c>
      <c r="C242" s="132"/>
      <c r="D242" s="89"/>
      <c r="E242" s="529"/>
      <c r="F242" s="728"/>
      <c r="G242" s="529"/>
      <c r="H242" s="529"/>
      <c r="I242" s="529"/>
      <c r="J242" s="529"/>
      <c r="K242" s="529"/>
      <c r="L242" s="529"/>
      <c r="M242" s="529"/>
      <c r="N242" s="529"/>
      <c r="O242" s="529"/>
      <c r="P242" s="529"/>
      <c r="Q242" s="529"/>
      <c r="R242" s="529"/>
      <c r="S242" s="529"/>
      <c r="T242" s="778"/>
      <c r="U242" s="89"/>
    </row>
    <row r="243" spans="1:21" s="529" customFormat="1">
      <c r="A243" s="116">
        <f>+A237+1</f>
        <v>88</v>
      </c>
      <c r="B243" s="89" t="s">
        <v>703</v>
      </c>
      <c r="C243" s="132"/>
      <c r="D243" s="89"/>
      <c r="E243" s="258">
        <v>206</v>
      </c>
      <c r="F243" s="728"/>
      <c r="G243" s="1131">
        <v>0</v>
      </c>
      <c r="H243" s="1132">
        <v>0</v>
      </c>
      <c r="I243" s="1132">
        <v>0</v>
      </c>
      <c r="J243" s="1132">
        <v>0</v>
      </c>
      <c r="K243" s="1132">
        <v>0</v>
      </c>
      <c r="L243" s="1132">
        <v>0</v>
      </c>
      <c r="M243" s="1132">
        <v>0</v>
      </c>
      <c r="N243" s="1132">
        <v>0</v>
      </c>
      <c r="O243" s="1132">
        <v>0</v>
      </c>
      <c r="P243" s="1132">
        <v>0</v>
      </c>
      <c r="Q243" s="1132">
        <v>0</v>
      </c>
      <c r="R243" s="1133">
        <v>0</v>
      </c>
      <c r="S243" s="1133">
        <v>0</v>
      </c>
      <c r="T243" s="859">
        <f>+SUM(G243:S243)/13</f>
        <v>0</v>
      </c>
      <c r="U243" s="89"/>
    </row>
    <row r="244" spans="1:21" s="529" customFormat="1">
      <c r="A244" s="116">
        <f>+A243+1</f>
        <v>89</v>
      </c>
      <c r="B244" s="89" t="s">
        <v>33</v>
      </c>
      <c r="C244" s="132"/>
      <c r="D244" s="89"/>
      <c r="E244" s="258">
        <v>219</v>
      </c>
      <c r="F244" s="728"/>
      <c r="G244" s="1131">
        <v>0</v>
      </c>
      <c r="H244" s="1132">
        <v>0</v>
      </c>
      <c r="I244" s="1132">
        <v>0</v>
      </c>
      <c r="J244" s="1132">
        <v>0</v>
      </c>
      <c r="K244" s="1132">
        <v>0</v>
      </c>
      <c r="L244" s="1132">
        <v>0</v>
      </c>
      <c r="M244" s="1132">
        <v>0</v>
      </c>
      <c r="N244" s="1132">
        <v>0</v>
      </c>
      <c r="O244" s="1132">
        <v>0</v>
      </c>
      <c r="P244" s="1132">
        <v>0</v>
      </c>
      <c r="Q244" s="1132">
        <v>0</v>
      </c>
      <c r="R244" s="1133">
        <v>0</v>
      </c>
      <c r="S244" s="1133">
        <v>0</v>
      </c>
      <c r="T244" s="859">
        <f t="shared" ref="T244" si="11">+SUM(G244:S244)/13</f>
        <v>0</v>
      </c>
      <c r="U244" s="89"/>
    </row>
    <row r="245" spans="1:21" s="529" customFormat="1">
      <c r="A245" s="116">
        <f>+A244+1</f>
        <v>90</v>
      </c>
      <c r="B245" s="89" t="s">
        <v>43</v>
      </c>
      <c r="C245" s="132"/>
      <c r="D245" s="89"/>
      <c r="E245" s="258">
        <v>274</v>
      </c>
      <c r="F245" s="728"/>
      <c r="G245" s="857">
        <v>0</v>
      </c>
      <c r="H245" s="115"/>
      <c r="I245" s="115"/>
      <c r="J245" s="115"/>
      <c r="K245" s="115"/>
      <c r="L245" s="115"/>
      <c r="M245" s="115"/>
      <c r="N245" s="115"/>
      <c r="O245" s="115"/>
      <c r="P245" s="115"/>
      <c r="Q245" s="115"/>
      <c r="R245" s="53"/>
      <c r="S245" s="856">
        <v>0</v>
      </c>
      <c r="T245" s="859">
        <f>+(G245+S245)/2</f>
        <v>0</v>
      </c>
      <c r="U245" s="89"/>
    </row>
    <row r="246" spans="1:21" s="529" customFormat="1">
      <c r="A246" s="116"/>
      <c r="B246" s="89"/>
      <c r="C246" s="132"/>
      <c r="D246" s="89"/>
      <c r="E246" s="258"/>
      <c r="F246" s="728"/>
      <c r="G246" s="160"/>
      <c r="H246" s="698"/>
      <c r="I246" s="698"/>
      <c r="J246" s="698"/>
      <c r="K246" s="698"/>
      <c r="L246" s="698"/>
      <c r="M246" s="698"/>
      <c r="N246" s="698"/>
      <c r="O246" s="698"/>
      <c r="P246" s="698"/>
      <c r="Q246" s="698"/>
      <c r="R246" s="53"/>
      <c r="S246" s="53"/>
      <c r="T246" s="859"/>
      <c r="U246" s="89"/>
    </row>
    <row r="247" spans="1:21" s="529" customFormat="1">
      <c r="A247" s="116"/>
      <c r="B247" s="89" t="str">
        <f>+'7A - Project ROE Adder'!I8</f>
        <v>Name</v>
      </c>
      <c r="C247" s="132"/>
      <c r="D247" s="89"/>
      <c r="E247" s="258"/>
      <c r="F247" s="728"/>
      <c r="G247" s="513"/>
      <c r="H247" s="513"/>
      <c r="I247" s="513"/>
      <c r="J247" s="513"/>
      <c r="K247" s="513"/>
      <c r="L247" s="513"/>
      <c r="M247" s="513"/>
      <c r="N247" s="513"/>
      <c r="O247" s="513"/>
      <c r="P247" s="513"/>
      <c r="Q247" s="513"/>
      <c r="R247" s="513"/>
      <c r="S247" s="513"/>
      <c r="T247" s="860"/>
      <c r="U247" s="89"/>
    </row>
    <row r="248" spans="1:21">
      <c r="A248" s="116">
        <f>+A245+1</f>
        <v>91</v>
      </c>
      <c r="B248" s="89" t="s">
        <v>703</v>
      </c>
      <c r="C248" s="132"/>
      <c r="D248" s="89"/>
      <c r="E248" s="258">
        <v>206</v>
      </c>
      <c r="F248" s="728"/>
      <c r="G248" s="857">
        <v>0</v>
      </c>
      <c r="H248" s="858">
        <v>0</v>
      </c>
      <c r="I248" s="858">
        <v>0</v>
      </c>
      <c r="J248" s="858">
        <v>0</v>
      </c>
      <c r="K248" s="858">
        <v>0</v>
      </c>
      <c r="L248" s="858">
        <v>0</v>
      </c>
      <c r="M248" s="858">
        <v>0</v>
      </c>
      <c r="N248" s="858">
        <v>0</v>
      </c>
      <c r="O248" s="858">
        <v>0</v>
      </c>
      <c r="P248" s="858">
        <v>0</v>
      </c>
      <c r="Q248" s="858">
        <v>0</v>
      </c>
      <c r="R248" s="856">
        <v>0</v>
      </c>
      <c r="S248" s="856">
        <v>0</v>
      </c>
      <c r="T248" s="859">
        <f>+SUM(G248:S248)/13</f>
        <v>0</v>
      </c>
      <c r="U248" s="89"/>
    </row>
    <row r="249" spans="1:21">
      <c r="A249" s="116">
        <f>+A248+1</f>
        <v>92</v>
      </c>
      <c r="B249" s="89" t="s">
        <v>33</v>
      </c>
      <c r="C249" s="132"/>
      <c r="D249" s="89"/>
      <c r="E249" s="258">
        <v>219</v>
      </c>
      <c r="F249" s="728"/>
      <c r="G249" s="857">
        <v>0</v>
      </c>
      <c r="H249" s="858">
        <v>0</v>
      </c>
      <c r="I249" s="858">
        <v>0</v>
      </c>
      <c r="J249" s="858">
        <v>0</v>
      </c>
      <c r="K249" s="858">
        <v>0</v>
      </c>
      <c r="L249" s="858">
        <v>0</v>
      </c>
      <c r="M249" s="858">
        <v>0</v>
      </c>
      <c r="N249" s="858">
        <v>0</v>
      </c>
      <c r="O249" s="858">
        <v>0</v>
      </c>
      <c r="P249" s="858">
        <v>0</v>
      </c>
      <c r="Q249" s="858">
        <v>0</v>
      </c>
      <c r="R249" s="856">
        <v>0</v>
      </c>
      <c r="S249" s="856">
        <v>0</v>
      </c>
      <c r="T249" s="859">
        <f t="shared" ref="T249" si="12">+SUM(G249:S249)/13</f>
        <v>0</v>
      </c>
      <c r="U249" s="529"/>
    </row>
    <row r="250" spans="1:21">
      <c r="A250" s="116">
        <f>+A249+1</f>
        <v>93</v>
      </c>
      <c r="B250" s="89" t="s">
        <v>43</v>
      </c>
      <c r="C250" s="132"/>
      <c r="D250" s="89"/>
      <c r="E250" s="258">
        <v>274</v>
      </c>
      <c r="F250" s="728"/>
      <c r="G250" s="857">
        <v>0</v>
      </c>
      <c r="H250" s="115"/>
      <c r="I250" s="115"/>
      <c r="J250" s="115"/>
      <c r="K250" s="115"/>
      <c r="L250" s="115"/>
      <c r="M250" s="115"/>
      <c r="N250" s="115"/>
      <c r="O250" s="115"/>
      <c r="P250" s="115"/>
      <c r="Q250" s="115"/>
      <c r="R250" s="53"/>
      <c r="S250" s="856">
        <v>0</v>
      </c>
      <c r="T250" s="859">
        <f>+(G250+S250)/2</f>
        <v>0</v>
      </c>
      <c r="U250" s="529"/>
    </row>
    <row r="251" spans="1:21">
      <c r="A251" s="529"/>
      <c r="B251" s="529"/>
      <c r="C251" s="529"/>
      <c r="D251" s="529"/>
      <c r="E251" s="258"/>
      <c r="G251" s="513"/>
      <c r="H251" s="513"/>
      <c r="I251" s="513"/>
      <c r="J251" s="513"/>
      <c r="K251" s="513"/>
      <c r="L251" s="513"/>
      <c r="M251" s="513"/>
      <c r="N251" s="513"/>
      <c r="O251" s="513"/>
      <c r="P251" s="513"/>
      <c r="Q251" s="513"/>
      <c r="R251" s="513"/>
      <c r="S251" s="513"/>
      <c r="T251" s="860"/>
      <c r="U251" s="529"/>
    </row>
    <row r="252" spans="1:21">
      <c r="A252" s="116"/>
      <c r="B252" s="89" t="str">
        <f>+'7A - Project ROE Adder'!K8</f>
        <v>Name</v>
      </c>
      <c r="C252" s="132"/>
      <c r="D252" s="89"/>
      <c r="E252" s="258"/>
      <c r="F252" s="728"/>
      <c r="G252" s="513"/>
      <c r="H252" s="513"/>
      <c r="I252" s="513"/>
      <c r="J252" s="513"/>
      <c r="K252" s="513"/>
      <c r="L252" s="513"/>
      <c r="M252" s="513"/>
      <c r="N252" s="513"/>
      <c r="O252" s="513"/>
      <c r="P252" s="513"/>
      <c r="Q252" s="513"/>
      <c r="R252" s="513"/>
      <c r="S252" s="513"/>
      <c r="T252" s="860"/>
      <c r="U252" s="529"/>
    </row>
    <row r="253" spans="1:21">
      <c r="A253" s="116">
        <f>+A250+1</f>
        <v>94</v>
      </c>
      <c r="B253" s="89" t="s">
        <v>703</v>
      </c>
      <c r="C253" s="132"/>
      <c r="D253" s="89"/>
      <c r="E253" s="258">
        <v>206</v>
      </c>
      <c r="F253" s="728"/>
      <c r="G253" s="857">
        <v>0</v>
      </c>
      <c r="H253" s="858">
        <v>0</v>
      </c>
      <c r="I253" s="858">
        <v>0</v>
      </c>
      <c r="J253" s="858">
        <v>0</v>
      </c>
      <c r="K253" s="858">
        <v>0</v>
      </c>
      <c r="L253" s="858">
        <v>0</v>
      </c>
      <c r="M253" s="858">
        <v>0</v>
      </c>
      <c r="N253" s="858">
        <v>0</v>
      </c>
      <c r="O253" s="858">
        <v>0</v>
      </c>
      <c r="P253" s="858">
        <v>0</v>
      </c>
      <c r="Q253" s="858">
        <v>0</v>
      </c>
      <c r="R253" s="856">
        <v>0</v>
      </c>
      <c r="S253" s="856">
        <v>0</v>
      </c>
      <c r="T253" s="859">
        <f>+SUM(G253:S253)/13</f>
        <v>0</v>
      </c>
      <c r="U253" s="529"/>
    </row>
    <row r="254" spans="1:21">
      <c r="A254" s="116">
        <f>+A253+1</f>
        <v>95</v>
      </c>
      <c r="B254" s="89" t="s">
        <v>33</v>
      </c>
      <c r="C254" s="132"/>
      <c r="D254" s="89"/>
      <c r="E254" s="258">
        <v>219</v>
      </c>
      <c r="F254" s="728"/>
      <c r="G254" s="857">
        <v>0</v>
      </c>
      <c r="H254" s="858">
        <v>0</v>
      </c>
      <c r="I254" s="858">
        <v>0</v>
      </c>
      <c r="J254" s="858">
        <v>0</v>
      </c>
      <c r="K254" s="858">
        <v>0</v>
      </c>
      <c r="L254" s="858">
        <v>0</v>
      </c>
      <c r="M254" s="858">
        <v>0</v>
      </c>
      <c r="N254" s="858">
        <v>0</v>
      </c>
      <c r="O254" s="858">
        <v>0</v>
      </c>
      <c r="P254" s="858">
        <v>0</v>
      </c>
      <c r="Q254" s="858">
        <v>0</v>
      </c>
      <c r="R254" s="856">
        <v>0</v>
      </c>
      <c r="S254" s="856">
        <v>0</v>
      </c>
      <c r="T254" s="859">
        <f t="shared" ref="T254" si="13">+SUM(G254:S254)/13</f>
        <v>0</v>
      </c>
      <c r="U254" s="529"/>
    </row>
    <row r="255" spans="1:21">
      <c r="A255" s="116">
        <f>+A254+1</f>
        <v>96</v>
      </c>
      <c r="B255" s="89" t="s">
        <v>43</v>
      </c>
      <c r="C255" s="132"/>
      <c r="D255" s="89"/>
      <c r="E255" s="258">
        <v>274</v>
      </c>
      <c r="F255" s="728"/>
      <c r="G255" s="857">
        <v>0</v>
      </c>
      <c r="H255" s="115"/>
      <c r="I255" s="115"/>
      <c r="J255" s="115"/>
      <c r="K255" s="115"/>
      <c r="L255" s="115"/>
      <c r="M255" s="115"/>
      <c r="N255" s="115"/>
      <c r="O255" s="115"/>
      <c r="P255" s="115"/>
      <c r="Q255" s="115"/>
      <c r="R255" s="53"/>
      <c r="S255" s="856">
        <v>0</v>
      </c>
      <c r="T255" s="859">
        <f>+(G255+S255)/2</f>
        <v>0</v>
      </c>
      <c r="U255" s="529"/>
    </row>
    <row r="256" spans="1:21">
      <c r="A256" s="529"/>
      <c r="B256" s="529"/>
      <c r="C256" s="529"/>
      <c r="D256" s="529"/>
      <c r="E256" s="258"/>
      <c r="G256" s="513"/>
      <c r="H256" s="513"/>
      <c r="I256" s="513"/>
      <c r="J256" s="513"/>
      <c r="K256" s="513"/>
      <c r="L256" s="513"/>
      <c r="M256" s="513"/>
      <c r="N256" s="513"/>
      <c r="O256" s="513"/>
      <c r="P256" s="513"/>
      <c r="Q256" s="513"/>
      <c r="R256" s="513"/>
      <c r="S256" s="513"/>
      <c r="T256" s="860"/>
      <c r="U256" s="529"/>
    </row>
    <row r="257" spans="1:21">
      <c r="A257" s="116"/>
      <c r="B257" s="89" t="str">
        <f>+'7A - Project ROE Adder'!M8</f>
        <v>Name</v>
      </c>
      <c r="C257" s="132"/>
      <c r="D257" s="89"/>
      <c r="E257" s="258"/>
      <c r="F257" s="728"/>
      <c r="G257" s="513"/>
      <c r="H257" s="513"/>
      <c r="I257" s="513"/>
      <c r="J257" s="513"/>
      <c r="K257" s="513"/>
      <c r="L257" s="513"/>
      <c r="M257" s="513"/>
      <c r="N257" s="513"/>
      <c r="O257" s="513"/>
      <c r="P257" s="513"/>
      <c r="Q257" s="513"/>
      <c r="R257" s="513"/>
      <c r="S257" s="513"/>
      <c r="T257" s="860"/>
      <c r="U257" s="529"/>
    </row>
    <row r="258" spans="1:21">
      <c r="A258" s="116">
        <f>+A255+1</f>
        <v>97</v>
      </c>
      <c r="B258" s="89" t="s">
        <v>703</v>
      </c>
      <c r="C258" s="132"/>
      <c r="D258" s="89"/>
      <c r="E258" s="258">
        <v>206</v>
      </c>
      <c r="F258" s="728"/>
      <c r="G258" s="857">
        <v>0</v>
      </c>
      <c r="H258" s="858">
        <v>0</v>
      </c>
      <c r="I258" s="858">
        <v>0</v>
      </c>
      <c r="J258" s="858">
        <v>0</v>
      </c>
      <c r="K258" s="858">
        <v>0</v>
      </c>
      <c r="L258" s="858">
        <v>0</v>
      </c>
      <c r="M258" s="858">
        <v>0</v>
      </c>
      <c r="N258" s="858">
        <v>0</v>
      </c>
      <c r="O258" s="858">
        <v>0</v>
      </c>
      <c r="P258" s="858">
        <v>0</v>
      </c>
      <c r="Q258" s="858">
        <v>0</v>
      </c>
      <c r="R258" s="856">
        <v>0</v>
      </c>
      <c r="S258" s="856">
        <v>0</v>
      </c>
      <c r="T258" s="859">
        <f>+SUM(G258:S258)/13</f>
        <v>0</v>
      </c>
      <c r="U258" s="529"/>
    </row>
    <row r="259" spans="1:21">
      <c r="A259" s="116">
        <f>+A258+1</f>
        <v>98</v>
      </c>
      <c r="B259" s="89" t="s">
        <v>33</v>
      </c>
      <c r="C259" s="132"/>
      <c r="D259" s="89"/>
      <c r="E259" s="258">
        <v>219</v>
      </c>
      <c r="F259" s="728"/>
      <c r="G259" s="857">
        <v>0</v>
      </c>
      <c r="H259" s="858">
        <v>0</v>
      </c>
      <c r="I259" s="858">
        <v>0</v>
      </c>
      <c r="J259" s="858">
        <v>0</v>
      </c>
      <c r="K259" s="858">
        <v>0</v>
      </c>
      <c r="L259" s="858">
        <v>0</v>
      </c>
      <c r="M259" s="858">
        <v>0</v>
      </c>
      <c r="N259" s="858">
        <v>0</v>
      </c>
      <c r="O259" s="858">
        <v>0</v>
      </c>
      <c r="P259" s="858">
        <v>0</v>
      </c>
      <c r="Q259" s="858">
        <v>0</v>
      </c>
      <c r="R259" s="856">
        <v>0</v>
      </c>
      <c r="S259" s="856">
        <v>0</v>
      </c>
      <c r="T259" s="859">
        <f t="shared" ref="T259" si="14">+SUM(G259:S259)/13</f>
        <v>0</v>
      </c>
      <c r="U259" s="529"/>
    </row>
    <row r="260" spans="1:21">
      <c r="A260" s="116">
        <f>+A259+1</f>
        <v>99</v>
      </c>
      <c r="B260" s="89" t="s">
        <v>43</v>
      </c>
      <c r="C260" s="132"/>
      <c r="D260" s="89"/>
      <c r="E260" s="258">
        <v>274</v>
      </c>
      <c r="F260" s="728"/>
      <c r="G260" s="857">
        <v>0</v>
      </c>
      <c r="H260" s="115"/>
      <c r="I260" s="115"/>
      <c r="J260" s="115"/>
      <c r="K260" s="115"/>
      <c r="L260" s="115"/>
      <c r="M260" s="115"/>
      <c r="N260" s="115"/>
      <c r="O260" s="115"/>
      <c r="P260" s="115"/>
      <c r="Q260" s="115"/>
      <c r="R260" s="53"/>
      <c r="S260" s="856">
        <v>0</v>
      </c>
      <c r="T260" s="859">
        <f>+(G260+S260)/2</f>
        <v>0</v>
      </c>
      <c r="U260" s="529"/>
    </row>
    <row r="261" spans="1:21">
      <c r="A261" s="529"/>
      <c r="B261" s="529"/>
      <c r="C261" s="529"/>
      <c r="D261" s="529"/>
      <c r="E261" s="258"/>
      <c r="G261" s="513"/>
      <c r="H261" s="513"/>
      <c r="I261" s="513"/>
      <c r="J261" s="513"/>
      <c r="K261" s="513"/>
      <c r="L261" s="513"/>
      <c r="M261" s="513"/>
      <c r="N261" s="513"/>
      <c r="O261" s="513"/>
      <c r="P261" s="513"/>
      <c r="Q261" s="513"/>
      <c r="R261" s="513"/>
      <c r="S261" s="513"/>
      <c r="T261" s="860"/>
      <c r="U261" s="529"/>
    </row>
    <row r="262" spans="1:21">
      <c r="A262" s="116"/>
      <c r="B262" s="89" t="str">
        <f>+'7A - Project ROE Adder'!O8</f>
        <v>Name</v>
      </c>
      <c r="C262" s="132"/>
      <c r="D262" s="89"/>
      <c r="E262" s="258"/>
      <c r="F262" s="728"/>
      <c r="G262" s="513"/>
      <c r="H262" s="513"/>
      <c r="I262" s="513"/>
      <c r="J262" s="513"/>
      <c r="K262" s="513"/>
      <c r="L262" s="513"/>
      <c r="M262" s="513"/>
      <c r="N262" s="513"/>
      <c r="O262" s="513"/>
      <c r="P262" s="513"/>
      <c r="Q262" s="513"/>
      <c r="R262" s="513"/>
      <c r="S262" s="513"/>
      <c r="T262" s="860"/>
      <c r="U262" s="529"/>
    </row>
    <row r="263" spans="1:21">
      <c r="A263" s="116">
        <f>+A260+1</f>
        <v>100</v>
      </c>
      <c r="B263" s="89" t="s">
        <v>703</v>
      </c>
      <c r="C263" s="132"/>
      <c r="D263" s="89"/>
      <c r="E263" s="258">
        <v>206</v>
      </c>
      <c r="F263" s="728"/>
      <c r="G263" s="857">
        <v>0</v>
      </c>
      <c r="H263" s="858">
        <v>0</v>
      </c>
      <c r="I263" s="858">
        <v>0</v>
      </c>
      <c r="J263" s="858">
        <v>0</v>
      </c>
      <c r="K263" s="858">
        <v>0</v>
      </c>
      <c r="L263" s="858">
        <v>0</v>
      </c>
      <c r="M263" s="858">
        <v>0</v>
      </c>
      <c r="N263" s="858">
        <v>0</v>
      </c>
      <c r="O263" s="858">
        <v>0</v>
      </c>
      <c r="P263" s="858">
        <v>0</v>
      </c>
      <c r="Q263" s="858">
        <v>0</v>
      </c>
      <c r="R263" s="856">
        <v>0</v>
      </c>
      <c r="S263" s="856">
        <v>0</v>
      </c>
      <c r="T263" s="859">
        <f>+SUM(G263:S263)/13</f>
        <v>0</v>
      </c>
      <c r="U263" s="529"/>
    </row>
    <row r="264" spans="1:21">
      <c r="A264" s="116">
        <f>+A263+1</f>
        <v>101</v>
      </c>
      <c r="B264" s="89" t="s">
        <v>33</v>
      </c>
      <c r="C264" s="132"/>
      <c r="D264" s="89"/>
      <c r="E264" s="258">
        <v>219</v>
      </c>
      <c r="F264" s="728"/>
      <c r="G264" s="857">
        <v>0</v>
      </c>
      <c r="H264" s="858">
        <v>0</v>
      </c>
      <c r="I264" s="858">
        <v>0</v>
      </c>
      <c r="J264" s="858">
        <v>0</v>
      </c>
      <c r="K264" s="858">
        <v>0</v>
      </c>
      <c r="L264" s="858">
        <v>0</v>
      </c>
      <c r="M264" s="858">
        <v>0</v>
      </c>
      <c r="N264" s="858">
        <v>0</v>
      </c>
      <c r="O264" s="858">
        <v>0</v>
      </c>
      <c r="P264" s="858">
        <v>0</v>
      </c>
      <c r="Q264" s="858">
        <v>0</v>
      </c>
      <c r="R264" s="856">
        <v>0</v>
      </c>
      <c r="S264" s="856">
        <v>0</v>
      </c>
      <c r="T264" s="859">
        <f t="shared" ref="T264" si="15">+SUM(G264:S264)/13</f>
        <v>0</v>
      </c>
      <c r="U264" s="529"/>
    </row>
    <row r="265" spans="1:21">
      <c r="A265" s="116">
        <f>+A264+1</f>
        <v>102</v>
      </c>
      <c r="B265" s="89" t="s">
        <v>43</v>
      </c>
      <c r="C265" s="132"/>
      <c r="D265" s="89"/>
      <c r="E265" s="258">
        <v>274</v>
      </c>
      <c r="F265" s="728"/>
      <c r="G265" s="857">
        <v>0</v>
      </c>
      <c r="H265" s="115"/>
      <c r="I265" s="115"/>
      <c r="J265" s="115"/>
      <c r="K265" s="115"/>
      <c r="L265" s="115"/>
      <c r="M265" s="115"/>
      <c r="N265" s="115"/>
      <c r="O265" s="115"/>
      <c r="P265" s="115"/>
      <c r="Q265" s="115"/>
      <c r="R265" s="53"/>
      <c r="S265" s="856">
        <v>0</v>
      </c>
      <c r="T265" s="859">
        <f>+(G265+S265)/2</f>
        <v>0</v>
      </c>
      <c r="U265" s="529"/>
    </row>
    <row r="266" spans="1:21">
      <c r="A266" s="529"/>
      <c r="B266" s="529"/>
      <c r="C266" s="529"/>
      <c r="D266" s="529"/>
      <c r="E266" s="258"/>
      <c r="G266" s="513"/>
      <c r="H266" s="513"/>
      <c r="I266" s="513"/>
      <c r="J266" s="513"/>
      <c r="K266" s="513"/>
      <c r="L266" s="513"/>
      <c r="M266" s="513"/>
      <c r="N266" s="513"/>
      <c r="O266" s="513"/>
      <c r="P266" s="513"/>
      <c r="Q266" s="513"/>
      <c r="R266" s="513"/>
      <c r="S266" s="513"/>
      <c r="T266" s="860"/>
      <c r="U266" s="529"/>
    </row>
    <row r="267" spans="1:21">
      <c r="A267" s="116"/>
      <c r="B267" s="89" t="str">
        <f>+'7A - Project ROE Adder'!Q8</f>
        <v>Name</v>
      </c>
      <c r="C267" s="132"/>
      <c r="D267" s="89"/>
      <c r="E267" s="258"/>
      <c r="F267" s="728"/>
      <c r="G267" s="513"/>
      <c r="H267" s="513"/>
      <c r="I267" s="513"/>
      <c r="J267" s="513"/>
      <c r="K267" s="513"/>
      <c r="L267" s="513"/>
      <c r="M267" s="513"/>
      <c r="N267" s="513"/>
      <c r="O267" s="513"/>
      <c r="P267" s="513"/>
      <c r="Q267" s="513"/>
      <c r="R267" s="513"/>
      <c r="S267" s="513"/>
      <c r="T267" s="860"/>
      <c r="U267" s="529"/>
    </row>
    <row r="268" spans="1:21">
      <c r="A268" s="116">
        <f>+A265+1</f>
        <v>103</v>
      </c>
      <c r="B268" s="89" t="s">
        <v>703</v>
      </c>
      <c r="C268" s="132"/>
      <c r="D268" s="89"/>
      <c r="E268" s="258">
        <v>206</v>
      </c>
      <c r="F268" s="728"/>
      <c r="G268" s="857">
        <v>0</v>
      </c>
      <c r="H268" s="858">
        <v>0</v>
      </c>
      <c r="I268" s="858">
        <v>0</v>
      </c>
      <c r="J268" s="858">
        <v>0</v>
      </c>
      <c r="K268" s="858">
        <v>0</v>
      </c>
      <c r="L268" s="858">
        <v>0</v>
      </c>
      <c r="M268" s="858">
        <v>0</v>
      </c>
      <c r="N268" s="858">
        <v>0</v>
      </c>
      <c r="O268" s="858">
        <v>0</v>
      </c>
      <c r="P268" s="858">
        <v>0</v>
      </c>
      <c r="Q268" s="858">
        <v>0</v>
      </c>
      <c r="R268" s="856">
        <v>0</v>
      </c>
      <c r="S268" s="856">
        <v>0</v>
      </c>
      <c r="T268" s="859">
        <f>+SUM(G268:S268)/13</f>
        <v>0</v>
      </c>
      <c r="U268" s="529"/>
    </row>
    <row r="269" spans="1:21">
      <c r="A269" s="116">
        <f>+A268+1</f>
        <v>104</v>
      </c>
      <c r="B269" s="89" t="s">
        <v>33</v>
      </c>
      <c r="C269" s="132"/>
      <c r="D269" s="89"/>
      <c r="E269" s="258">
        <v>219</v>
      </c>
      <c r="F269" s="728"/>
      <c r="G269" s="857">
        <v>0</v>
      </c>
      <c r="H269" s="858">
        <v>0</v>
      </c>
      <c r="I269" s="858">
        <v>0</v>
      </c>
      <c r="J269" s="858">
        <v>0</v>
      </c>
      <c r="K269" s="858">
        <v>0</v>
      </c>
      <c r="L269" s="858">
        <v>0</v>
      </c>
      <c r="M269" s="858">
        <v>0</v>
      </c>
      <c r="N269" s="858">
        <v>0</v>
      </c>
      <c r="O269" s="858">
        <v>0</v>
      </c>
      <c r="P269" s="858">
        <v>0</v>
      </c>
      <c r="Q269" s="858">
        <v>0</v>
      </c>
      <c r="R269" s="856">
        <v>0</v>
      </c>
      <c r="S269" s="856">
        <v>0</v>
      </c>
      <c r="T269" s="859">
        <f t="shared" ref="T269" si="16">+SUM(G269:S269)/13</f>
        <v>0</v>
      </c>
      <c r="U269" s="529"/>
    </row>
    <row r="270" spans="1:21">
      <c r="A270" s="116">
        <f>+A269+1</f>
        <v>105</v>
      </c>
      <c r="B270" s="89" t="s">
        <v>43</v>
      </c>
      <c r="C270" s="132"/>
      <c r="D270" s="89"/>
      <c r="E270" s="258">
        <v>274</v>
      </c>
      <c r="F270" s="728"/>
      <c r="G270" s="857">
        <v>0</v>
      </c>
      <c r="H270" s="115"/>
      <c r="I270" s="115"/>
      <c r="J270" s="115"/>
      <c r="K270" s="115"/>
      <c r="L270" s="115"/>
      <c r="M270" s="115"/>
      <c r="N270" s="115"/>
      <c r="O270" s="115"/>
      <c r="P270" s="115"/>
      <c r="Q270" s="115"/>
      <c r="R270" s="53"/>
      <c r="S270" s="856">
        <v>0</v>
      </c>
      <c r="T270" s="859">
        <f>+(G270+S270)/2</f>
        <v>0</v>
      </c>
      <c r="U270" s="529"/>
    </row>
    <row r="271" spans="1:21">
      <c r="A271" s="529"/>
      <c r="B271" s="529"/>
      <c r="C271" s="529"/>
      <c r="D271" s="529"/>
      <c r="E271" s="258"/>
      <c r="G271" s="513"/>
      <c r="H271" s="513"/>
      <c r="I271" s="513"/>
      <c r="J271" s="513"/>
      <c r="K271" s="513"/>
      <c r="L271" s="513"/>
      <c r="M271" s="513"/>
      <c r="N271" s="513"/>
      <c r="O271" s="513"/>
      <c r="P271" s="513"/>
      <c r="Q271" s="513"/>
      <c r="R271" s="513"/>
      <c r="S271" s="513"/>
      <c r="T271" s="860"/>
      <c r="U271" s="529"/>
    </row>
    <row r="272" spans="1:21">
      <c r="A272" s="116"/>
      <c r="B272" s="89" t="str">
        <f>+'7A - Project ROE Adder'!S8</f>
        <v>Name</v>
      </c>
      <c r="C272" s="132"/>
      <c r="D272" s="89"/>
      <c r="E272" s="258"/>
      <c r="F272" s="728"/>
      <c r="G272" s="513"/>
      <c r="H272" s="513"/>
      <c r="I272" s="513"/>
      <c r="J272" s="513"/>
      <c r="K272" s="513"/>
      <c r="L272" s="513"/>
      <c r="M272" s="513"/>
      <c r="N272" s="513"/>
      <c r="O272" s="513"/>
      <c r="P272" s="513"/>
      <c r="Q272" s="513"/>
      <c r="R272" s="513"/>
      <c r="S272" s="513"/>
      <c r="T272" s="860"/>
      <c r="U272" s="529"/>
    </row>
    <row r="273" spans="1:20">
      <c r="A273" s="116">
        <f>+A270+1</f>
        <v>106</v>
      </c>
      <c r="B273" s="89" t="s">
        <v>703</v>
      </c>
      <c r="C273" s="132"/>
      <c r="D273" s="89"/>
      <c r="E273" s="258">
        <v>206</v>
      </c>
      <c r="F273" s="728"/>
      <c r="G273" s="857">
        <v>0</v>
      </c>
      <c r="H273" s="858">
        <v>0</v>
      </c>
      <c r="I273" s="858">
        <v>0</v>
      </c>
      <c r="J273" s="858">
        <v>0</v>
      </c>
      <c r="K273" s="858">
        <v>0</v>
      </c>
      <c r="L273" s="858">
        <v>0</v>
      </c>
      <c r="M273" s="858">
        <v>0</v>
      </c>
      <c r="N273" s="858">
        <v>0</v>
      </c>
      <c r="O273" s="858">
        <v>0</v>
      </c>
      <c r="P273" s="858">
        <v>0</v>
      </c>
      <c r="Q273" s="858">
        <v>0</v>
      </c>
      <c r="R273" s="856">
        <v>0</v>
      </c>
      <c r="S273" s="856">
        <v>0</v>
      </c>
      <c r="T273" s="859">
        <f>+SUM(G273:S273)/13</f>
        <v>0</v>
      </c>
    </row>
    <row r="274" spans="1:20">
      <c r="A274" s="116">
        <f>+A273+1</f>
        <v>107</v>
      </c>
      <c r="B274" s="89" t="s">
        <v>33</v>
      </c>
      <c r="C274" s="132"/>
      <c r="D274" s="89"/>
      <c r="E274" s="258">
        <v>219</v>
      </c>
      <c r="F274" s="728"/>
      <c r="G274" s="857">
        <v>0</v>
      </c>
      <c r="H274" s="858">
        <v>0</v>
      </c>
      <c r="I274" s="858">
        <v>0</v>
      </c>
      <c r="J274" s="858">
        <v>0</v>
      </c>
      <c r="K274" s="858">
        <v>0</v>
      </c>
      <c r="L274" s="858">
        <v>0</v>
      </c>
      <c r="M274" s="858">
        <v>0</v>
      </c>
      <c r="N274" s="858">
        <v>0</v>
      </c>
      <c r="O274" s="858">
        <v>0</v>
      </c>
      <c r="P274" s="858">
        <v>0</v>
      </c>
      <c r="Q274" s="858">
        <v>0</v>
      </c>
      <c r="R274" s="856">
        <v>0</v>
      </c>
      <c r="S274" s="856">
        <v>0</v>
      </c>
      <c r="T274" s="859">
        <f t="shared" ref="T274" si="17">+SUM(G274:S274)/13</f>
        <v>0</v>
      </c>
    </row>
    <row r="275" spans="1:20">
      <c r="A275" s="116">
        <f>+A274+1</f>
        <v>108</v>
      </c>
      <c r="B275" s="89" t="s">
        <v>43</v>
      </c>
      <c r="C275" s="132"/>
      <c r="D275" s="89"/>
      <c r="E275" s="258">
        <v>274</v>
      </c>
      <c r="F275" s="728"/>
      <c r="G275" s="857">
        <v>0</v>
      </c>
      <c r="H275" s="115"/>
      <c r="I275" s="115"/>
      <c r="J275" s="115"/>
      <c r="K275" s="115"/>
      <c r="L275" s="115"/>
      <c r="M275" s="115"/>
      <c r="N275" s="115"/>
      <c r="O275" s="115"/>
      <c r="P275" s="115"/>
      <c r="Q275" s="115"/>
      <c r="R275" s="53"/>
      <c r="S275" s="856">
        <v>0</v>
      </c>
      <c r="T275" s="859">
        <f>+(G275+S275)/2</f>
        <v>0</v>
      </c>
    </row>
    <row r="276" spans="1:20">
      <c r="A276" s="529"/>
      <c r="B276" s="529"/>
      <c r="C276" s="529"/>
      <c r="D276" s="529"/>
      <c r="E276" s="258"/>
      <c r="G276" s="513"/>
      <c r="H276" s="513"/>
      <c r="I276" s="513"/>
      <c r="J276" s="513"/>
      <c r="K276" s="513"/>
      <c r="L276" s="513"/>
      <c r="M276" s="513"/>
      <c r="N276" s="513"/>
      <c r="O276" s="513"/>
      <c r="P276" s="513"/>
      <c r="Q276" s="513"/>
      <c r="R276" s="513"/>
      <c r="S276" s="513"/>
      <c r="T276" s="860"/>
    </row>
    <row r="277" spans="1:20">
      <c r="A277" s="116"/>
      <c r="B277" s="89" t="str">
        <f>+'7A - Project ROE Adder'!U8</f>
        <v>Name</v>
      </c>
      <c r="C277" s="132"/>
      <c r="D277" s="89"/>
      <c r="E277" s="258"/>
      <c r="F277" s="728"/>
      <c r="G277" s="513"/>
      <c r="H277" s="513"/>
      <c r="I277" s="513"/>
      <c r="J277" s="513"/>
      <c r="K277" s="513"/>
      <c r="L277" s="513"/>
      <c r="M277" s="513"/>
      <c r="N277" s="513"/>
      <c r="O277" s="513"/>
      <c r="P277" s="513"/>
      <c r="Q277" s="513"/>
      <c r="R277" s="513"/>
      <c r="S277" s="513"/>
      <c r="T277" s="860"/>
    </row>
    <row r="278" spans="1:20">
      <c r="A278" s="116">
        <f>+A275+1</f>
        <v>109</v>
      </c>
      <c r="B278" s="89" t="s">
        <v>703</v>
      </c>
      <c r="C278" s="132"/>
      <c r="D278" s="89"/>
      <c r="E278" s="258">
        <v>206</v>
      </c>
      <c r="F278" s="728"/>
      <c r="G278" s="857">
        <v>0</v>
      </c>
      <c r="H278" s="858">
        <v>0</v>
      </c>
      <c r="I278" s="858">
        <v>0</v>
      </c>
      <c r="J278" s="858">
        <v>0</v>
      </c>
      <c r="K278" s="858">
        <v>0</v>
      </c>
      <c r="L278" s="858">
        <v>0</v>
      </c>
      <c r="M278" s="858">
        <v>0</v>
      </c>
      <c r="N278" s="858">
        <v>0</v>
      </c>
      <c r="O278" s="858">
        <v>0</v>
      </c>
      <c r="P278" s="858">
        <v>0</v>
      </c>
      <c r="Q278" s="858">
        <v>0</v>
      </c>
      <c r="R278" s="856">
        <v>0</v>
      </c>
      <c r="S278" s="856">
        <v>0</v>
      </c>
      <c r="T278" s="859">
        <f>+SUM(G278:S278)/13</f>
        <v>0</v>
      </c>
    </row>
    <row r="279" spans="1:20">
      <c r="A279" s="116">
        <f>+A278+1</f>
        <v>110</v>
      </c>
      <c r="B279" s="89" t="s">
        <v>33</v>
      </c>
      <c r="C279" s="132"/>
      <c r="D279" s="89"/>
      <c r="E279" s="258">
        <v>219</v>
      </c>
      <c r="F279" s="728"/>
      <c r="G279" s="857">
        <v>0</v>
      </c>
      <c r="H279" s="858">
        <v>0</v>
      </c>
      <c r="I279" s="858">
        <v>0</v>
      </c>
      <c r="J279" s="858">
        <v>0</v>
      </c>
      <c r="K279" s="858">
        <v>0</v>
      </c>
      <c r="L279" s="858">
        <v>0</v>
      </c>
      <c r="M279" s="858">
        <v>0</v>
      </c>
      <c r="N279" s="858">
        <v>0</v>
      </c>
      <c r="O279" s="858">
        <v>0</v>
      </c>
      <c r="P279" s="858">
        <v>0</v>
      </c>
      <c r="Q279" s="858">
        <v>0</v>
      </c>
      <c r="R279" s="856">
        <v>0</v>
      </c>
      <c r="S279" s="856">
        <v>0</v>
      </c>
      <c r="T279" s="859">
        <f t="shared" ref="T279" si="18">+SUM(G279:S279)/13</f>
        <v>0</v>
      </c>
    </row>
    <row r="280" spans="1:20">
      <c r="A280" s="116">
        <f>+A279+1</f>
        <v>111</v>
      </c>
      <c r="B280" s="89" t="s">
        <v>43</v>
      </c>
      <c r="C280" s="132"/>
      <c r="D280" s="89"/>
      <c r="E280" s="258">
        <v>274</v>
      </c>
      <c r="F280" s="728"/>
      <c r="G280" s="857">
        <v>0</v>
      </c>
      <c r="H280" s="115"/>
      <c r="I280" s="115"/>
      <c r="J280" s="115"/>
      <c r="K280" s="115"/>
      <c r="L280" s="115"/>
      <c r="M280" s="115"/>
      <c r="N280" s="115"/>
      <c r="O280" s="115"/>
      <c r="P280" s="115"/>
      <c r="Q280" s="115"/>
      <c r="R280" s="53"/>
      <c r="S280" s="856">
        <v>0</v>
      </c>
      <c r="T280" s="859">
        <f>+(G280+S280)/2</f>
        <v>0</v>
      </c>
    </row>
    <row r="281" spans="1:20">
      <c r="A281" s="529"/>
      <c r="B281" s="529"/>
      <c r="C281" s="529"/>
      <c r="D281" s="529"/>
      <c r="E281" s="258"/>
      <c r="G281" s="513"/>
      <c r="H281" s="513"/>
      <c r="I281" s="513"/>
      <c r="J281" s="513"/>
      <c r="K281" s="513"/>
      <c r="L281" s="513"/>
      <c r="M281" s="513"/>
      <c r="N281" s="513"/>
      <c r="O281" s="513"/>
      <c r="P281" s="513"/>
      <c r="Q281" s="513"/>
      <c r="R281" s="513"/>
      <c r="S281" s="513"/>
      <c r="T281" s="860"/>
    </row>
    <row r="282" spans="1:20">
      <c r="A282" s="116"/>
      <c r="B282" s="89" t="str">
        <f>+'7A - Project ROE Adder'!W8</f>
        <v>Name</v>
      </c>
      <c r="C282" s="132"/>
      <c r="D282" s="89"/>
      <c r="E282" s="258"/>
      <c r="F282" s="728"/>
      <c r="G282" s="513"/>
      <c r="H282" s="513"/>
      <c r="I282" s="513"/>
      <c r="J282" s="513"/>
      <c r="K282" s="513"/>
      <c r="L282" s="513"/>
      <c r="M282" s="513"/>
      <c r="N282" s="513"/>
      <c r="O282" s="513"/>
      <c r="P282" s="513"/>
      <c r="Q282" s="513"/>
      <c r="R282" s="513"/>
      <c r="S282" s="513"/>
      <c r="T282" s="860"/>
    </row>
    <row r="283" spans="1:20">
      <c r="A283" s="116">
        <f>+A280+1</f>
        <v>112</v>
      </c>
      <c r="B283" s="89" t="s">
        <v>703</v>
      </c>
      <c r="C283" s="132"/>
      <c r="D283" s="89"/>
      <c r="E283" s="258">
        <v>206</v>
      </c>
      <c r="F283" s="728"/>
      <c r="G283" s="857">
        <v>0</v>
      </c>
      <c r="H283" s="858">
        <v>0</v>
      </c>
      <c r="I283" s="858">
        <v>0</v>
      </c>
      <c r="J283" s="858">
        <v>0</v>
      </c>
      <c r="K283" s="858">
        <v>0</v>
      </c>
      <c r="L283" s="858">
        <v>0</v>
      </c>
      <c r="M283" s="858">
        <v>0</v>
      </c>
      <c r="N283" s="858">
        <v>0</v>
      </c>
      <c r="O283" s="858">
        <v>0</v>
      </c>
      <c r="P283" s="858">
        <v>0</v>
      </c>
      <c r="Q283" s="858">
        <v>0</v>
      </c>
      <c r="R283" s="856">
        <v>0</v>
      </c>
      <c r="S283" s="856">
        <v>0</v>
      </c>
      <c r="T283" s="859">
        <f>+SUM(G283:S283)/13</f>
        <v>0</v>
      </c>
    </row>
    <row r="284" spans="1:20">
      <c r="A284" s="116">
        <f>+A283+1</f>
        <v>113</v>
      </c>
      <c r="B284" s="89" t="s">
        <v>33</v>
      </c>
      <c r="C284" s="132"/>
      <c r="D284" s="89"/>
      <c r="E284" s="258">
        <v>219</v>
      </c>
      <c r="F284" s="728"/>
      <c r="G284" s="857">
        <v>0</v>
      </c>
      <c r="H284" s="858">
        <v>0</v>
      </c>
      <c r="I284" s="858">
        <v>0</v>
      </c>
      <c r="J284" s="858">
        <v>0</v>
      </c>
      <c r="K284" s="858">
        <v>0</v>
      </c>
      <c r="L284" s="858">
        <v>0</v>
      </c>
      <c r="M284" s="858">
        <v>0</v>
      </c>
      <c r="N284" s="858">
        <v>0</v>
      </c>
      <c r="O284" s="858">
        <v>0</v>
      </c>
      <c r="P284" s="858">
        <v>0</v>
      </c>
      <c r="Q284" s="858">
        <v>0</v>
      </c>
      <c r="R284" s="856">
        <v>0</v>
      </c>
      <c r="S284" s="856">
        <v>0</v>
      </c>
      <c r="T284" s="859">
        <f t="shared" ref="T284" si="19">+SUM(G284:S284)/13</f>
        <v>0</v>
      </c>
    </row>
    <row r="285" spans="1:20">
      <c r="A285" s="116">
        <f>+A284+1</f>
        <v>114</v>
      </c>
      <c r="B285" s="89" t="s">
        <v>43</v>
      </c>
      <c r="C285" s="132"/>
      <c r="D285" s="89"/>
      <c r="E285" s="258">
        <v>274</v>
      </c>
      <c r="F285" s="728"/>
      <c r="G285" s="857">
        <v>0</v>
      </c>
      <c r="H285" s="115"/>
      <c r="I285" s="115"/>
      <c r="J285" s="115"/>
      <c r="K285" s="115"/>
      <c r="L285" s="115"/>
      <c r="M285" s="115"/>
      <c r="N285" s="115"/>
      <c r="O285" s="115"/>
      <c r="P285" s="115"/>
      <c r="Q285" s="115"/>
      <c r="R285" s="53"/>
      <c r="S285" s="856">
        <v>0</v>
      </c>
      <c r="T285" s="859">
        <f>+(G285+S285)/2</f>
        <v>0</v>
      </c>
    </row>
    <row r="286" spans="1:20">
      <c r="A286" s="529"/>
      <c r="B286" s="529"/>
      <c r="C286" s="529"/>
      <c r="D286" s="529"/>
      <c r="E286" s="258"/>
      <c r="G286" s="513"/>
      <c r="H286" s="513"/>
      <c r="I286" s="513"/>
      <c r="J286" s="513"/>
      <c r="K286" s="513"/>
      <c r="L286" s="513"/>
      <c r="M286" s="513"/>
      <c r="N286" s="513"/>
      <c r="O286" s="513"/>
      <c r="P286" s="513"/>
      <c r="Q286" s="513"/>
      <c r="R286" s="513"/>
      <c r="S286" s="513"/>
      <c r="T286" s="860"/>
    </row>
    <row r="287" spans="1:20">
      <c r="A287" s="116"/>
      <c r="B287" s="89" t="str">
        <f>+'7A - Project ROE Adder'!Y8</f>
        <v>Name</v>
      </c>
      <c r="C287" s="132"/>
      <c r="D287" s="89"/>
      <c r="E287" s="258"/>
      <c r="F287" s="728"/>
      <c r="G287" s="513"/>
      <c r="H287" s="513"/>
      <c r="I287" s="513"/>
      <c r="J287" s="513"/>
      <c r="K287" s="513"/>
      <c r="L287" s="513"/>
      <c r="M287" s="513"/>
      <c r="N287" s="513"/>
      <c r="O287" s="513"/>
      <c r="P287" s="513"/>
      <c r="Q287" s="513"/>
      <c r="R287" s="513"/>
      <c r="S287" s="513"/>
      <c r="T287" s="860"/>
    </row>
    <row r="288" spans="1:20">
      <c r="A288" s="116">
        <f>+A285+1</f>
        <v>115</v>
      </c>
      <c r="B288" s="89" t="s">
        <v>703</v>
      </c>
      <c r="C288" s="132"/>
      <c r="D288" s="89"/>
      <c r="E288" s="258">
        <v>206</v>
      </c>
      <c r="F288" s="728"/>
      <c r="G288" s="857">
        <v>0</v>
      </c>
      <c r="H288" s="858">
        <v>0</v>
      </c>
      <c r="I288" s="858">
        <v>0</v>
      </c>
      <c r="J288" s="858">
        <v>0</v>
      </c>
      <c r="K288" s="858">
        <v>0</v>
      </c>
      <c r="L288" s="858">
        <v>0</v>
      </c>
      <c r="M288" s="858">
        <v>0</v>
      </c>
      <c r="N288" s="858">
        <v>0</v>
      </c>
      <c r="O288" s="858">
        <v>0</v>
      </c>
      <c r="P288" s="858">
        <v>0</v>
      </c>
      <c r="Q288" s="858">
        <v>0</v>
      </c>
      <c r="R288" s="856">
        <v>0</v>
      </c>
      <c r="S288" s="856">
        <v>0</v>
      </c>
      <c r="T288" s="859">
        <f>+SUM(G288:S288)/13</f>
        <v>0</v>
      </c>
    </row>
    <row r="289" spans="1:21">
      <c r="A289" s="116">
        <f>+A288+1</f>
        <v>116</v>
      </c>
      <c r="B289" s="89" t="s">
        <v>33</v>
      </c>
      <c r="C289" s="132"/>
      <c r="D289" s="89"/>
      <c r="E289" s="258">
        <v>219</v>
      </c>
      <c r="F289" s="728"/>
      <c r="G289" s="857">
        <v>0</v>
      </c>
      <c r="H289" s="858">
        <v>0</v>
      </c>
      <c r="I289" s="858">
        <v>0</v>
      </c>
      <c r="J289" s="858">
        <v>0</v>
      </c>
      <c r="K289" s="858">
        <v>0</v>
      </c>
      <c r="L289" s="858">
        <v>0</v>
      </c>
      <c r="M289" s="858">
        <v>0</v>
      </c>
      <c r="N289" s="858">
        <v>0</v>
      </c>
      <c r="O289" s="858">
        <v>0</v>
      </c>
      <c r="P289" s="858">
        <v>0</v>
      </c>
      <c r="Q289" s="858">
        <v>0</v>
      </c>
      <c r="R289" s="856">
        <v>0</v>
      </c>
      <c r="S289" s="856">
        <v>0</v>
      </c>
      <c r="T289" s="859">
        <f t="shared" ref="T289" si="20">+SUM(G289:S289)/13</f>
        <v>0</v>
      </c>
      <c r="U289" s="529"/>
    </row>
    <row r="290" spans="1:21">
      <c r="A290" s="116">
        <f>+A289+1</f>
        <v>117</v>
      </c>
      <c r="B290" s="89" t="s">
        <v>43</v>
      </c>
      <c r="C290" s="132"/>
      <c r="D290" s="89"/>
      <c r="E290" s="258">
        <v>274</v>
      </c>
      <c r="F290" s="728"/>
      <c r="G290" s="857">
        <v>0</v>
      </c>
      <c r="H290" s="115"/>
      <c r="I290" s="115"/>
      <c r="J290" s="115"/>
      <c r="K290" s="115"/>
      <c r="L290" s="115"/>
      <c r="M290" s="115"/>
      <c r="N290" s="115"/>
      <c r="O290" s="115"/>
      <c r="P290" s="115"/>
      <c r="Q290" s="115"/>
      <c r="R290" s="53"/>
      <c r="S290" s="856">
        <v>0</v>
      </c>
      <c r="T290" s="859">
        <f>+(G290+S290)/2</f>
        <v>0</v>
      </c>
      <c r="U290" s="529"/>
    </row>
    <row r="291" spans="1:21" ht="15.75" thickBot="1">
      <c r="A291" s="142"/>
      <c r="B291" s="142"/>
      <c r="C291" s="142"/>
      <c r="D291" s="142"/>
      <c r="E291" s="142"/>
      <c r="F291" s="142"/>
      <c r="G291" s="142"/>
      <c r="H291" s="142"/>
      <c r="I291" s="142"/>
      <c r="J291" s="142"/>
      <c r="K291" s="142"/>
      <c r="L291" s="142"/>
      <c r="M291" s="142"/>
      <c r="N291" s="142"/>
      <c r="O291" s="142"/>
      <c r="P291" s="142"/>
      <c r="Q291" s="142"/>
      <c r="R291" s="142"/>
      <c r="S291" s="142"/>
      <c r="T291" s="1092"/>
      <c r="U291" s="529"/>
    </row>
    <row r="292" spans="1:21" ht="18.75" thickBot="1">
      <c r="A292" s="529"/>
      <c r="B292" s="529"/>
      <c r="C292" s="529"/>
      <c r="D292" s="529"/>
      <c r="E292" s="529"/>
      <c r="G292" s="529"/>
      <c r="H292" s="529"/>
      <c r="I292" s="529"/>
      <c r="J292" s="529"/>
      <c r="K292" s="529"/>
      <c r="L292" s="529"/>
      <c r="M292" s="529"/>
      <c r="N292" s="529"/>
      <c r="O292" s="529"/>
      <c r="P292" s="529"/>
      <c r="Q292" s="529"/>
      <c r="R292" s="529"/>
      <c r="S292" s="529"/>
      <c r="T292" s="529"/>
      <c r="U292" s="878"/>
    </row>
    <row r="293" spans="1:21" ht="16.5" thickBot="1">
      <c r="A293" s="277" t="s">
        <v>704</v>
      </c>
      <c r="B293" s="529"/>
      <c r="C293" s="529"/>
      <c r="D293" s="529"/>
      <c r="E293" s="529"/>
      <c r="G293" s="271" t="s">
        <v>502</v>
      </c>
      <c r="H293" s="1187" t="s">
        <v>702</v>
      </c>
      <c r="I293" s="1188"/>
      <c r="J293" s="1188"/>
      <c r="K293" s="1188"/>
      <c r="L293" s="1188"/>
      <c r="M293" s="1188"/>
      <c r="N293" s="1188"/>
      <c r="O293" s="1188"/>
      <c r="P293" s="1188"/>
      <c r="Q293" s="1188"/>
      <c r="R293" s="1188"/>
      <c r="S293" s="1189"/>
      <c r="T293" s="89"/>
      <c r="U293" s="529"/>
    </row>
    <row r="294" spans="1:21" ht="32.25" thickBot="1">
      <c r="A294" s="102" t="s">
        <v>503</v>
      </c>
      <c r="B294" s="103" t="s">
        <v>504</v>
      </c>
      <c r="C294" s="103"/>
      <c r="D294" s="103"/>
      <c r="E294" s="105" t="s">
        <v>505</v>
      </c>
      <c r="F294" s="1082" t="s">
        <v>506</v>
      </c>
      <c r="G294" s="737" t="s">
        <v>507</v>
      </c>
      <c r="H294" s="104" t="s">
        <v>508</v>
      </c>
      <c r="I294" s="104" t="s">
        <v>509</v>
      </c>
      <c r="J294" s="104" t="s">
        <v>510</v>
      </c>
      <c r="K294" s="104" t="s">
        <v>511</v>
      </c>
      <c r="L294" s="104" t="s">
        <v>379</v>
      </c>
      <c r="M294" s="104" t="s">
        <v>512</v>
      </c>
      <c r="N294" s="104" t="s">
        <v>513</v>
      </c>
      <c r="O294" s="104" t="s">
        <v>514</v>
      </c>
      <c r="P294" s="104" t="s">
        <v>515</v>
      </c>
      <c r="Q294" s="104" t="s">
        <v>516</v>
      </c>
      <c r="R294" s="104" t="s">
        <v>517</v>
      </c>
      <c r="S294" s="104" t="s">
        <v>518</v>
      </c>
      <c r="T294" s="1083" t="s">
        <v>705</v>
      </c>
      <c r="U294" s="529"/>
    </row>
    <row r="295" spans="1:21">
      <c r="A295" s="116"/>
      <c r="B295" s="906" t="s">
        <v>706</v>
      </c>
      <c r="C295" s="587"/>
      <c r="D295" s="89"/>
      <c r="E295" s="529"/>
      <c r="F295" s="728"/>
      <c r="G295" s="529"/>
      <c r="H295" s="529"/>
      <c r="I295" s="529"/>
      <c r="J295" s="529"/>
      <c r="K295" s="529"/>
      <c r="L295" s="529"/>
      <c r="M295" s="529"/>
      <c r="N295" s="529"/>
      <c r="O295" s="529"/>
      <c r="P295" s="529"/>
      <c r="Q295" s="529"/>
      <c r="R295" s="529"/>
      <c r="S295" s="529"/>
      <c r="T295" s="778"/>
      <c r="U295" s="529"/>
    </row>
    <row r="296" spans="1:21">
      <c r="A296" s="116">
        <f>+A290+1</f>
        <v>118</v>
      </c>
      <c r="B296" s="89" t="s">
        <v>707</v>
      </c>
      <c r="C296" s="132"/>
      <c r="D296" s="89"/>
      <c r="E296" s="258" t="s">
        <v>708</v>
      </c>
      <c r="F296" s="728"/>
      <c r="G296" s="1134">
        <v>25078238</v>
      </c>
      <c r="H296" s="1134">
        <f>G296</f>
        <v>25078238</v>
      </c>
      <c r="I296" s="1134">
        <f t="shared" ref="I296:S296" si="21">H296</f>
        <v>25078238</v>
      </c>
      <c r="J296" s="1134">
        <f t="shared" si="21"/>
        <v>25078238</v>
      </c>
      <c r="K296" s="1134">
        <f t="shared" si="21"/>
        <v>25078238</v>
      </c>
      <c r="L296" s="1134">
        <f t="shared" si="21"/>
        <v>25078238</v>
      </c>
      <c r="M296" s="1134">
        <f t="shared" si="21"/>
        <v>25078238</v>
      </c>
      <c r="N296" s="1134">
        <f t="shared" si="21"/>
        <v>25078238</v>
      </c>
      <c r="O296" s="1134">
        <f t="shared" si="21"/>
        <v>25078238</v>
      </c>
      <c r="P296" s="1134">
        <f t="shared" si="21"/>
        <v>25078238</v>
      </c>
      <c r="Q296" s="1134">
        <f t="shared" si="21"/>
        <v>25078238</v>
      </c>
      <c r="R296" s="1134">
        <f t="shared" si="21"/>
        <v>25078238</v>
      </c>
      <c r="S296" s="1134">
        <f t="shared" si="21"/>
        <v>25078238</v>
      </c>
      <c r="T296" s="859">
        <f>+SUM(G296:S296)/13</f>
        <v>25078238</v>
      </c>
      <c r="U296" s="529"/>
    </row>
    <row r="297" spans="1:21">
      <c r="A297" s="116">
        <f>+A296+1</f>
        <v>119</v>
      </c>
      <c r="B297" s="89" t="s">
        <v>33</v>
      </c>
      <c r="C297" s="132"/>
      <c r="D297" s="89"/>
      <c r="E297" s="258">
        <v>219</v>
      </c>
      <c r="F297" s="728"/>
      <c r="G297" s="1131">
        <v>98996.105443165448</v>
      </c>
      <c r="H297" s="1131">
        <f>G297+H298</f>
        <v>145118.82483381478</v>
      </c>
      <c r="I297" s="1131">
        <f t="shared" ref="I297:S297" si="22">H297+I298</f>
        <v>191241.54422446413</v>
      </c>
      <c r="J297" s="1131">
        <f t="shared" si="22"/>
        <v>237364.26361511348</v>
      </c>
      <c r="K297" s="1131">
        <f t="shared" si="22"/>
        <v>283486.9830057628</v>
      </c>
      <c r="L297" s="1131">
        <f t="shared" si="22"/>
        <v>329609.70239641215</v>
      </c>
      <c r="M297" s="1131">
        <f t="shared" si="22"/>
        <v>375732.4217870615</v>
      </c>
      <c r="N297" s="1131">
        <f t="shared" si="22"/>
        <v>421855.14117771084</v>
      </c>
      <c r="O297" s="1131">
        <f t="shared" si="22"/>
        <v>467977.86056836019</v>
      </c>
      <c r="P297" s="1131">
        <f t="shared" si="22"/>
        <v>514100.57995900954</v>
      </c>
      <c r="Q297" s="1131">
        <f t="shared" si="22"/>
        <v>560223.29934965889</v>
      </c>
      <c r="R297" s="1131">
        <f t="shared" si="22"/>
        <v>606346.01874030824</v>
      </c>
      <c r="S297" s="1131">
        <f t="shared" si="22"/>
        <v>652468.73813095759</v>
      </c>
      <c r="T297" s="859">
        <f t="shared" ref="T297" si="23">+SUM(G297:S297)/13</f>
        <v>375732.42178706161</v>
      </c>
      <c r="U297" s="529"/>
    </row>
    <row r="298" spans="1:21" s="529" customFormat="1">
      <c r="A298" s="116">
        <f>+A297+1</f>
        <v>120</v>
      </c>
      <c r="B298" s="89" t="s">
        <v>709</v>
      </c>
      <c r="C298" s="132"/>
      <c r="D298" s="89"/>
      <c r="E298" s="258">
        <v>336</v>
      </c>
      <c r="F298" s="728"/>
      <c r="G298" s="1131"/>
      <c r="H298" s="1131">
        <v>46122.719390649341</v>
      </c>
      <c r="I298" s="1131">
        <v>46122.719390649341</v>
      </c>
      <c r="J298" s="1131">
        <v>46122.719390649341</v>
      </c>
      <c r="K298" s="1131">
        <v>46122.719390649341</v>
      </c>
      <c r="L298" s="1131">
        <v>46122.719390649341</v>
      </c>
      <c r="M298" s="1131">
        <v>46122.719390649341</v>
      </c>
      <c r="N298" s="1131">
        <v>46122.719390649341</v>
      </c>
      <c r="O298" s="1131">
        <v>46122.719390649341</v>
      </c>
      <c r="P298" s="1131">
        <v>46122.719390649341</v>
      </c>
      <c r="Q298" s="1131">
        <v>46122.719390649341</v>
      </c>
      <c r="R298" s="1131">
        <v>46122.719390649341</v>
      </c>
      <c r="S298" s="1131">
        <v>46122.719390649341</v>
      </c>
      <c r="T298" s="859">
        <f>SUM(H298:S298)</f>
        <v>553472.63268779207</v>
      </c>
    </row>
    <row r="299" spans="1:21">
      <c r="A299" s="116"/>
      <c r="B299" s="89"/>
      <c r="C299" s="132"/>
      <c r="D299" s="89"/>
      <c r="E299" s="258"/>
      <c r="F299" s="728"/>
      <c r="G299" s="160"/>
      <c r="H299" s="698"/>
      <c r="I299" s="698"/>
      <c r="J299" s="698"/>
      <c r="K299" s="698"/>
      <c r="L299" s="698"/>
      <c r="M299" s="698"/>
      <c r="N299" s="698"/>
      <c r="O299" s="698"/>
      <c r="P299" s="698"/>
      <c r="Q299" s="698"/>
      <c r="R299" s="53"/>
      <c r="S299" s="53"/>
      <c r="T299" s="859"/>
      <c r="U299" s="529"/>
    </row>
    <row r="300" spans="1:21">
      <c r="A300" s="116"/>
      <c r="B300" s="906" t="str">
        <f>+'7B - Schedule 12 Projects'!I8</f>
        <v>Name</v>
      </c>
      <c r="C300" s="132"/>
      <c r="D300" s="89"/>
      <c r="E300" s="258"/>
      <c r="F300" s="728"/>
      <c r="G300" s="513"/>
      <c r="H300" s="513"/>
      <c r="I300" s="513"/>
      <c r="J300" s="513"/>
      <c r="K300" s="513"/>
      <c r="L300" s="513"/>
      <c r="M300" s="513"/>
      <c r="N300" s="513"/>
      <c r="O300" s="513"/>
      <c r="P300" s="513"/>
      <c r="Q300" s="513"/>
      <c r="R300" s="513"/>
      <c r="S300" s="513"/>
      <c r="T300" s="860"/>
      <c r="U300" s="529"/>
    </row>
    <row r="301" spans="1:21">
      <c r="A301" s="116">
        <f>+A298+1</f>
        <v>121</v>
      </c>
      <c r="B301" s="89" t="s">
        <v>707</v>
      </c>
      <c r="C301" s="132"/>
      <c r="D301" s="89"/>
      <c r="E301" s="258" t="s">
        <v>708</v>
      </c>
      <c r="F301" s="728"/>
      <c r="G301" s="857">
        <v>0</v>
      </c>
      <c r="H301" s="858">
        <v>0</v>
      </c>
      <c r="I301" s="858">
        <v>0</v>
      </c>
      <c r="J301" s="858">
        <v>0</v>
      </c>
      <c r="K301" s="858">
        <v>0</v>
      </c>
      <c r="L301" s="858">
        <v>0</v>
      </c>
      <c r="M301" s="858">
        <v>0</v>
      </c>
      <c r="N301" s="858">
        <v>0</v>
      </c>
      <c r="O301" s="858">
        <v>0</v>
      </c>
      <c r="P301" s="858">
        <v>0</v>
      </c>
      <c r="Q301" s="858">
        <v>0</v>
      </c>
      <c r="R301" s="856">
        <v>0</v>
      </c>
      <c r="S301" s="856">
        <v>0</v>
      </c>
      <c r="T301" s="859">
        <f>+SUM(G301:S301)/13</f>
        <v>0</v>
      </c>
      <c r="U301" s="529"/>
    </row>
    <row r="302" spans="1:21">
      <c r="A302" s="116">
        <f>+A301+1</f>
        <v>122</v>
      </c>
      <c r="B302" s="89" t="s">
        <v>33</v>
      </c>
      <c r="C302" s="132"/>
      <c r="D302" s="89"/>
      <c r="E302" s="258">
        <v>219</v>
      </c>
      <c r="F302" s="728"/>
      <c r="G302" s="857">
        <v>0</v>
      </c>
      <c r="H302" s="858">
        <v>0</v>
      </c>
      <c r="I302" s="858">
        <v>0</v>
      </c>
      <c r="J302" s="858">
        <v>0</v>
      </c>
      <c r="K302" s="858">
        <v>0</v>
      </c>
      <c r="L302" s="858">
        <v>0</v>
      </c>
      <c r="M302" s="858">
        <v>0</v>
      </c>
      <c r="N302" s="858">
        <v>0</v>
      </c>
      <c r="O302" s="858">
        <v>0</v>
      </c>
      <c r="P302" s="858">
        <v>0</v>
      </c>
      <c r="Q302" s="858">
        <v>0</v>
      </c>
      <c r="R302" s="856">
        <v>0</v>
      </c>
      <c r="S302" s="856">
        <v>0</v>
      </c>
      <c r="T302" s="859">
        <f t="shared" ref="T302" si="24">+SUM(G302:S302)/13</f>
        <v>0</v>
      </c>
      <c r="U302" s="529"/>
    </row>
    <row r="303" spans="1:21" s="529" customFormat="1">
      <c r="A303" s="95">
        <f>+A302+1</f>
        <v>123</v>
      </c>
      <c r="B303" s="89" t="s">
        <v>709</v>
      </c>
      <c r="C303" s="132"/>
      <c r="D303" s="89"/>
      <c r="E303" s="258">
        <v>336</v>
      </c>
      <c r="F303" s="728"/>
      <c r="G303" s="118"/>
      <c r="H303" s="115"/>
      <c r="I303" s="115"/>
      <c r="J303" s="115"/>
      <c r="K303" s="115"/>
      <c r="L303" s="115"/>
      <c r="M303" s="115"/>
      <c r="N303" s="115"/>
      <c r="O303" s="115"/>
      <c r="P303" s="115"/>
      <c r="Q303" s="115"/>
      <c r="R303" s="53"/>
      <c r="S303" s="53"/>
      <c r="T303" s="861">
        <v>0</v>
      </c>
    </row>
    <row r="304" spans="1:21">
      <c r="A304" s="529"/>
      <c r="B304" s="529"/>
      <c r="C304" s="529"/>
      <c r="D304" s="529"/>
      <c r="E304" s="258"/>
      <c r="G304" s="513"/>
      <c r="H304" s="513"/>
      <c r="I304" s="513"/>
      <c r="J304" s="513"/>
      <c r="K304" s="513"/>
      <c r="L304" s="513"/>
      <c r="M304" s="513"/>
      <c r="N304" s="513"/>
      <c r="O304" s="513"/>
      <c r="P304" s="513"/>
      <c r="Q304" s="513"/>
      <c r="R304" s="513"/>
      <c r="S304" s="513"/>
      <c r="T304" s="860"/>
      <c r="U304" s="529"/>
    </row>
    <row r="305" spans="1:21">
      <c r="A305" s="116"/>
      <c r="B305" s="906" t="str">
        <f>+'7B - Schedule 12 Projects'!K8</f>
        <v>Name</v>
      </c>
      <c r="C305" s="132"/>
      <c r="D305" s="89"/>
      <c r="E305" s="258"/>
      <c r="F305" s="728"/>
      <c r="G305" s="513"/>
      <c r="H305" s="513"/>
      <c r="I305" s="513"/>
      <c r="J305" s="513"/>
      <c r="K305" s="513"/>
      <c r="L305" s="513"/>
      <c r="M305" s="513"/>
      <c r="N305" s="513"/>
      <c r="O305" s="513"/>
      <c r="P305" s="513"/>
      <c r="Q305" s="513"/>
      <c r="R305" s="513"/>
      <c r="S305" s="513"/>
      <c r="T305" s="860"/>
      <c r="U305" s="529"/>
    </row>
    <row r="306" spans="1:21">
      <c r="A306" s="116">
        <f>+A303+1</f>
        <v>124</v>
      </c>
      <c r="B306" s="89" t="s">
        <v>707</v>
      </c>
      <c r="C306" s="132"/>
      <c r="D306" s="89"/>
      <c r="E306" s="258" t="s">
        <v>708</v>
      </c>
      <c r="F306" s="728"/>
      <c r="G306" s="857">
        <v>0</v>
      </c>
      <c r="H306" s="858">
        <v>0</v>
      </c>
      <c r="I306" s="858">
        <v>0</v>
      </c>
      <c r="J306" s="858">
        <v>0</v>
      </c>
      <c r="K306" s="858">
        <v>0</v>
      </c>
      <c r="L306" s="858">
        <v>0</v>
      </c>
      <c r="M306" s="858">
        <v>0</v>
      </c>
      <c r="N306" s="858">
        <v>0</v>
      </c>
      <c r="O306" s="858">
        <v>0</v>
      </c>
      <c r="P306" s="858">
        <v>0</v>
      </c>
      <c r="Q306" s="858">
        <v>0</v>
      </c>
      <c r="R306" s="856">
        <v>0</v>
      </c>
      <c r="S306" s="856">
        <v>0</v>
      </c>
      <c r="T306" s="859">
        <f>+SUM(G306:S306)/13</f>
        <v>0</v>
      </c>
      <c r="U306" s="529"/>
    </row>
    <row r="307" spans="1:21">
      <c r="A307" s="116">
        <f>+A306+1</f>
        <v>125</v>
      </c>
      <c r="B307" s="89" t="s">
        <v>33</v>
      </c>
      <c r="C307" s="132"/>
      <c r="D307" s="89"/>
      <c r="E307" s="258">
        <v>219</v>
      </c>
      <c r="F307" s="728"/>
      <c r="G307" s="857">
        <v>0</v>
      </c>
      <c r="H307" s="858">
        <v>0</v>
      </c>
      <c r="I307" s="858">
        <v>0</v>
      </c>
      <c r="J307" s="858">
        <v>0</v>
      </c>
      <c r="K307" s="858">
        <v>0</v>
      </c>
      <c r="L307" s="858">
        <v>0</v>
      </c>
      <c r="M307" s="858">
        <v>0</v>
      </c>
      <c r="N307" s="858">
        <v>0</v>
      </c>
      <c r="O307" s="858">
        <v>0</v>
      </c>
      <c r="P307" s="858">
        <v>0</v>
      </c>
      <c r="Q307" s="858">
        <v>0</v>
      </c>
      <c r="R307" s="856">
        <v>0</v>
      </c>
      <c r="S307" s="856">
        <v>0</v>
      </c>
      <c r="T307" s="859">
        <f t="shared" ref="T307" si="25">+SUM(G307:S307)/13</f>
        <v>0</v>
      </c>
      <c r="U307" s="529"/>
    </row>
    <row r="308" spans="1:21" s="529" customFormat="1">
      <c r="A308" s="95">
        <f>+A307+1</f>
        <v>126</v>
      </c>
      <c r="B308" s="89" t="s">
        <v>709</v>
      </c>
      <c r="C308" s="132"/>
      <c r="D308" s="89"/>
      <c r="E308" s="258">
        <v>336</v>
      </c>
      <c r="F308" s="728"/>
      <c r="G308" s="118"/>
      <c r="H308" s="115"/>
      <c r="I308" s="115"/>
      <c r="J308" s="115"/>
      <c r="K308" s="115"/>
      <c r="L308" s="115"/>
      <c r="M308" s="115"/>
      <c r="N308" s="115"/>
      <c r="O308" s="115"/>
      <c r="P308" s="115"/>
      <c r="Q308" s="115"/>
      <c r="R308" s="53"/>
      <c r="S308" s="53"/>
      <c r="T308" s="861">
        <v>0</v>
      </c>
    </row>
    <row r="309" spans="1:21">
      <c r="A309" s="529"/>
      <c r="B309" s="529"/>
      <c r="C309" s="529"/>
      <c r="D309" s="529"/>
      <c r="E309" s="258"/>
      <c r="G309" s="513"/>
      <c r="H309" s="513"/>
      <c r="I309" s="513"/>
      <c r="J309" s="513"/>
      <c r="K309" s="513"/>
      <c r="L309" s="513"/>
      <c r="M309" s="513"/>
      <c r="N309" s="513"/>
      <c r="O309" s="513"/>
      <c r="P309" s="513"/>
      <c r="Q309" s="513"/>
      <c r="R309" s="513"/>
      <c r="S309" s="513"/>
      <c r="T309" s="860"/>
      <c r="U309" s="529"/>
    </row>
    <row r="310" spans="1:21">
      <c r="A310" s="116"/>
      <c r="B310" s="906" t="str">
        <f>+'7B - Schedule 12 Projects'!M8</f>
        <v>Name</v>
      </c>
      <c r="C310" s="132"/>
      <c r="D310" s="89"/>
      <c r="E310" s="258"/>
      <c r="F310" s="728"/>
      <c r="G310" s="513"/>
      <c r="H310" s="513"/>
      <c r="I310" s="513"/>
      <c r="J310" s="513"/>
      <c r="K310" s="513"/>
      <c r="L310" s="513"/>
      <c r="M310" s="513"/>
      <c r="N310" s="513"/>
      <c r="O310" s="513"/>
      <c r="P310" s="513"/>
      <c r="Q310" s="513"/>
      <c r="R310" s="513"/>
      <c r="S310" s="513"/>
      <c r="T310" s="860"/>
      <c r="U310" s="529"/>
    </row>
    <row r="311" spans="1:21">
      <c r="A311" s="116">
        <f>+A308+1</f>
        <v>127</v>
      </c>
      <c r="B311" s="89" t="s">
        <v>707</v>
      </c>
      <c r="C311" s="132"/>
      <c r="D311" s="89"/>
      <c r="E311" s="258" t="s">
        <v>708</v>
      </c>
      <c r="F311" s="728"/>
      <c r="G311" s="857">
        <v>0</v>
      </c>
      <c r="H311" s="858">
        <v>0</v>
      </c>
      <c r="I311" s="858">
        <v>0</v>
      </c>
      <c r="J311" s="858">
        <v>0</v>
      </c>
      <c r="K311" s="858">
        <v>0</v>
      </c>
      <c r="L311" s="858">
        <v>0</v>
      </c>
      <c r="M311" s="858">
        <v>0</v>
      </c>
      <c r="N311" s="858">
        <v>0</v>
      </c>
      <c r="O311" s="858">
        <v>0</v>
      </c>
      <c r="P311" s="858">
        <v>0</v>
      </c>
      <c r="Q311" s="858">
        <v>0</v>
      </c>
      <c r="R311" s="856">
        <v>0</v>
      </c>
      <c r="S311" s="856">
        <v>0</v>
      </c>
      <c r="T311" s="859">
        <f>+SUM(G311:S311)/13</f>
        <v>0</v>
      </c>
      <c r="U311" s="529"/>
    </row>
    <row r="312" spans="1:21">
      <c r="A312" s="116">
        <f>+A311+1</f>
        <v>128</v>
      </c>
      <c r="B312" s="89" t="s">
        <v>33</v>
      </c>
      <c r="C312" s="132"/>
      <c r="D312" s="89"/>
      <c r="E312" s="258">
        <v>219</v>
      </c>
      <c r="F312" s="728"/>
      <c r="G312" s="857">
        <v>0</v>
      </c>
      <c r="H312" s="858">
        <v>0</v>
      </c>
      <c r="I312" s="858">
        <v>0</v>
      </c>
      <c r="J312" s="858">
        <v>0</v>
      </c>
      <c r="K312" s="858">
        <v>0</v>
      </c>
      <c r="L312" s="858">
        <v>0</v>
      </c>
      <c r="M312" s="858">
        <v>0</v>
      </c>
      <c r="N312" s="858">
        <v>0</v>
      </c>
      <c r="O312" s="858">
        <v>0</v>
      </c>
      <c r="P312" s="858">
        <v>0</v>
      </c>
      <c r="Q312" s="858">
        <v>0</v>
      </c>
      <c r="R312" s="856">
        <v>0</v>
      </c>
      <c r="S312" s="856">
        <v>0</v>
      </c>
      <c r="T312" s="859">
        <f t="shared" ref="T312" si="26">+SUM(G312:S312)/13</f>
        <v>0</v>
      </c>
      <c r="U312" s="529"/>
    </row>
    <row r="313" spans="1:21">
      <c r="A313" s="88">
        <f>+A312+1</f>
        <v>129</v>
      </c>
      <c r="B313" s="89" t="s">
        <v>709</v>
      </c>
      <c r="C313" s="132"/>
      <c r="D313" s="89"/>
      <c r="E313" s="258">
        <v>336</v>
      </c>
      <c r="F313" s="728"/>
      <c r="G313" s="118"/>
      <c r="H313" s="115"/>
      <c r="I313" s="115"/>
      <c r="J313" s="115"/>
      <c r="K313" s="115"/>
      <c r="L313" s="115"/>
      <c r="M313" s="115"/>
      <c r="N313" s="115"/>
      <c r="O313" s="115"/>
      <c r="P313" s="115"/>
      <c r="Q313" s="115"/>
      <c r="R313" s="53"/>
      <c r="S313" s="53"/>
      <c r="T313" s="861">
        <v>0</v>
      </c>
      <c r="U313" s="529"/>
    </row>
    <row r="314" spans="1:21" s="529" customFormat="1">
      <c r="B314" s="89"/>
      <c r="C314" s="132"/>
      <c r="D314" s="89"/>
      <c r="E314" s="258"/>
      <c r="F314" s="728"/>
      <c r="G314" s="118"/>
      <c r="H314" s="115"/>
      <c r="I314" s="115"/>
      <c r="J314" s="115"/>
      <c r="K314" s="115"/>
      <c r="L314" s="115"/>
      <c r="M314" s="115"/>
      <c r="N314" s="115"/>
      <c r="O314" s="115"/>
      <c r="P314" s="115"/>
      <c r="Q314" s="115"/>
      <c r="R314" s="53"/>
      <c r="S314" s="53"/>
      <c r="T314" s="859"/>
    </row>
    <row r="315" spans="1:21">
      <c r="A315" s="116"/>
      <c r="B315" s="906" t="str">
        <f>+'7B - Schedule 12 Projects'!O8</f>
        <v>Name</v>
      </c>
      <c r="C315" s="132"/>
      <c r="D315" s="89"/>
      <c r="E315" s="258"/>
      <c r="F315" s="728"/>
      <c r="G315" s="513"/>
      <c r="H315" s="513"/>
      <c r="I315" s="513"/>
      <c r="J315" s="513"/>
      <c r="K315" s="513"/>
      <c r="L315" s="513"/>
      <c r="M315" s="513"/>
      <c r="N315" s="513"/>
      <c r="O315" s="513"/>
      <c r="P315" s="513"/>
      <c r="Q315" s="513"/>
      <c r="R315" s="513"/>
      <c r="S315" s="513"/>
      <c r="T315" s="860"/>
      <c r="U315" s="529"/>
    </row>
    <row r="316" spans="1:21">
      <c r="A316" s="116">
        <f>+A313+1</f>
        <v>130</v>
      </c>
      <c r="B316" s="89" t="s">
        <v>707</v>
      </c>
      <c r="C316" s="132"/>
      <c r="D316" s="89"/>
      <c r="E316" s="258" t="s">
        <v>708</v>
      </c>
      <c r="F316" s="728"/>
      <c r="G316" s="857">
        <v>0</v>
      </c>
      <c r="H316" s="858">
        <v>0</v>
      </c>
      <c r="I316" s="858">
        <v>0</v>
      </c>
      <c r="J316" s="858">
        <v>0</v>
      </c>
      <c r="K316" s="858">
        <v>0</v>
      </c>
      <c r="L316" s="858">
        <v>0</v>
      </c>
      <c r="M316" s="858">
        <v>0</v>
      </c>
      <c r="N316" s="858">
        <v>0</v>
      </c>
      <c r="O316" s="858">
        <v>0</v>
      </c>
      <c r="P316" s="858">
        <v>0</v>
      </c>
      <c r="Q316" s="858">
        <v>0</v>
      </c>
      <c r="R316" s="856">
        <v>0</v>
      </c>
      <c r="S316" s="856">
        <v>0</v>
      </c>
      <c r="T316" s="859">
        <f>+SUM(G316:S316)/13</f>
        <v>0</v>
      </c>
      <c r="U316" s="529"/>
    </row>
    <row r="317" spans="1:21">
      <c r="A317" s="116">
        <f>+A316+1</f>
        <v>131</v>
      </c>
      <c r="B317" s="89" t="s">
        <v>33</v>
      </c>
      <c r="C317" s="132"/>
      <c r="D317" s="89"/>
      <c r="E317" s="258">
        <v>219</v>
      </c>
      <c r="F317" s="728"/>
      <c r="G317" s="857">
        <v>0</v>
      </c>
      <c r="H317" s="858">
        <v>0</v>
      </c>
      <c r="I317" s="858">
        <v>0</v>
      </c>
      <c r="J317" s="858">
        <v>0</v>
      </c>
      <c r="K317" s="858">
        <v>0</v>
      </c>
      <c r="L317" s="858">
        <v>0</v>
      </c>
      <c r="M317" s="858">
        <v>0</v>
      </c>
      <c r="N317" s="858">
        <v>0</v>
      </c>
      <c r="O317" s="858">
        <v>0</v>
      </c>
      <c r="P317" s="858">
        <v>0</v>
      </c>
      <c r="Q317" s="858">
        <v>0</v>
      </c>
      <c r="R317" s="856">
        <v>0</v>
      </c>
      <c r="S317" s="856">
        <v>0</v>
      </c>
      <c r="T317" s="859">
        <f t="shared" ref="T317" si="27">+SUM(G317:S317)/13</f>
        <v>0</v>
      </c>
      <c r="U317" s="529"/>
    </row>
    <row r="318" spans="1:21">
      <c r="A318" s="116">
        <f>+A317+1</f>
        <v>132</v>
      </c>
      <c r="B318" s="89" t="s">
        <v>709</v>
      </c>
      <c r="C318" s="132"/>
      <c r="D318" s="89"/>
      <c r="E318" s="258">
        <v>336</v>
      </c>
      <c r="F318" s="728"/>
      <c r="G318" s="118"/>
      <c r="H318" s="115"/>
      <c r="I318" s="115"/>
      <c r="J318" s="115"/>
      <c r="K318" s="115"/>
      <c r="L318" s="115"/>
      <c r="M318" s="115"/>
      <c r="N318" s="115"/>
      <c r="O318" s="115"/>
      <c r="P318" s="115"/>
      <c r="Q318" s="115"/>
      <c r="R318" s="53"/>
      <c r="S318" s="53"/>
      <c r="T318" s="861">
        <v>0</v>
      </c>
      <c r="U318" s="529"/>
    </row>
    <row r="319" spans="1:21" s="529" customFormat="1">
      <c r="A319" s="116"/>
      <c r="B319" s="89"/>
      <c r="C319" s="132"/>
      <c r="D319" s="89"/>
      <c r="E319" s="258"/>
      <c r="F319" s="728"/>
      <c r="G319" s="118"/>
      <c r="H319" s="115"/>
      <c r="I319" s="115"/>
      <c r="J319" s="115"/>
      <c r="K319" s="115"/>
      <c r="L319" s="115"/>
      <c r="M319" s="115"/>
      <c r="N319" s="115"/>
      <c r="O319" s="115"/>
      <c r="P319" s="115"/>
      <c r="Q319" s="115"/>
      <c r="R319" s="53"/>
      <c r="S319" s="53"/>
      <c r="T319" s="859"/>
    </row>
    <row r="320" spans="1:21">
      <c r="A320" s="116"/>
      <c r="B320" s="906" t="str">
        <f>+'7B - Schedule 12 Projects'!Q8</f>
        <v>Name</v>
      </c>
      <c r="C320" s="132"/>
      <c r="D320" s="89"/>
      <c r="E320" s="258"/>
      <c r="F320" s="728"/>
      <c r="G320" s="513"/>
      <c r="H320" s="513"/>
      <c r="I320" s="513"/>
      <c r="J320" s="513"/>
      <c r="K320" s="513"/>
      <c r="L320" s="513"/>
      <c r="M320" s="513"/>
      <c r="N320" s="513"/>
      <c r="O320" s="513"/>
      <c r="P320" s="513"/>
      <c r="Q320" s="513"/>
      <c r="R320" s="513"/>
      <c r="S320" s="513"/>
      <c r="T320" s="860"/>
      <c r="U320" s="529"/>
    </row>
    <row r="321" spans="1:20">
      <c r="A321" s="116">
        <f>+A318+1</f>
        <v>133</v>
      </c>
      <c r="B321" s="89" t="s">
        <v>707</v>
      </c>
      <c r="C321" s="132"/>
      <c r="D321" s="89"/>
      <c r="E321" s="258" t="s">
        <v>708</v>
      </c>
      <c r="F321" s="728"/>
      <c r="G321" s="857">
        <v>0</v>
      </c>
      <c r="H321" s="858">
        <v>0</v>
      </c>
      <c r="I321" s="858">
        <v>0</v>
      </c>
      <c r="J321" s="858">
        <v>0</v>
      </c>
      <c r="K321" s="858">
        <v>0</v>
      </c>
      <c r="L321" s="858">
        <v>0</v>
      </c>
      <c r="M321" s="858">
        <v>0</v>
      </c>
      <c r="N321" s="858">
        <v>0</v>
      </c>
      <c r="O321" s="858">
        <v>0</v>
      </c>
      <c r="P321" s="858">
        <v>0</v>
      </c>
      <c r="Q321" s="858">
        <v>0</v>
      </c>
      <c r="R321" s="856">
        <v>0</v>
      </c>
      <c r="S321" s="856">
        <v>0</v>
      </c>
      <c r="T321" s="859">
        <f>+SUM(G321:S321)/13</f>
        <v>0</v>
      </c>
    </row>
    <row r="322" spans="1:20">
      <c r="A322" s="116">
        <f>+A321+1</f>
        <v>134</v>
      </c>
      <c r="B322" s="89" t="s">
        <v>33</v>
      </c>
      <c r="C322" s="132"/>
      <c r="D322" s="89"/>
      <c r="E322" s="258">
        <v>219</v>
      </c>
      <c r="F322" s="728"/>
      <c r="G322" s="857">
        <v>0</v>
      </c>
      <c r="H322" s="858">
        <v>0</v>
      </c>
      <c r="I322" s="858">
        <v>0</v>
      </c>
      <c r="J322" s="858">
        <v>0</v>
      </c>
      <c r="K322" s="858">
        <v>0</v>
      </c>
      <c r="L322" s="858">
        <v>0</v>
      </c>
      <c r="M322" s="858">
        <v>0</v>
      </c>
      <c r="N322" s="858">
        <v>0</v>
      </c>
      <c r="O322" s="858">
        <v>0</v>
      </c>
      <c r="P322" s="858">
        <v>0</v>
      </c>
      <c r="Q322" s="858">
        <v>0</v>
      </c>
      <c r="R322" s="856">
        <v>0</v>
      </c>
      <c r="S322" s="856">
        <v>0</v>
      </c>
      <c r="T322" s="859">
        <f t="shared" ref="T322" si="28">+SUM(G322:S322)/13</f>
        <v>0</v>
      </c>
    </row>
    <row r="323" spans="1:20">
      <c r="A323" s="116">
        <f>+A322+1</f>
        <v>135</v>
      </c>
      <c r="B323" s="89" t="s">
        <v>709</v>
      </c>
      <c r="C323" s="132"/>
      <c r="D323" s="89"/>
      <c r="E323" s="258">
        <v>336</v>
      </c>
      <c r="F323" s="728"/>
      <c r="G323" s="118"/>
      <c r="H323" s="115"/>
      <c r="I323" s="115"/>
      <c r="J323" s="115"/>
      <c r="K323" s="115"/>
      <c r="L323" s="115"/>
      <c r="M323" s="115"/>
      <c r="N323" s="115"/>
      <c r="O323" s="115"/>
      <c r="P323" s="115"/>
      <c r="Q323" s="115"/>
      <c r="R323" s="53"/>
      <c r="S323" s="53"/>
      <c r="T323" s="861">
        <v>0</v>
      </c>
    </row>
    <row r="324" spans="1:20" s="529" customFormat="1">
      <c r="A324" s="116"/>
      <c r="B324" s="89"/>
      <c r="C324" s="132"/>
      <c r="D324" s="89"/>
      <c r="E324" s="258"/>
      <c r="F324" s="728"/>
      <c r="G324" s="118"/>
      <c r="H324" s="115"/>
      <c r="I324" s="115"/>
      <c r="J324" s="115"/>
      <c r="K324" s="115"/>
      <c r="L324" s="115"/>
      <c r="M324" s="115"/>
      <c r="N324" s="115"/>
      <c r="O324" s="115"/>
      <c r="P324" s="115"/>
      <c r="Q324" s="115"/>
      <c r="R324" s="53"/>
      <c r="S324" s="53"/>
      <c r="T324" s="859"/>
    </row>
    <row r="325" spans="1:20">
      <c r="A325" s="116"/>
      <c r="B325" s="906" t="str">
        <f>+'7B - Schedule 12 Projects'!S8</f>
        <v>Name</v>
      </c>
      <c r="C325" s="132"/>
      <c r="D325" s="89"/>
      <c r="E325" s="258"/>
      <c r="F325" s="728"/>
      <c r="G325" s="513"/>
      <c r="H325" s="513"/>
      <c r="I325" s="513"/>
      <c r="J325" s="513"/>
      <c r="K325" s="513"/>
      <c r="L325" s="513"/>
      <c r="M325" s="513"/>
      <c r="N325" s="513"/>
      <c r="O325" s="513"/>
      <c r="P325" s="513"/>
      <c r="Q325" s="513"/>
      <c r="R325" s="513"/>
      <c r="S325" s="513"/>
      <c r="T325" s="860"/>
    </row>
    <row r="326" spans="1:20">
      <c r="A326" s="116">
        <f>+A323+1</f>
        <v>136</v>
      </c>
      <c r="B326" s="89" t="s">
        <v>707</v>
      </c>
      <c r="C326" s="132"/>
      <c r="D326" s="89"/>
      <c r="E326" s="258" t="s">
        <v>708</v>
      </c>
      <c r="F326" s="728"/>
      <c r="G326" s="857">
        <v>0</v>
      </c>
      <c r="H326" s="858">
        <v>0</v>
      </c>
      <c r="I326" s="858">
        <v>0</v>
      </c>
      <c r="J326" s="858">
        <v>0</v>
      </c>
      <c r="K326" s="858">
        <v>0</v>
      </c>
      <c r="L326" s="858">
        <v>0</v>
      </c>
      <c r="M326" s="858">
        <v>0</v>
      </c>
      <c r="N326" s="858">
        <v>0</v>
      </c>
      <c r="O326" s="858">
        <v>0</v>
      </c>
      <c r="P326" s="858">
        <v>0</v>
      </c>
      <c r="Q326" s="858">
        <v>0</v>
      </c>
      <c r="R326" s="856">
        <v>0</v>
      </c>
      <c r="S326" s="856">
        <v>0</v>
      </c>
      <c r="T326" s="859">
        <f>+SUM(G326:S326)/13</f>
        <v>0</v>
      </c>
    </row>
    <row r="327" spans="1:20">
      <c r="A327" s="116">
        <f>+A326+1</f>
        <v>137</v>
      </c>
      <c r="B327" s="89" t="s">
        <v>33</v>
      </c>
      <c r="C327" s="132"/>
      <c r="D327" s="89"/>
      <c r="E327" s="258">
        <v>219</v>
      </c>
      <c r="F327" s="728"/>
      <c r="G327" s="857">
        <v>0</v>
      </c>
      <c r="H327" s="858">
        <v>0</v>
      </c>
      <c r="I327" s="858">
        <v>0</v>
      </c>
      <c r="J327" s="858">
        <v>0</v>
      </c>
      <c r="K327" s="858">
        <v>0</v>
      </c>
      <c r="L327" s="858">
        <v>0</v>
      </c>
      <c r="M327" s="858">
        <v>0</v>
      </c>
      <c r="N327" s="858">
        <v>0</v>
      </c>
      <c r="O327" s="858">
        <v>0</v>
      </c>
      <c r="P327" s="858">
        <v>0</v>
      </c>
      <c r="Q327" s="858">
        <v>0</v>
      </c>
      <c r="R327" s="856">
        <v>0</v>
      </c>
      <c r="S327" s="856">
        <v>0</v>
      </c>
      <c r="T327" s="859">
        <f t="shared" ref="T327" si="29">+SUM(G327:S327)/13</f>
        <v>0</v>
      </c>
    </row>
    <row r="328" spans="1:20">
      <c r="A328" s="116">
        <f>+A327+1</f>
        <v>138</v>
      </c>
      <c r="B328" s="89" t="s">
        <v>709</v>
      </c>
      <c r="C328" s="132"/>
      <c r="D328" s="89"/>
      <c r="E328" s="258">
        <v>336</v>
      </c>
      <c r="F328" s="728"/>
      <c r="G328" s="118"/>
      <c r="H328" s="115"/>
      <c r="I328" s="115"/>
      <c r="J328" s="115"/>
      <c r="K328" s="115"/>
      <c r="L328" s="115"/>
      <c r="M328" s="115"/>
      <c r="N328" s="115"/>
      <c r="O328" s="115"/>
      <c r="P328" s="115"/>
      <c r="Q328" s="115"/>
      <c r="R328" s="53"/>
      <c r="S328" s="53"/>
      <c r="T328" s="861">
        <v>0</v>
      </c>
    </row>
    <row r="329" spans="1:20" s="529" customFormat="1">
      <c r="A329" s="116"/>
      <c r="B329" s="89"/>
      <c r="C329" s="132"/>
      <c r="D329" s="89"/>
      <c r="E329" s="258"/>
      <c r="F329" s="728"/>
      <c r="G329" s="118"/>
      <c r="H329" s="115"/>
      <c r="I329" s="115"/>
      <c r="J329" s="115"/>
      <c r="K329" s="115"/>
      <c r="L329" s="115"/>
      <c r="M329" s="115"/>
      <c r="N329" s="115"/>
      <c r="O329" s="115"/>
      <c r="P329" s="115"/>
      <c r="Q329" s="115"/>
      <c r="R329" s="53"/>
      <c r="S329" s="53"/>
      <c r="T329" s="859"/>
    </row>
    <row r="330" spans="1:20">
      <c r="A330" s="116"/>
      <c r="B330" s="906" t="str">
        <f>+'7B - Schedule 12 Projects'!U8</f>
        <v>Name</v>
      </c>
      <c r="C330" s="132"/>
      <c r="D330" s="89"/>
      <c r="E330" s="258"/>
      <c r="F330" s="728"/>
      <c r="G330" s="513"/>
      <c r="H330" s="513"/>
      <c r="I330" s="513"/>
      <c r="J330" s="513"/>
      <c r="K330" s="513"/>
      <c r="L330" s="513"/>
      <c r="M330" s="513"/>
      <c r="N330" s="513"/>
      <c r="O330" s="513"/>
      <c r="P330" s="513"/>
      <c r="Q330" s="513"/>
      <c r="R330" s="513"/>
      <c r="S330" s="513"/>
      <c r="T330" s="860"/>
    </row>
    <row r="331" spans="1:20">
      <c r="A331" s="116">
        <f>+A328+1</f>
        <v>139</v>
      </c>
      <c r="B331" s="89" t="s">
        <v>707</v>
      </c>
      <c r="C331" s="132"/>
      <c r="D331" s="89"/>
      <c r="E331" s="258" t="s">
        <v>708</v>
      </c>
      <c r="F331" s="728"/>
      <c r="G331" s="857">
        <v>0</v>
      </c>
      <c r="H331" s="858">
        <v>0</v>
      </c>
      <c r="I331" s="858">
        <v>0</v>
      </c>
      <c r="J331" s="858">
        <v>0</v>
      </c>
      <c r="K331" s="858">
        <v>0</v>
      </c>
      <c r="L331" s="858">
        <v>0</v>
      </c>
      <c r="M331" s="858">
        <v>0</v>
      </c>
      <c r="N331" s="858">
        <v>0</v>
      </c>
      <c r="O331" s="858">
        <v>0</v>
      </c>
      <c r="P331" s="858">
        <v>0</v>
      </c>
      <c r="Q331" s="858">
        <v>0</v>
      </c>
      <c r="R331" s="856">
        <v>0</v>
      </c>
      <c r="S331" s="856">
        <v>0</v>
      </c>
      <c r="T331" s="859">
        <f>+SUM(G331:S331)/13</f>
        <v>0</v>
      </c>
    </row>
    <row r="332" spans="1:20">
      <c r="A332" s="116">
        <f>+A331+1</f>
        <v>140</v>
      </c>
      <c r="B332" s="89" t="s">
        <v>33</v>
      </c>
      <c r="C332" s="132"/>
      <c r="D332" s="89"/>
      <c r="E332" s="258">
        <v>219</v>
      </c>
      <c r="F332" s="728"/>
      <c r="G332" s="857">
        <v>0</v>
      </c>
      <c r="H332" s="858">
        <v>0</v>
      </c>
      <c r="I332" s="858">
        <v>0</v>
      </c>
      <c r="J332" s="858">
        <v>0</v>
      </c>
      <c r="K332" s="858">
        <v>0</v>
      </c>
      <c r="L332" s="858">
        <v>0</v>
      </c>
      <c r="M332" s="858">
        <v>0</v>
      </c>
      <c r="N332" s="858">
        <v>0</v>
      </c>
      <c r="O332" s="858">
        <v>0</v>
      </c>
      <c r="P332" s="858">
        <v>0</v>
      </c>
      <c r="Q332" s="858">
        <v>0</v>
      </c>
      <c r="R332" s="856">
        <v>0</v>
      </c>
      <c r="S332" s="856">
        <v>0</v>
      </c>
      <c r="T332" s="859">
        <f t="shared" ref="T332" si="30">+SUM(G332:S332)/13</f>
        <v>0</v>
      </c>
    </row>
    <row r="333" spans="1:20">
      <c r="A333" s="116">
        <f>+A332+1</f>
        <v>141</v>
      </c>
      <c r="B333" s="89" t="s">
        <v>709</v>
      </c>
      <c r="C333" s="132"/>
      <c r="D333" s="89"/>
      <c r="E333" s="258">
        <v>336</v>
      </c>
      <c r="F333" s="728"/>
      <c r="G333" s="118"/>
      <c r="H333" s="115"/>
      <c r="I333" s="115"/>
      <c r="J333" s="115"/>
      <c r="K333" s="115"/>
      <c r="L333" s="115"/>
      <c r="M333" s="115"/>
      <c r="N333" s="115"/>
      <c r="O333" s="115"/>
      <c r="P333" s="115"/>
      <c r="Q333" s="115"/>
      <c r="R333" s="53"/>
      <c r="S333" s="53"/>
      <c r="T333" s="861">
        <v>0</v>
      </c>
    </row>
    <row r="334" spans="1:20" s="529" customFormat="1">
      <c r="A334" s="116"/>
      <c r="B334" s="89"/>
      <c r="C334" s="132"/>
      <c r="D334" s="89"/>
      <c r="E334" s="258"/>
      <c r="F334" s="728"/>
      <c r="G334" s="118"/>
      <c r="H334" s="115"/>
      <c r="I334" s="115"/>
      <c r="J334" s="115"/>
      <c r="K334" s="115"/>
      <c r="L334" s="115"/>
      <c r="M334" s="115"/>
      <c r="N334" s="115"/>
      <c r="O334" s="115"/>
      <c r="P334" s="115"/>
      <c r="Q334" s="115"/>
      <c r="R334" s="53"/>
      <c r="S334" s="53"/>
      <c r="T334" s="859"/>
    </row>
    <row r="335" spans="1:20">
      <c r="A335" s="116"/>
      <c r="B335" s="906" t="str">
        <f>+'7B - Schedule 12 Projects'!W8</f>
        <v>Name</v>
      </c>
      <c r="C335" s="132"/>
      <c r="D335" s="89"/>
      <c r="E335" s="258"/>
      <c r="F335" s="728"/>
      <c r="G335" s="513"/>
      <c r="H335" s="513"/>
      <c r="I335" s="513"/>
      <c r="J335" s="513"/>
      <c r="K335" s="513"/>
      <c r="L335" s="513"/>
      <c r="M335" s="513"/>
      <c r="N335" s="513"/>
      <c r="O335" s="513"/>
      <c r="P335" s="513"/>
      <c r="Q335" s="513"/>
      <c r="R335" s="513"/>
      <c r="S335" s="513"/>
      <c r="T335" s="860"/>
    </row>
    <row r="336" spans="1:20">
      <c r="A336" s="116">
        <f>+A333+1</f>
        <v>142</v>
      </c>
      <c r="B336" s="89" t="s">
        <v>707</v>
      </c>
      <c r="C336" s="132"/>
      <c r="D336" s="89"/>
      <c r="E336" s="258" t="s">
        <v>708</v>
      </c>
      <c r="F336" s="728"/>
      <c r="G336" s="857">
        <v>0</v>
      </c>
      <c r="H336" s="858">
        <v>0</v>
      </c>
      <c r="I336" s="858">
        <v>0</v>
      </c>
      <c r="J336" s="858">
        <v>0</v>
      </c>
      <c r="K336" s="858">
        <v>0</v>
      </c>
      <c r="L336" s="858">
        <v>0</v>
      </c>
      <c r="M336" s="858">
        <v>0</v>
      </c>
      <c r="N336" s="858">
        <v>0</v>
      </c>
      <c r="O336" s="858">
        <v>0</v>
      </c>
      <c r="P336" s="858">
        <v>0</v>
      </c>
      <c r="Q336" s="858">
        <v>0</v>
      </c>
      <c r="R336" s="856">
        <v>0</v>
      </c>
      <c r="S336" s="856">
        <v>0</v>
      </c>
      <c r="T336" s="859">
        <f>+SUM(G336:S336)/13</f>
        <v>0</v>
      </c>
    </row>
    <row r="337" spans="1:21">
      <c r="A337" s="116">
        <f>+A336+1</f>
        <v>143</v>
      </c>
      <c r="B337" s="89" t="s">
        <v>33</v>
      </c>
      <c r="C337" s="132"/>
      <c r="D337" s="89"/>
      <c r="E337" s="258">
        <v>219</v>
      </c>
      <c r="F337" s="728"/>
      <c r="G337" s="857">
        <v>0</v>
      </c>
      <c r="H337" s="858">
        <v>0</v>
      </c>
      <c r="I337" s="858">
        <v>0</v>
      </c>
      <c r="J337" s="858">
        <v>0</v>
      </c>
      <c r="K337" s="858">
        <v>0</v>
      </c>
      <c r="L337" s="858">
        <v>0</v>
      </c>
      <c r="M337" s="858">
        <v>0</v>
      </c>
      <c r="N337" s="858">
        <v>0</v>
      </c>
      <c r="O337" s="858">
        <v>0</v>
      </c>
      <c r="P337" s="858">
        <v>0</v>
      </c>
      <c r="Q337" s="858">
        <v>0</v>
      </c>
      <c r="R337" s="856">
        <v>0</v>
      </c>
      <c r="S337" s="856">
        <v>0</v>
      </c>
      <c r="T337" s="859">
        <f t="shared" ref="T337" si="31">+SUM(G337:S337)/13</f>
        <v>0</v>
      </c>
      <c r="U337" s="529"/>
    </row>
    <row r="338" spans="1:21">
      <c r="A338" s="116">
        <f>+A337+1</f>
        <v>144</v>
      </c>
      <c r="B338" s="89" t="s">
        <v>709</v>
      </c>
      <c r="C338" s="132"/>
      <c r="D338" s="89"/>
      <c r="E338" s="258">
        <v>336</v>
      </c>
      <c r="F338" s="728"/>
      <c r="G338" s="118"/>
      <c r="H338" s="115"/>
      <c r="I338" s="115"/>
      <c r="J338" s="115"/>
      <c r="K338" s="115"/>
      <c r="L338" s="115"/>
      <c r="M338" s="115"/>
      <c r="N338" s="115"/>
      <c r="O338" s="115"/>
      <c r="P338" s="115"/>
      <c r="Q338" s="115"/>
      <c r="R338" s="53"/>
      <c r="S338" s="53"/>
      <c r="T338" s="861">
        <v>0</v>
      </c>
      <c r="U338" s="529"/>
    </row>
    <row r="339" spans="1:21" s="529" customFormat="1">
      <c r="A339" s="116"/>
      <c r="B339" s="89"/>
      <c r="C339" s="132"/>
      <c r="D339" s="89"/>
      <c r="E339" s="258"/>
      <c r="F339" s="728"/>
      <c r="G339" s="118"/>
      <c r="H339" s="115"/>
      <c r="I339" s="115"/>
      <c r="J339" s="115"/>
      <c r="K339" s="115"/>
      <c r="L339" s="115"/>
      <c r="M339" s="115"/>
      <c r="N339" s="115"/>
      <c r="O339" s="115"/>
      <c r="P339" s="115"/>
      <c r="Q339" s="115"/>
      <c r="R339" s="53"/>
      <c r="S339" s="53"/>
      <c r="T339" s="859"/>
    </row>
    <row r="340" spans="1:21">
      <c r="A340" s="116"/>
      <c r="B340" s="906" t="str">
        <f>+'7B - Schedule 12 Projects'!Y8</f>
        <v>Name</v>
      </c>
      <c r="C340" s="132"/>
      <c r="D340" s="89"/>
      <c r="E340" s="258"/>
      <c r="F340" s="728"/>
      <c r="G340" s="513"/>
      <c r="H340" s="513"/>
      <c r="I340" s="513"/>
      <c r="J340" s="513"/>
      <c r="K340" s="513"/>
      <c r="L340" s="513"/>
      <c r="M340" s="513"/>
      <c r="N340" s="513"/>
      <c r="O340" s="513"/>
      <c r="P340" s="513"/>
      <c r="Q340" s="513"/>
      <c r="R340" s="513"/>
      <c r="S340" s="513"/>
      <c r="T340" s="860"/>
      <c r="U340" s="529"/>
    </row>
    <row r="341" spans="1:21">
      <c r="A341" s="116">
        <f>+A338+1</f>
        <v>145</v>
      </c>
      <c r="B341" s="89" t="s">
        <v>707</v>
      </c>
      <c r="C341" s="132"/>
      <c r="D341" s="89"/>
      <c r="E341" s="258" t="s">
        <v>708</v>
      </c>
      <c r="F341" s="728"/>
      <c r="G341" s="857">
        <v>0</v>
      </c>
      <c r="H341" s="858">
        <v>0</v>
      </c>
      <c r="I341" s="858">
        <v>0</v>
      </c>
      <c r="J341" s="858">
        <v>0</v>
      </c>
      <c r="K341" s="858">
        <v>0</v>
      </c>
      <c r="L341" s="858">
        <v>0</v>
      </c>
      <c r="M341" s="858">
        <v>0</v>
      </c>
      <c r="N341" s="858">
        <v>0</v>
      </c>
      <c r="O341" s="858">
        <v>0</v>
      </c>
      <c r="P341" s="858">
        <v>0</v>
      </c>
      <c r="Q341" s="858">
        <v>0</v>
      </c>
      <c r="R341" s="856">
        <v>0</v>
      </c>
      <c r="S341" s="856">
        <v>0</v>
      </c>
      <c r="T341" s="859">
        <f>+SUM(G341:S341)/13</f>
        <v>0</v>
      </c>
      <c r="U341" s="529"/>
    </row>
    <row r="342" spans="1:21">
      <c r="A342" s="116">
        <f>+A341+1</f>
        <v>146</v>
      </c>
      <c r="B342" s="89" t="s">
        <v>33</v>
      </c>
      <c r="C342" s="132"/>
      <c r="D342" s="89"/>
      <c r="E342" s="258">
        <v>219</v>
      </c>
      <c r="F342" s="728"/>
      <c r="G342" s="857">
        <v>0</v>
      </c>
      <c r="H342" s="858">
        <v>0</v>
      </c>
      <c r="I342" s="858">
        <v>0</v>
      </c>
      <c r="J342" s="858">
        <v>0</v>
      </c>
      <c r="K342" s="858">
        <v>0</v>
      </c>
      <c r="L342" s="858">
        <v>0</v>
      </c>
      <c r="M342" s="858">
        <v>0</v>
      </c>
      <c r="N342" s="858">
        <v>0</v>
      </c>
      <c r="O342" s="858">
        <v>0</v>
      </c>
      <c r="P342" s="858">
        <v>0</v>
      </c>
      <c r="Q342" s="858">
        <v>0</v>
      </c>
      <c r="R342" s="856">
        <v>0</v>
      </c>
      <c r="S342" s="856">
        <v>0</v>
      </c>
      <c r="T342" s="859">
        <f t="shared" ref="T342" si="32">+SUM(G342:S342)/13</f>
        <v>0</v>
      </c>
      <c r="U342" s="529"/>
    </row>
    <row r="343" spans="1:21">
      <c r="A343" s="116">
        <f>+A342+1</f>
        <v>147</v>
      </c>
      <c r="B343" s="89" t="s">
        <v>709</v>
      </c>
      <c r="C343" s="132"/>
      <c r="D343" s="89"/>
      <c r="E343" s="258">
        <v>336</v>
      </c>
      <c r="F343" s="728"/>
      <c r="G343" s="118"/>
      <c r="H343" s="115"/>
      <c r="I343" s="115"/>
      <c r="J343" s="115"/>
      <c r="K343" s="115"/>
      <c r="L343" s="115"/>
      <c r="M343" s="115"/>
      <c r="N343" s="115"/>
      <c r="O343" s="115"/>
      <c r="P343" s="115"/>
      <c r="Q343" s="115"/>
      <c r="R343" s="53"/>
      <c r="S343" s="53"/>
      <c r="T343" s="861">
        <v>0</v>
      </c>
      <c r="U343" s="529"/>
    </row>
    <row r="344" spans="1:21" ht="15.75" thickBot="1">
      <c r="A344" s="142"/>
      <c r="B344" s="142"/>
      <c r="C344" s="142"/>
      <c r="D344" s="142"/>
      <c r="E344" s="142"/>
      <c r="F344" s="142"/>
      <c r="G344" s="142"/>
      <c r="H344" s="142"/>
      <c r="I344" s="142"/>
      <c r="J344" s="142"/>
      <c r="K344" s="142"/>
      <c r="L344" s="142"/>
      <c r="M344" s="142"/>
      <c r="N344" s="142"/>
      <c r="O344" s="142"/>
      <c r="P344" s="142"/>
      <c r="Q344" s="142"/>
      <c r="R344" s="142"/>
      <c r="S344" s="142"/>
      <c r="T344" s="1092"/>
      <c r="U344" s="529"/>
    </row>
    <row r="345" spans="1:21">
      <c r="A345" s="529"/>
      <c r="B345" s="529"/>
      <c r="C345" s="529"/>
      <c r="D345" s="529"/>
      <c r="E345" s="529"/>
      <c r="G345" s="529"/>
      <c r="H345" s="529"/>
      <c r="I345" s="529"/>
      <c r="J345" s="529"/>
      <c r="K345" s="529"/>
      <c r="L345" s="529"/>
      <c r="M345" s="529"/>
      <c r="N345" s="529"/>
      <c r="O345" s="529"/>
      <c r="P345" s="529"/>
      <c r="Q345" s="529"/>
      <c r="R345" s="529"/>
      <c r="S345" s="529"/>
      <c r="T345" s="89"/>
      <c r="U345" s="8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Application xmlns="http://www.sap.com/cof/excel/application">
  <Version>2</Version>
  <Revision>2.7.001.82873</Revision>
</Application>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0B8641-DBD3-4544-8D96-45B8AD3AF0B1}">
  <ds:schemaRefs>
    <ds:schemaRef ds:uri="http://www.sap.com/cof/excel/application"/>
  </ds:schemaRefs>
</ds:datastoreItem>
</file>

<file path=customXml/itemProps3.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Sarah Howdeshelt</cp:lastModifiedBy>
  <cp:revision/>
  <dcterms:created xsi:type="dcterms:W3CDTF">2008-07-07T19:27:29Z</dcterms:created>
  <dcterms:modified xsi:type="dcterms:W3CDTF">2021-10-01T12:17:00Z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