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U:\Corp\Rates\Akr\Rates\FERC Transmission\AYE\Annual Rate Filings\2022 PTRR\Final Filing\"/>
    </mc:Choice>
  </mc:AlternateContent>
  <xr:revisionPtr revIDLastSave="0" documentId="13_ncr:1_{C27D80E9-04EA-4DF7-B95F-5F48208A4C93}" xr6:coauthVersionLast="47" xr6:coauthVersionMax="47" xr10:uidLastSave="{00000000-0000-0000-0000-000000000000}"/>
  <bookViews>
    <workbookView xWindow="-108" yWindow="-108" windowWidth="23256" windowHeight="12576" tabRatio="801" xr2:uid="{3714DE89-9D55-483C-AD78-F424E4EACA9B}"/>
  </bookViews>
  <sheets>
    <sheet name="Attachment H-11A " sheetId="1" r:id="rId1"/>
    <sheet name="Attachment 1 - Sched 1A" sheetId="2" r:id="rId2"/>
    <sheet name="Attachment 2 - ROE Calcs" sheetId="3" r:id="rId3"/>
    <sheet name="Attach 2a - Scaled ROE Adder" sheetId="4" r:id="rId4"/>
    <sheet name="Attach 2b - Incent ROE NITS" sheetId="5" r:id="rId5"/>
    <sheet name="Attachment 3 - Gross Plant" sheetId="6" r:id="rId6"/>
    <sheet name="Attachment 4 - Accum Depr" sheetId="7" r:id="rId7"/>
    <sheet name="Attachment 5 - ADIT Summary" sheetId="8" r:id="rId8"/>
    <sheet name="Attachment 5a - ADIT Detail" sheetId="9" r:id="rId9"/>
    <sheet name="Attachment 5b - ADIT Norm PTRR" sheetId="10" r:id="rId10"/>
    <sheet name="Attachment 5c - ADIT Norm ATRR" sheetId="11" r:id="rId11"/>
    <sheet name="Attachment 6 - PBOP" sheetId="12" r:id="rId12"/>
    <sheet name="Attachment 7 - Taxes Other " sheetId="13" r:id="rId13"/>
    <sheet name="Attachment 8 - Cap Structure" sheetId="14" r:id="rId14"/>
    <sheet name="Attach 9 - Stated-value Inputs" sheetId="15" r:id="rId15"/>
    <sheet name="Attachment 10 - Debt Cost" sheetId="16" r:id="rId16"/>
    <sheet name="Attachment 11 - TEC" sheetId="17" r:id="rId17"/>
    <sheet name="Attach 11a - TEC Cost Support" sheetId="18" r:id="rId18"/>
    <sheet name="Attachment 12 - TEC True-up" sheetId="19" r:id="rId19"/>
    <sheet name="Attachment 13 - Rev Req True-up" sheetId="20" r:id="rId20"/>
    <sheet name="Attach 13a-TEC Rev Req True up" sheetId="21" r:id="rId21"/>
    <sheet name="Attachment 13b - PJM Billings" sheetId="22" r:id="rId22"/>
    <sheet name="Attachment 14 - Other RB" sheetId="23" r:id="rId23"/>
    <sheet name="Attach 15 - Excess_Def ADIT" sheetId="24" r:id="rId24"/>
    <sheet name="Attachment 16 - Abandoned Plant" sheetId="25" r:id="rId25"/>
    <sheet name="Attachment 17 - CWIP in RB" sheetId="26" r:id="rId26"/>
    <sheet name="Attachment 18 - Tax Rates" sheetId="27" r:id="rId27"/>
    <sheet name="Attachment 19 - Reg Asset" sheetId="28" r:id="rId28"/>
    <sheet name="Attachment 20 - O&amp;M and A&amp;G" sheetId="29" r:id="rId29"/>
  </sheets>
  <externalReferences>
    <externalReference r:id="rId30"/>
    <externalReference r:id="rId31"/>
    <externalReference r:id="rId32"/>
    <externalReference r:id="rId33"/>
    <externalReference r:id="rId34"/>
  </externalReferences>
  <definedNames>
    <definedName name="___OFF2">'[1]DPLG-APRIL2001-TRANSCHECKOUT'!$AC$2:$AC$10</definedName>
    <definedName name="___PPP1">'[1]DPLG-APRIL2001-TRANSCHECKOUT'!$A$1:$D$27</definedName>
    <definedName name="__123Graph_A" localSheetId="20" hidden="1">'[2]AL2 151'!#REF!</definedName>
    <definedName name="__123Graph_A" hidden="1">'[2]AL2 151'!#REF!</definedName>
    <definedName name="__123Graph_B" localSheetId="20" hidden="1">'[2]AL2 151'!#REF!</definedName>
    <definedName name="__123Graph_B" hidden="1">'[2]AL2 151'!#REF!</definedName>
    <definedName name="__123Graph_C" localSheetId="20" hidden="1">'[2]AL2 151'!#REF!</definedName>
    <definedName name="__123Graph_C" hidden="1">'[2]AL2 151'!#REF!</definedName>
    <definedName name="__123Graph_D" localSheetId="20" hidden="1">'[2]AL2 151'!#REF!</definedName>
    <definedName name="__123Graph_D" hidden="1">'[2]AL2 151'!#REF!</definedName>
    <definedName name="__123Graph_E" localSheetId="20" hidden="1">'[2]AL2 151'!#REF!</definedName>
    <definedName name="__123Graph_E" hidden="1">'[2]AL2 151'!#REF!</definedName>
    <definedName name="__123Graph_F" localSheetId="20" hidden="1">'[2]AL2 151'!#REF!</definedName>
    <definedName name="__123Graph_F" hidden="1">'[2]AL2 151'!#REF!</definedName>
    <definedName name="__123Graph_X" localSheetId="20" hidden="1">'[2]AL2 151'!#REF!</definedName>
    <definedName name="__123Graph_X" hidden="1">'[2]AL2 151'!#REF!</definedName>
    <definedName name="_Key1" localSheetId="20" hidden="1">#REF!</definedName>
    <definedName name="_Key1" hidden="1">#REF!</definedName>
    <definedName name="_OFF2">'[1]DPLG-APRIL2001-TRANSCHECKOUT'!$AC$2:$AC$10</definedName>
    <definedName name="_Order1" hidden="1">255</definedName>
    <definedName name="_p.choice" localSheetId="20">#REF!</definedName>
    <definedName name="_p.choice" localSheetId="14">#REF!</definedName>
    <definedName name="_p.choice" localSheetId="15">#REF!</definedName>
    <definedName name="_p.choice" localSheetId="19">#REF!</definedName>
    <definedName name="_p.choice" localSheetId="26">#REF!</definedName>
    <definedName name="_p.choice" localSheetId="2">#REF!</definedName>
    <definedName name="_p.choice" localSheetId="7">#REF!</definedName>
    <definedName name="_p.choice" localSheetId="8">#REF!</definedName>
    <definedName name="_p.choice">#REF!</definedName>
    <definedName name="_PPP1">'[1]DPLG-APRIL2001-TRANSCHECKOUT'!$A$1:$D$27</definedName>
    <definedName name="_Sort" localSheetId="20" hidden="1">#REF!</definedName>
    <definedName name="_Sort" hidden="1">#REF!</definedName>
    <definedName name="AA.print" localSheetId="20">#REF!</definedName>
    <definedName name="AA.print" localSheetId="14">#REF!</definedName>
    <definedName name="AA.print" localSheetId="15">#REF!</definedName>
    <definedName name="AA.print" localSheetId="19">#REF!</definedName>
    <definedName name="AA.print" localSheetId="26">#REF!</definedName>
    <definedName name="AA.print" localSheetId="2">#REF!</definedName>
    <definedName name="AA.print" localSheetId="7">#REF!</definedName>
    <definedName name="AA.print" localSheetId="8">#REF!</definedName>
    <definedName name="AA.print">#REF!</definedName>
    <definedName name="AB.print" localSheetId="20">#REF!</definedName>
    <definedName name="AB.print" localSheetId="15">#REF!</definedName>
    <definedName name="AB.print" localSheetId="19">#REF!</definedName>
    <definedName name="AB.print" localSheetId="26">#REF!</definedName>
    <definedName name="AB.print" localSheetId="2">#REF!</definedName>
    <definedName name="AB.print" localSheetId="7">#REF!</definedName>
    <definedName name="AB.print" localSheetId="8">#REF!</definedName>
    <definedName name="AB.print">#REF!</definedName>
    <definedName name="above">OFFSET(!A1,-1,0)</definedName>
    <definedName name="Allocator.gross.plant">'[3]Appendix A'!$H$29</definedName>
    <definedName name="Allocator.net.plant">'[3]Appendix A'!$H$32</definedName>
    <definedName name="Allocator.wages.salary">'[3]Appendix A'!$H$17</definedName>
    <definedName name="AMHERST" localSheetId="20">#REF!</definedName>
    <definedName name="AMHERST" localSheetId="19">#REF!</definedName>
    <definedName name="AMHERST" localSheetId="26">#REF!</definedName>
    <definedName name="AMHERST" localSheetId="2">#REF!</definedName>
    <definedName name="AMHERST" localSheetId="7">#REF!</definedName>
    <definedName name="AMHERST">#REF!</definedName>
    <definedName name="AO.print" localSheetId="20">#REF!</definedName>
    <definedName name="AO.print" localSheetId="15">#REF!</definedName>
    <definedName name="AO.print" localSheetId="19">#REF!</definedName>
    <definedName name="AO.print" localSheetId="26">#REF!</definedName>
    <definedName name="AO.print" localSheetId="2">#REF!</definedName>
    <definedName name="AO.print" localSheetId="7">#REF!</definedName>
    <definedName name="AO.print" localSheetId="8">#REF!</definedName>
    <definedName name="AO.print">#REF!</definedName>
    <definedName name="AV.FM.1..adjusted..print" localSheetId="20">#REF!</definedName>
    <definedName name="AV.FM.1..adjusted..print" localSheetId="15">#REF!</definedName>
    <definedName name="AV.FM.1..adjusted..print" localSheetId="19">#REF!</definedName>
    <definedName name="AV.FM.1..adjusted..print" localSheetId="26">#REF!</definedName>
    <definedName name="AV.FM.1..adjusted..print" localSheetId="2">#REF!</definedName>
    <definedName name="AV.FM.1..adjusted..print" localSheetId="7">#REF!</definedName>
    <definedName name="AV.FM.1..adjusted..print" localSheetId="8">#REF!</definedName>
    <definedName name="AV.FM.1..adjusted..print">#REF!</definedName>
    <definedName name="AV.FM.1.print" localSheetId="20">#REF!</definedName>
    <definedName name="AV.FM.1.print" localSheetId="15">#REF!</definedName>
    <definedName name="AV.FM.1.print" localSheetId="19">#REF!</definedName>
    <definedName name="AV.FM.1.print" localSheetId="26">#REF!</definedName>
    <definedName name="AV.FM.1.print" localSheetId="2">#REF!</definedName>
    <definedName name="AV.FM.1.print" localSheetId="7">#REF!</definedName>
    <definedName name="AV.FM.1.print" localSheetId="8">#REF!</definedName>
    <definedName name="AV.FM.1.print">#REF!</definedName>
    <definedName name="BA.print" localSheetId="20">#REF!</definedName>
    <definedName name="BA.print" localSheetId="15">#REF!</definedName>
    <definedName name="BA.print" localSheetId="19">#REF!</definedName>
    <definedName name="BA.print" localSheetId="26">#REF!</definedName>
    <definedName name="BA.print" localSheetId="2">#REF!</definedName>
    <definedName name="BA.print" localSheetId="7">#REF!</definedName>
    <definedName name="BA.print" localSheetId="8">#REF!</definedName>
    <definedName name="BA.print">#REF!</definedName>
    <definedName name="BB.print" localSheetId="20">#REF!</definedName>
    <definedName name="BB.print" localSheetId="15">#REF!</definedName>
    <definedName name="BB.print" localSheetId="19">#REF!</definedName>
    <definedName name="BB.print" localSheetId="26">#REF!</definedName>
    <definedName name="BB.print" localSheetId="2">#REF!</definedName>
    <definedName name="BB.print" localSheetId="7">#REF!</definedName>
    <definedName name="BB.print" localSheetId="8">#REF!</definedName>
    <definedName name="BB.print">#REF!</definedName>
    <definedName name="BEACH_CITY" localSheetId="20">#REF!</definedName>
    <definedName name="BEACH_CITY" localSheetId="19">#REF!</definedName>
    <definedName name="BEACH_CITY" localSheetId="26">#REF!</definedName>
    <definedName name="BEACH_CITY" localSheetId="2">#REF!</definedName>
    <definedName name="BEACH_CITY" localSheetId="7">#REF!</definedName>
    <definedName name="BEACH_CITY">#REF!</definedName>
    <definedName name="below">OFFSET(!A1,1,0)</definedName>
    <definedName name="BG.print" localSheetId="20">#REF!</definedName>
    <definedName name="BG.print" localSheetId="15">#REF!</definedName>
    <definedName name="BG.print" localSheetId="19">#REF!</definedName>
    <definedName name="BG.print" localSheetId="26">#REF!</definedName>
    <definedName name="BG.print" localSheetId="2">#REF!</definedName>
    <definedName name="BG.print" localSheetId="7">#REF!</definedName>
    <definedName name="BG.print" localSheetId="8">#REF!</definedName>
    <definedName name="BG.print">#REF!</definedName>
    <definedName name="BILLCO" localSheetId="14">'[1]DPLG-APRIL2001-TRANSCHECKOUT'!$M:$P</definedName>
    <definedName name="BILLCO" localSheetId="26">'[1]DPLG-APRIL2001-TRANSCHECKOUT'!$M:$P</definedName>
    <definedName name="BILLCO">'[1]DPLG-APRIL2001-TRANSCHECKOUT'!$M$1:$P$65536</definedName>
    <definedName name="BK..FM1.Adjusted..print" localSheetId="20">#REF!</definedName>
    <definedName name="BK..FM1.Adjusted..print" localSheetId="14">#REF!</definedName>
    <definedName name="BK..FM1.Adjusted..print" localSheetId="15">#REF!</definedName>
    <definedName name="BK..FM1.Adjusted..print" localSheetId="19">#REF!</definedName>
    <definedName name="BK..FM1.Adjusted..print" localSheetId="26">#REF!</definedName>
    <definedName name="BK..FM1.Adjusted..print" localSheetId="2">#REF!</definedName>
    <definedName name="BK..FM1.Adjusted..print" localSheetId="7">#REF!</definedName>
    <definedName name="BK..FM1.Adjusted..print" localSheetId="8">#REF!</definedName>
    <definedName name="BK..FM1.Adjusted..print">#REF!</definedName>
    <definedName name="BK..FM1.ROR..print" localSheetId="20">#REF!</definedName>
    <definedName name="BK..FM1.ROR..print" localSheetId="15">#REF!</definedName>
    <definedName name="BK..FM1.ROR..print" localSheetId="19">#REF!</definedName>
    <definedName name="BK..FM1.ROR..print" localSheetId="26">#REF!</definedName>
    <definedName name="BK..FM1.ROR..print" localSheetId="2">#REF!</definedName>
    <definedName name="BK..FM1.ROR..print" localSheetId="7">#REF!</definedName>
    <definedName name="BK..FM1.ROR..print" localSheetId="8">#REF!</definedName>
    <definedName name="BK..FM1.ROR..print">#REF!</definedName>
    <definedName name="BowlingGreen" localSheetId="20">#REF!</definedName>
    <definedName name="BowlingGreen" localSheetId="19">#REF!</definedName>
    <definedName name="BowlingGreen" localSheetId="26">#REF!</definedName>
    <definedName name="BowlingGreen" localSheetId="2">#REF!</definedName>
    <definedName name="BowlingGreen" localSheetId="7">#REF!</definedName>
    <definedName name="BowlingGreen">#REF!</definedName>
    <definedName name="BowlingGreenWater" localSheetId="20">#REF!</definedName>
    <definedName name="BowlingGreenWater" localSheetId="19">#REF!</definedName>
    <definedName name="BowlingGreenWater" localSheetId="26">#REF!</definedName>
    <definedName name="BowlingGreenWater" localSheetId="2">#REF!</definedName>
    <definedName name="BowlingGreenWater" localSheetId="7">#REF!</definedName>
    <definedName name="BowlingGreenWater">#REF!</definedName>
    <definedName name="Bradner" localSheetId="20">#REF!</definedName>
    <definedName name="Bradner" localSheetId="19">#REF!</definedName>
    <definedName name="Bradner" localSheetId="26">#REF!</definedName>
    <definedName name="Bradner" localSheetId="2">#REF!</definedName>
    <definedName name="Bradner" localSheetId="7">#REF!</definedName>
    <definedName name="Bradner">#REF!</definedName>
    <definedName name="BREWSTER" localSheetId="20">#REF!</definedName>
    <definedName name="BREWSTER" localSheetId="19">#REF!</definedName>
    <definedName name="BREWSTER" localSheetId="26">#REF!</definedName>
    <definedName name="BREWSTER" localSheetId="2">#REF!</definedName>
    <definedName name="BREWSTER" localSheetId="7">#REF!</definedName>
    <definedName name="BREWSTER">#REF!</definedName>
    <definedName name="cell.above">!A1048576</definedName>
    <definedName name="cell.below">!A2</definedName>
    <definedName name="cell.left">!XFD1</definedName>
    <definedName name="cell.right">!B1</definedName>
    <definedName name="CH_COS" localSheetId="20">#REF!</definedName>
    <definedName name="CH_COS" localSheetId="19">#REF!</definedName>
    <definedName name="CH_COS" localSheetId="26">#REF!</definedName>
    <definedName name="CH_COS" localSheetId="2">#REF!</definedName>
    <definedName name="CH_COS" localSheetId="7">#REF!</definedName>
    <definedName name="CH_COS">#REF!</definedName>
    <definedName name="CUSTAR" localSheetId="20">#REF!</definedName>
    <definedName name="CUSTAR" localSheetId="19">#REF!</definedName>
    <definedName name="CUSTAR" localSheetId="26">#REF!</definedName>
    <definedName name="CUSTAR" localSheetId="2">#REF!</definedName>
    <definedName name="CUSTAR" localSheetId="7">#REF!</definedName>
    <definedName name="CUSTAR">#REF!</definedName>
    <definedName name="CUYAHOGA_FALLS" localSheetId="20">#REF!</definedName>
    <definedName name="CUYAHOGA_FALLS" localSheetId="19">#REF!</definedName>
    <definedName name="CUYAHOGA_FALLS" localSheetId="26">#REF!</definedName>
    <definedName name="CUYAHOGA_FALLS" localSheetId="2">#REF!</definedName>
    <definedName name="CUYAHOGA_FALLS" localSheetId="7">#REF!</definedName>
    <definedName name="CUYAHOGA_FALLS">#REF!</definedName>
    <definedName name="data_year">'[3]Appendix A'!$H$5</definedName>
    <definedName name="DATA1" localSheetId="20">#REF!</definedName>
    <definedName name="DATA1">#REF!</definedName>
    <definedName name="DATA10" localSheetId="20">#REF!</definedName>
    <definedName name="DATA10">#REF!</definedName>
    <definedName name="DATA11" localSheetId="20">#REF!</definedName>
    <definedName name="DATA11">#REF!</definedName>
    <definedName name="DATA12" localSheetId="20">#REF!</definedName>
    <definedName name="DATA12">#REF!</definedName>
    <definedName name="DATA13" localSheetId="20">#REF!</definedName>
    <definedName name="DATA13">#REF!</definedName>
    <definedName name="DATA14" localSheetId="20">#REF!</definedName>
    <definedName name="DATA14">#REF!</definedName>
    <definedName name="DATA15" localSheetId="20">#REF!</definedName>
    <definedName name="DATA15">#REF!</definedName>
    <definedName name="DATA16" localSheetId="20">#REF!</definedName>
    <definedName name="DATA16">#REF!</definedName>
    <definedName name="DATA17" localSheetId="20">#REF!</definedName>
    <definedName name="DATA17">#REF!</definedName>
    <definedName name="DATA18" localSheetId="20">#REF!</definedName>
    <definedName name="DATA18">#REF!</definedName>
    <definedName name="DATA19" localSheetId="20">#REF!</definedName>
    <definedName name="DATA19">#REF!</definedName>
    <definedName name="DATA2" localSheetId="20">#REF!</definedName>
    <definedName name="DATA2">#REF!</definedName>
    <definedName name="DATA20" localSheetId="20">#REF!</definedName>
    <definedName name="DATA20">#REF!</definedName>
    <definedName name="DATA21" localSheetId="20">#REF!</definedName>
    <definedName name="DATA21">#REF!</definedName>
    <definedName name="DATA22" localSheetId="20">#REF!</definedName>
    <definedName name="DATA22">#REF!</definedName>
    <definedName name="DATA3" localSheetId="20">#REF!</definedName>
    <definedName name="DATA3">#REF!</definedName>
    <definedName name="DATA4" localSheetId="20">#REF!</definedName>
    <definedName name="DATA4">#REF!</definedName>
    <definedName name="DATA5" localSheetId="20">#REF!</definedName>
    <definedName name="DATA5">#REF!</definedName>
    <definedName name="DATA6" localSheetId="20">#REF!</definedName>
    <definedName name="DATA6">#REF!</definedName>
    <definedName name="DATA7" localSheetId="20">#REF!</definedName>
    <definedName name="DATA7">#REF!</definedName>
    <definedName name="DATA8" localSheetId="20">#REF!</definedName>
    <definedName name="DATA8">#REF!</definedName>
    <definedName name="DATA9" localSheetId="20">#REF!</definedName>
    <definedName name="DATA9">#REF!</definedName>
    <definedName name="DUEDATE" localSheetId="14">'[1]DPLG-APRIL2001-TRANSCHECKOUT'!$Q:$R</definedName>
    <definedName name="DUEDATE" localSheetId="26">'[1]DPLG-APRIL2001-TRANSCHECKOUT'!$Q:$R</definedName>
    <definedName name="DUEDATE">'[1]DPLG-APRIL2001-TRANSCHECKOUT'!$Q$1:$R$65536</definedName>
    <definedName name="EDGERTON" localSheetId="20">#REF!</definedName>
    <definedName name="EDGERTON" localSheetId="19">#REF!</definedName>
    <definedName name="EDGERTON" localSheetId="26">#REF!</definedName>
    <definedName name="EDGERTON" localSheetId="2">#REF!</definedName>
    <definedName name="EDGERTON" localSheetId="7">#REF!</definedName>
    <definedName name="EDGERTON">#REF!</definedName>
    <definedName name="Ellwood_City" localSheetId="20">#REF!</definedName>
    <definedName name="Ellwood_City" localSheetId="19">#REF!</definedName>
    <definedName name="Ellwood_City" localSheetId="26">#REF!</definedName>
    <definedName name="Ellwood_City" localSheetId="2">#REF!</definedName>
    <definedName name="Ellwood_City" localSheetId="7">#REF!</definedName>
    <definedName name="Ellwood_City">#REF!</definedName>
    <definedName name="ELMORE" localSheetId="20">#REF!</definedName>
    <definedName name="ELMORE" localSheetId="19">#REF!</definedName>
    <definedName name="ELMORE" localSheetId="26">#REF!</definedName>
    <definedName name="ELMORE" localSheetId="2">#REF!</definedName>
    <definedName name="ELMORE" localSheetId="7">#REF!</definedName>
    <definedName name="ELMORE">#REF!</definedName>
    <definedName name="FF1_INPUT">'[3]FERC Form 1 data'!$B$7:$L$87</definedName>
    <definedName name="FF1_INPUT_columns">'[3]FERC Form 1 data'!$B$6:$L$6</definedName>
    <definedName name="GALION" localSheetId="20">#REF!</definedName>
    <definedName name="GALION" localSheetId="19">#REF!</definedName>
    <definedName name="GALION" localSheetId="26">#REF!</definedName>
    <definedName name="GALION" localSheetId="2">#REF!</definedName>
    <definedName name="GALION" localSheetId="7">#REF!</definedName>
    <definedName name="GALION">#REF!</definedName>
    <definedName name="GENOA" localSheetId="20">#REF!</definedName>
    <definedName name="GENOA" localSheetId="19">#REF!</definedName>
    <definedName name="GENOA" localSheetId="26">#REF!</definedName>
    <definedName name="GENOA" localSheetId="2">#REF!</definedName>
    <definedName name="GENOA" localSheetId="7">#REF!</definedName>
    <definedName name="GENOA">#REF!</definedName>
    <definedName name="GENOA_NORTH" localSheetId="20">#REF!</definedName>
    <definedName name="GENOA_NORTH" localSheetId="19">#REF!</definedName>
    <definedName name="GENOA_NORTH" localSheetId="26">#REF!</definedName>
    <definedName name="GENOA_NORTH" localSheetId="2">#REF!</definedName>
    <definedName name="GENOA_NORTH" localSheetId="7">#REF!</definedName>
    <definedName name="GENOA_NORTH">#REF!</definedName>
    <definedName name="GENOA_SOUTH" localSheetId="20">#REF!</definedName>
    <definedName name="GENOA_SOUTH" localSheetId="19">#REF!</definedName>
    <definedName name="GENOA_SOUTH" localSheetId="26">#REF!</definedName>
    <definedName name="GENOA_SOUTH" localSheetId="2">#REF!</definedName>
    <definedName name="GENOA_SOUTH" localSheetId="7">#REF!</definedName>
    <definedName name="GENOA_SOUTH">#REF!</definedName>
    <definedName name="GRAFTON" localSheetId="20">#REF!</definedName>
    <definedName name="GRAFTON" localSheetId="19">#REF!</definedName>
    <definedName name="GRAFTON" localSheetId="26">#REF!</definedName>
    <definedName name="GRAFTON" localSheetId="2">#REF!</definedName>
    <definedName name="GRAFTON" localSheetId="7">#REF!</definedName>
    <definedName name="GRAFTON">#REF!</definedName>
    <definedName name="Grove_City" localSheetId="20">#REF!</definedName>
    <definedName name="Grove_City" localSheetId="19">#REF!</definedName>
    <definedName name="Grove_City" localSheetId="26">#REF!</definedName>
    <definedName name="Grove_City" localSheetId="2">#REF!</definedName>
    <definedName name="Grove_City" localSheetId="7">#REF!</definedName>
    <definedName name="Grove_City">#REF!</definedName>
    <definedName name="HASKINS" localSheetId="20">#REF!</definedName>
    <definedName name="HASKINS" localSheetId="19">#REF!</definedName>
    <definedName name="HASKINS" localSheetId="26">#REF!</definedName>
    <definedName name="HASKINS" localSheetId="2">#REF!</definedName>
    <definedName name="HASKINS" localSheetId="7">#REF!</definedName>
    <definedName name="HASKINS">#REF!</definedName>
    <definedName name="hourending" localSheetId="20">#REF!</definedName>
    <definedName name="hourending" localSheetId="19">#REF!</definedName>
    <definedName name="hourending" localSheetId="26">#REF!</definedName>
    <definedName name="hourending" localSheetId="2">#REF!</definedName>
    <definedName name="hourending" localSheetId="7">#REF!</definedName>
    <definedName name="hourending">#REF!</definedName>
    <definedName name="HUBBARD" localSheetId="20">#REF!</definedName>
    <definedName name="HUBBARD" localSheetId="19">#REF!</definedName>
    <definedName name="HUBBARD" localSheetId="26">#REF!</definedName>
    <definedName name="HUBBARD" localSheetId="2">#REF!</definedName>
    <definedName name="HUBBARD" localSheetId="7">#REF!</definedName>
    <definedName name="HUBBARD">#REF!</definedName>
    <definedName name="Inputs_EndYrBal">[3]Inputs!$E$15:$E$72</definedName>
    <definedName name="Inputs_EndYrBal_prior">[3]Inputs!$D$15:$D$72</definedName>
    <definedName name="Inputs_FF1_Map">[3]Inputs!$F$15:$F$72</definedName>
    <definedName name="Keep" localSheetId="28"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28"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20">#REF!</definedName>
    <definedName name="Levelized..FM1.ROR..print" localSheetId="15">#REF!</definedName>
    <definedName name="Levelized..FM1.ROR..print" localSheetId="19">#REF!</definedName>
    <definedName name="Levelized..FM1.ROR..print" localSheetId="26">#REF!</definedName>
    <definedName name="Levelized..FM1.ROR..print" localSheetId="2">#REF!</definedName>
    <definedName name="Levelized..FM1.ROR..print" localSheetId="7">#REF!</definedName>
    <definedName name="Levelized..FM1.ROR..print" localSheetId="8">#REF!</definedName>
    <definedName name="Levelized..FM1.ROR..print">#REF!</definedName>
    <definedName name="LODI" localSheetId="20">#REF!</definedName>
    <definedName name="LODI" localSheetId="19">#REF!</definedName>
    <definedName name="LODI" localSheetId="26">#REF!</definedName>
    <definedName name="LODI" localSheetId="2">#REF!</definedName>
    <definedName name="LODI" localSheetId="7">#REF!</definedName>
    <definedName name="LODI">#REF!</definedName>
    <definedName name="LUCAS" localSheetId="20">#REF!</definedName>
    <definedName name="LUCAS" localSheetId="19">#REF!</definedName>
    <definedName name="LUCAS" localSheetId="26">#REF!</definedName>
    <definedName name="LUCAS" localSheetId="2">#REF!</definedName>
    <definedName name="LUCAS" localSheetId="7">#REF!</definedName>
    <definedName name="LUCAS">#REF!</definedName>
    <definedName name="M21Laurie" localSheetId="14">'Attach 9 - Stated-value Inputs'!M21Laurie</definedName>
    <definedName name="M21Laurie" localSheetId="26">'Attachment 18 - Tax Rates'!M21Laurie</definedName>
    <definedName name="M21Laurie" localSheetId="2">#N/A</definedName>
    <definedName name="M21Laurie" localSheetId="28">#N/A</definedName>
    <definedName name="M21Laurie">'Attach 9 - Stated-value Inputs'!M21Laurie</definedName>
    <definedName name="MILAN" localSheetId="20">#REF!</definedName>
    <definedName name="MILAN" localSheetId="19">#REF!</definedName>
    <definedName name="MILAN" localSheetId="26">#REF!</definedName>
    <definedName name="MILAN" localSheetId="2">#REF!</definedName>
    <definedName name="MILAN" localSheetId="7">#REF!</definedName>
    <definedName name="MILAN">#REF!</definedName>
    <definedName name="MONROEVILLE" localSheetId="20">#REF!</definedName>
    <definedName name="MONROEVILLE" localSheetId="19">#REF!</definedName>
    <definedName name="MONROEVILLE" localSheetId="26">#REF!</definedName>
    <definedName name="MONROEVILLE" localSheetId="2">#REF!</definedName>
    <definedName name="MONROEVILLE" localSheetId="7">#REF!</definedName>
    <definedName name="MONROEVILLE">#REF!</definedName>
    <definedName name="NAPOLEON" localSheetId="20">#REF!</definedName>
    <definedName name="NAPOLEON" localSheetId="19">#REF!</definedName>
    <definedName name="NAPOLEON" localSheetId="26">#REF!</definedName>
    <definedName name="NAPOLEON" localSheetId="2">#REF!</definedName>
    <definedName name="NAPOLEON" localSheetId="7">#REF!</definedName>
    <definedName name="NAPOLEON">#REF!</definedName>
    <definedName name="NEASG" localSheetId="20">#REF!</definedName>
    <definedName name="NEASG" localSheetId="19">#REF!</definedName>
    <definedName name="NEASG" localSheetId="26">#REF!</definedName>
    <definedName name="NEASG" localSheetId="2">#REF!</definedName>
    <definedName name="NEASG" localSheetId="7">#REF!</definedName>
    <definedName name="NEASG">#REF!</definedName>
    <definedName name="New_Wilmington" localSheetId="20">#REF!</definedName>
    <definedName name="New_Wilmington" localSheetId="19">#REF!</definedName>
    <definedName name="New_Wilmington" localSheetId="26">#REF!</definedName>
    <definedName name="New_Wilmington" localSheetId="2">#REF!</definedName>
    <definedName name="New_Wilmington" localSheetId="7">#REF!</definedName>
    <definedName name="New_Wilmington">#REF!</definedName>
    <definedName name="NEWTON_FALLS" localSheetId="20">#REF!</definedName>
    <definedName name="NEWTON_FALLS" localSheetId="19">#REF!</definedName>
    <definedName name="NEWTON_FALLS" localSheetId="26">#REF!</definedName>
    <definedName name="NEWTON_FALLS" localSheetId="2">#REF!</definedName>
    <definedName name="NEWTON_FALLS" localSheetId="7">#REF!</definedName>
    <definedName name="NEWTON_FALLS">#REF!</definedName>
    <definedName name="NILES" localSheetId="20">#REF!</definedName>
    <definedName name="NILES" localSheetId="19">#REF!</definedName>
    <definedName name="NILES" localSheetId="26">#REF!</definedName>
    <definedName name="NILES" localSheetId="2">#REF!</definedName>
    <definedName name="NILES" localSheetId="7">#REF!</definedName>
    <definedName name="NILES">#REF!</definedName>
    <definedName name="NSP_COS" localSheetId="20">#REF!</definedName>
    <definedName name="NSP_COS" localSheetId="19">#REF!</definedName>
    <definedName name="NSP_COS" localSheetId="26">#REF!</definedName>
    <definedName name="NSP_COS" localSheetId="2">#REF!</definedName>
    <definedName name="NSP_COS" localSheetId="7">#REF!</definedName>
    <definedName name="NSP_COS">#REF!</definedName>
    <definedName name="NWASG" localSheetId="20">#REF!</definedName>
    <definedName name="NWASG" localSheetId="19">#REF!</definedName>
    <definedName name="NWASG" localSheetId="26">#REF!</definedName>
    <definedName name="NWASG" localSheetId="2">#REF!</definedName>
    <definedName name="NWASG" localSheetId="7">#REF!</definedName>
    <definedName name="NWASG">#REF!</definedName>
    <definedName name="OAK_HARBOR" localSheetId="20">#REF!</definedName>
    <definedName name="OAK_HARBOR" localSheetId="19">#REF!</definedName>
    <definedName name="OAK_HARBOR" localSheetId="26">#REF!</definedName>
    <definedName name="OAK_HARBOR" localSheetId="2">#REF!</definedName>
    <definedName name="OAK_HARBOR" localSheetId="7">#REF!</definedName>
    <definedName name="OAK_HARBOR">#REF!</definedName>
    <definedName name="OBERLIN" localSheetId="20">#REF!</definedName>
    <definedName name="OBERLIN" localSheetId="19">#REF!</definedName>
    <definedName name="OBERLIN" localSheetId="26">#REF!</definedName>
    <definedName name="OBERLIN" localSheetId="2">#REF!</definedName>
    <definedName name="OBERLIN" localSheetId="7">#REF!</definedName>
    <definedName name="OBERLIN">#REF!</definedName>
    <definedName name="OFF">'[1]DPLG-APRIL2001-TRANSCHECKOUT'!$F$2:$L$10</definedName>
    <definedName name="ON">'[1]DPLG-APRIL2001-TRANSCHECKOUT'!$M$2:$AC$10</definedName>
    <definedName name="PEMBERVILLE" localSheetId="20">#REF!</definedName>
    <definedName name="PEMBERVILLE" localSheetId="19">#REF!</definedName>
    <definedName name="PEMBERVILLE" localSheetId="26">#REF!</definedName>
    <definedName name="PEMBERVILLE" localSheetId="2">#REF!</definedName>
    <definedName name="PEMBERVILLE" localSheetId="7">#REF!</definedName>
    <definedName name="PEMBERVILLE">#REF!</definedName>
    <definedName name="PIONEER" localSheetId="20">#REF!</definedName>
    <definedName name="PIONEER" localSheetId="19">#REF!</definedName>
    <definedName name="PIONEER" localSheetId="26">#REF!</definedName>
    <definedName name="PIONEER" localSheetId="2">#REF!</definedName>
    <definedName name="PIONEER" localSheetId="7">#REF!</definedName>
    <definedName name="PIONEER">#REF!</definedName>
    <definedName name="pPRINT">'[1]DPLG-APRIL2001-TRANSCHECKOUT'!$A$1:$I$49</definedName>
    <definedName name="PRINT">'[1]DPLG-APRIL2001-TRANSCHECKOUT'!$A$2:$K$55</definedName>
    <definedName name="Print.selection.print" localSheetId="20">#REF!</definedName>
    <definedName name="Print.selection.print" localSheetId="14">#REF!</definedName>
    <definedName name="Print.selection.print" localSheetId="15">#REF!</definedName>
    <definedName name="Print.selection.print" localSheetId="19">#REF!</definedName>
    <definedName name="Print.selection.print" localSheetId="26">#REF!</definedName>
    <definedName name="Print.selection.print" localSheetId="2">#REF!</definedName>
    <definedName name="Print.selection.print" localSheetId="7">#REF!</definedName>
    <definedName name="Print.selection.print" localSheetId="8">#REF!</definedName>
    <definedName name="Print.selection.print">#REF!</definedName>
    <definedName name="_xlnm.Print_Area" localSheetId="17">'Attach 11a - TEC Cost Support'!$A$1:$AI$31</definedName>
    <definedName name="_xlnm.Print_Area" localSheetId="20">'Attach 13a-TEC Rev Req True up'!$A$1:$J$55</definedName>
    <definedName name="_xlnm.Print_Area" localSheetId="3">'Attach 2a - Scaled ROE Adder'!$A$1:$L$71</definedName>
    <definedName name="_xlnm.Print_Area" localSheetId="4">'Attach 2b - Incent ROE NITS'!$A$1:$AM$35</definedName>
    <definedName name="_xlnm.Print_Area" localSheetId="14">'Attach 9 - Stated-value Inputs'!$A$1:$I$53</definedName>
    <definedName name="_xlnm.Print_Area" localSheetId="1">'Attachment 1 - Sched 1A'!$A$1:$J$18</definedName>
    <definedName name="_xlnm.Print_Area" localSheetId="15">'Attachment 10 - Debt Cost'!$A$1:$AA$55</definedName>
    <definedName name="_xlnm.Print_Area" localSheetId="16">'Attachment 11 - TEC'!$A$1:$T$94</definedName>
    <definedName name="_xlnm.Print_Area" localSheetId="18">'Attachment 12 - TEC True-up'!$A$1:$M$39</definedName>
    <definedName name="_xlnm.Print_Area" localSheetId="19">'Attachment 13 - Rev Req True-up'!$A$1:$J$55</definedName>
    <definedName name="_xlnm.Print_Area" localSheetId="22">'Attachment 14 - Other RB'!$A$1:$K$35</definedName>
    <definedName name="_xlnm.Print_Area" localSheetId="26">'Attachment 18 - Tax Rates'!$A$1:$K$31</definedName>
    <definedName name="_xlnm.Print_Area" localSheetId="27">'Attachment 19 - Reg Asset'!$A$1:$AB$36</definedName>
    <definedName name="_xlnm.Print_Area" localSheetId="2">'Attachment 2 - ROE Calcs'!$A$1:$L$67</definedName>
    <definedName name="_xlnm.Print_Area" localSheetId="28">'Attachment 20 - O&amp;M and A&amp;G'!$A$1:$F$73</definedName>
    <definedName name="_xlnm.Print_Area" localSheetId="5">'Attachment 3 - Gross Plant'!$A$1:$M$70</definedName>
    <definedName name="_xlnm.Print_Area" localSheetId="7">'Attachment 5 - ADIT Summary'!$A$1:$M$36</definedName>
    <definedName name="_xlnm.Print_Area" localSheetId="8">'Attachment 5a - ADIT Detail'!$A$1:$K$230</definedName>
    <definedName name="_xlnm.Print_Area" localSheetId="9">'Attachment 5b - ADIT Norm PTRR'!$A$1:$M$53</definedName>
    <definedName name="_xlnm.Print_Area" localSheetId="13">'Attachment 8 - Cap Structure'!$A$1:$O$29</definedName>
    <definedName name="_xlnm.Print_Area" localSheetId="0">'Attachment H-11A '!$A$1:$K$325</definedName>
    <definedName name="_xlnm.Print_Area">#REF!</definedName>
    <definedName name="_xlnm.Print_Titles" localSheetId="16">'Attachment 11 - TEC'!$C:$D</definedName>
    <definedName name="_xlnm.Print_Titles" localSheetId="18">'Attachment 12 - TEC True-up'!$C:$D</definedName>
    <definedName name="Print1" localSheetId="20">#REF!</definedName>
    <definedName name="Print1" localSheetId="19">#REF!</definedName>
    <definedName name="Print1" localSheetId="26">#REF!</definedName>
    <definedName name="Print1" localSheetId="2">#REF!</definedName>
    <definedName name="Print1" localSheetId="7">#REF!</definedName>
    <definedName name="Print1">#REF!</definedName>
    <definedName name="Print3" localSheetId="20">#REF!</definedName>
    <definedName name="Print3" localSheetId="19">#REF!</definedName>
    <definedName name="Print3" localSheetId="26">#REF!</definedName>
    <definedName name="Print3" localSheetId="2">#REF!</definedName>
    <definedName name="Print3" localSheetId="7">#REF!</definedName>
    <definedName name="Print3">#REF!</definedName>
    <definedName name="Print4" localSheetId="20">#REF!</definedName>
    <definedName name="Print4" localSheetId="19">#REF!</definedName>
    <definedName name="Print4" localSheetId="26">#REF!</definedName>
    <definedName name="Print4" localSheetId="2">#REF!</definedName>
    <definedName name="Print4" localSheetId="7">#REF!</definedName>
    <definedName name="Print4">#REF!</definedName>
    <definedName name="Print5" localSheetId="20">#REF!</definedName>
    <definedName name="Print5" localSheetId="19">#REF!</definedName>
    <definedName name="Print5" localSheetId="26">#REF!</definedName>
    <definedName name="Print5" localSheetId="2">#REF!</definedName>
    <definedName name="Print5" localSheetId="7">#REF!</definedName>
    <definedName name="Print5">#REF!</definedName>
    <definedName name="Proj_PIS">'[4]Final Summary Sheet'!$AB$132:$AM$141</definedName>
    <definedName name="Projection">"Projection"</definedName>
    <definedName name="ProjIDList" localSheetId="20">#REF!</definedName>
    <definedName name="ProjIDList" localSheetId="19">#REF!</definedName>
    <definedName name="ProjIDList" localSheetId="26">#REF!</definedName>
    <definedName name="ProjIDList" localSheetId="2">#REF!</definedName>
    <definedName name="ProjIDList" localSheetId="7">#REF!</definedName>
    <definedName name="ProjIDList">#REF!</definedName>
    <definedName name="PROSPECT" localSheetId="20">#REF!</definedName>
    <definedName name="PROSPECT" localSheetId="19">#REF!</definedName>
    <definedName name="PROSPECT" localSheetId="26">#REF!</definedName>
    <definedName name="PROSPECT" localSheetId="2">#REF!</definedName>
    <definedName name="PROSPECT" localSheetId="7">#REF!</definedName>
    <definedName name="PROSPECT">#REF!</definedName>
    <definedName name="PSCo_COS" localSheetId="20">#REF!</definedName>
    <definedName name="PSCo_COS" localSheetId="19">#REF!</definedName>
    <definedName name="PSCo_COS" localSheetId="26">#REF!</definedName>
    <definedName name="PSCo_COS" localSheetId="2">#REF!</definedName>
    <definedName name="PSCo_COS" localSheetId="7">#REF!</definedName>
    <definedName name="PSCo_COS">#REF!</definedName>
    <definedName name="q_MTEP06_App_AB_Facility" localSheetId="20">#REF!</definedName>
    <definedName name="q_MTEP06_App_AB_Facility" localSheetId="19">#REF!</definedName>
    <definedName name="q_MTEP06_App_AB_Facility" localSheetId="26">#REF!</definedName>
    <definedName name="q_MTEP06_App_AB_Facility" localSheetId="2">#REF!</definedName>
    <definedName name="q_MTEP06_App_AB_Facility" localSheetId="7">#REF!</definedName>
    <definedName name="q_MTEP06_App_AB_Facility">#REF!</definedName>
    <definedName name="q_MTEP06_App_AB_Projects" localSheetId="20">#REF!</definedName>
    <definedName name="q_MTEP06_App_AB_Projects" localSheetId="19">#REF!</definedName>
    <definedName name="q_MTEP06_App_AB_Projects" localSheetId="26">#REF!</definedName>
    <definedName name="q_MTEP06_App_AB_Projects" localSheetId="2">#REF!</definedName>
    <definedName name="q_MTEP06_App_AB_Projects" localSheetId="7">#REF!</definedName>
    <definedName name="q_MTEP06_App_AB_Projects">#REF!</definedName>
    <definedName name="retail" localSheetId="28"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8"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8"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0">#REF!</definedName>
    <definedName name="revreq" localSheetId="19">#REF!</definedName>
    <definedName name="revreq" localSheetId="26">#REF!</definedName>
    <definedName name="revreq" localSheetId="2">#REF!</definedName>
    <definedName name="revreq" localSheetId="7">#REF!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20">#REF!</definedName>
    <definedName name="SEVILLE" localSheetId="19">#REF!</definedName>
    <definedName name="SEVILLE" localSheetId="26">#REF!</definedName>
    <definedName name="SEVILLE" localSheetId="2">#REF!</definedName>
    <definedName name="SEVILLE" localSheetId="7">#REF!</definedName>
    <definedName name="SEVILLE">#REF!</definedName>
    <definedName name="shit" localSheetId="28"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OUTH_VIENNA" localSheetId="20">#REF!</definedName>
    <definedName name="SOUTH_VIENNA" localSheetId="19">#REF!</definedName>
    <definedName name="SOUTH_VIENNA" localSheetId="26">#REF!</definedName>
    <definedName name="SOUTH_VIENNA" localSheetId="2">#REF!</definedName>
    <definedName name="SOUTH_VIENNA" localSheetId="7">#REF!</definedName>
    <definedName name="SOUTH_VIENNA">#REF!</definedName>
    <definedName name="SPS_COS" localSheetId="20">#REF!</definedName>
    <definedName name="SPS_COS" localSheetId="19">#REF!</definedName>
    <definedName name="SPS_COS" localSheetId="26">#REF!</definedName>
    <definedName name="SPS_COS" localSheetId="2">#REF!</definedName>
    <definedName name="SPS_COS" localSheetId="7">#REF!</definedName>
    <definedName name="SPS_COS">#REF!</definedName>
    <definedName name="TEST0" localSheetId="20">#REF!</definedName>
    <definedName name="TEST0">#REF!</definedName>
    <definedName name="TESTHKEY" localSheetId="20">#REF!</definedName>
    <definedName name="TESTHKEY">#REF!</definedName>
    <definedName name="TESTKEYS" localSheetId="20">#REF!</definedName>
    <definedName name="TESTKEYS">#REF!</definedName>
    <definedName name="TESTVKEY" localSheetId="20">#REF!</definedName>
    <definedName name="TESTVKEY">#REF!</definedName>
    <definedName name="Toggle" localSheetId="28">Projection</definedName>
    <definedName name="Toggle">Projection</definedName>
    <definedName name="Toggle.list">'[3]Appendix A'!$P$5:$P$6</definedName>
    <definedName name="TOTAL_COLUMBIANA" localSheetId="20">#REF!</definedName>
    <definedName name="TOTAL_COLUMBIANA" localSheetId="19">#REF!</definedName>
    <definedName name="TOTAL_COLUMBIANA" localSheetId="26">#REF!</definedName>
    <definedName name="TOTAL_COLUMBIANA" localSheetId="2">#REF!</definedName>
    <definedName name="TOTAL_COLUMBIANA" localSheetId="7">#REF!</definedName>
    <definedName name="TOTAL_COLUMBIANA">#REF!</definedName>
    <definedName name="Total_Grove_City" localSheetId="20">#REF!</definedName>
    <definedName name="Total_Grove_City" localSheetId="19">#REF!</definedName>
    <definedName name="Total_Grove_City" localSheetId="26">#REF!</definedName>
    <definedName name="Total_Grove_City" localSheetId="2">#REF!</definedName>
    <definedName name="Total_Grove_City" localSheetId="7">#REF!</definedName>
    <definedName name="Total_Grove_City">#REF!</definedName>
    <definedName name="TOTAL_HUDSON" localSheetId="20">#REF!</definedName>
    <definedName name="TOTAL_HUDSON" localSheetId="19">#REF!</definedName>
    <definedName name="TOTAL_HUDSON" localSheetId="26">#REF!</definedName>
    <definedName name="TOTAL_HUDSON" localSheetId="2">#REF!</definedName>
    <definedName name="TOTAL_HUDSON" localSheetId="7">#REF!</definedName>
    <definedName name="TOTAL_HUDSON">#REF!</definedName>
    <definedName name="TOTAL_MONTPELIER" localSheetId="20">#REF!</definedName>
    <definedName name="TOTAL_MONTPELIER" localSheetId="19">#REF!</definedName>
    <definedName name="TOTAL_MONTPELIER" localSheetId="26">#REF!</definedName>
    <definedName name="TOTAL_MONTPELIER" localSheetId="2">#REF!</definedName>
    <definedName name="TOTAL_MONTPELIER" localSheetId="7">#REF!</definedName>
    <definedName name="TOTAL_MONTPELIER">#REF!</definedName>
    <definedName name="TOTAL_WOODVILLE" localSheetId="20">#REF!</definedName>
    <definedName name="TOTAL_WOODVILLE" localSheetId="19">#REF!</definedName>
    <definedName name="TOTAL_WOODVILLE" localSheetId="26">#REF!</definedName>
    <definedName name="TOTAL_WOODVILLE" localSheetId="2">#REF!</definedName>
    <definedName name="TOTAL_WOODVILLE" localSheetId="7">#REF!</definedName>
    <definedName name="TOTAL_WOODVILLE">#REF!</definedName>
    <definedName name="transmission.fixed.charge.rate">0.1525</definedName>
    <definedName name="True_up">'[3]Appendix A'!$P$6</definedName>
    <definedName name="WADSWORTH" localSheetId="20">#REF!</definedName>
    <definedName name="WADSWORTH" localSheetId="19">#REF!</definedName>
    <definedName name="WADSWORTH" localSheetId="26">#REF!</definedName>
    <definedName name="WADSWORTH" localSheetId="2">#REF!</definedName>
    <definedName name="WADSWORTH" localSheetId="7">#REF!</definedName>
    <definedName name="WADSWORTH">#REF!</definedName>
    <definedName name="WELLINGTON" localSheetId="20">#REF!</definedName>
    <definedName name="WELLINGTON" localSheetId="19">#REF!</definedName>
    <definedName name="WELLINGTON" localSheetId="26">#REF!</definedName>
    <definedName name="WELLINGTON" localSheetId="2">#REF!</definedName>
    <definedName name="WELLINGTON" localSheetId="7">#REF!</definedName>
    <definedName name="WELLINGTON">#REF!</definedName>
    <definedName name="wrn.All._.Pages." localSheetId="28" hidden="1">{#N/A,#N/A,FALSE,"Cover";#N/A,#N/A,FALSE,"Lead Sheet";#N/A,#N/A,FALSE,"T-Accounts";#N/A,#N/A,FALSE,"Ins &amp; Prem ActualEstimates"}</definedName>
    <definedName name="wrn.All._.Pages." hidden="1">{#N/A,#N/A,FALSE,"Cover";#N/A,#N/A,FALSE,"Lead Sheet";#N/A,#N/A,FALSE,"T-Accounts";#N/A,#N/A,FALSE,"Ins &amp; Prem ActualEstimates"}</definedName>
    <definedName name="wrn.Factors._.Tab._.10." localSheetId="28"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28"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8"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28"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28"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Xcel" localSheetId="20">'[5]Data Entry and Forecaster'!#REF!</definedName>
    <definedName name="Xcel" localSheetId="14">'[5]Data Entry and Forecaster'!#REF!</definedName>
    <definedName name="Xcel" localSheetId="18">'[5]Data Entry and Forecaster'!#REF!</definedName>
    <definedName name="Xcel" localSheetId="19">'[5]Data Entry and Forecaster'!#REF!</definedName>
    <definedName name="Xcel" localSheetId="22">'[5]Data Entry and Forecaster'!#REF!</definedName>
    <definedName name="Xcel" localSheetId="26">'[5]Data Entry and Forecaster'!#REF!</definedName>
    <definedName name="Xcel" localSheetId="7">'[5]Data Entry and Forecaster'!#REF!</definedName>
    <definedName name="Xcel" localSheetId="12">'[5]Data Entry and Forecaster'!#REF!</definedName>
    <definedName name="Xcel" localSheetId="13">'[5]Data Entry and Forecaster'!#REF!</definedName>
    <definedName name="Xcel">'[5]Data Entry and Forecaster'!#REF!</definedName>
    <definedName name="Xcel_COS" localSheetId="20">#REF!</definedName>
    <definedName name="Xcel_COS" localSheetId="19">#REF!</definedName>
    <definedName name="Xcel_COS" localSheetId="26">#REF!</definedName>
    <definedName name="Xcel_COS" localSheetId="2">#REF!</definedName>
    <definedName name="Xcel_COS" localSheetId="7">#REF!</definedName>
    <definedName name="Xcel_COS">#REF!</definedName>
    <definedName name="Z_0DE222E8_ADD6_4F4B_9601_960D8109381F_.wvu.PrintArea" localSheetId="17" hidden="1">'Attach 11a - TEC Cost Support'!$A$1:$AI$31</definedName>
    <definedName name="Z_0DE222E8_ADD6_4F4B_9601_960D8109381F_.wvu.PrintArea" localSheetId="20" hidden="1">'Attach 13a-TEC Rev Req True up'!$A$1:$J$55</definedName>
    <definedName name="Z_0DE222E8_ADD6_4F4B_9601_960D8109381F_.wvu.PrintArea" localSheetId="3" hidden="1">'Attach 2a - Scaled ROE Adder'!$A$1:$L$71</definedName>
    <definedName name="Z_0DE222E8_ADD6_4F4B_9601_960D8109381F_.wvu.PrintArea" localSheetId="4" hidden="1">'Attach 2b - Incent ROE NITS'!$A$1:$AM$35</definedName>
    <definedName name="Z_0DE222E8_ADD6_4F4B_9601_960D8109381F_.wvu.PrintArea" localSheetId="14" hidden="1">'Attach 9 - Stated-value Inputs'!$A$1:$I$53</definedName>
    <definedName name="Z_0DE222E8_ADD6_4F4B_9601_960D8109381F_.wvu.PrintArea" localSheetId="1" hidden="1">'Attachment 1 - Sched 1A'!$A$1:$J$18</definedName>
    <definedName name="Z_0DE222E8_ADD6_4F4B_9601_960D8109381F_.wvu.PrintArea" localSheetId="15" hidden="1">'Attachment 10 - Debt Cost'!$A$1:$AA$55</definedName>
    <definedName name="Z_0DE222E8_ADD6_4F4B_9601_960D8109381F_.wvu.PrintArea" localSheetId="16" hidden="1">'Attachment 11 - TEC'!$A$1:$T$94</definedName>
    <definedName name="Z_0DE222E8_ADD6_4F4B_9601_960D8109381F_.wvu.PrintArea" localSheetId="18" hidden="1">'Attachment 12 - TEC True-up'!$A$1:$M$39</definedName>
    <definedName name="Z_0DE222E8_ADD6_4F4B_9601_960D8109381F_.wvu.PrintArea" localSheetId="19" hidden="1">'Attachment 13 - Rev Req True-up'!$A$1:$J$55</definedName>
    <definedName name="Z_0DE222E8_ADD6_4F4B_9601_960D8109381F_.wvu.PrintArea" localSheetId="22" hidden="1">'Attachment 14 - Other RB'!$A$1:$K$35</definedName>
    <definedName name="Z_0DE222E8_ADD6_4F4B_9601_960D8109381F_.wvu.PrintArea" localSheetId="26" hidden="1">'Attachment 18 - Tax Rates'!$A$1:$K$31</definedName>
    <definedName name="Z_0DE222E8_ADD6_4F4B_9601_960D8109381F_.wvu.PrintArea" localSheetId="27" hidden="1">'Attachment 19 - Reg Asset'!$A$1:$AB$36</definedName>
    <definedName name="Z_0DE222E8_ADD6_4F4B_9601_960D8109381F_.wvu.PrintArea" localSheetId="2" hidden="1">'Attachment 2 - ROE Calcs'!$A$1:$L$67</definedName>
    <definedName name="Z_0DE222E8_ADD6_4F4B_9601_960D8109381F_.wvu.PrintArea" localSheetId="28" hidden="1">'Attachment 20 - O&amp;M and A&amp;G'!$A$1:$F$73</definedName>
    <definedName name="Z_0DE222E8_ADD6_4F4B_9601_960D8109381F_.wvu.PrintArea" localSheetId="5" hidden="1">'Attachment 3 - Gross Plant'!$A$1:$M$70</definedName>
    <definedName name="Z_0DE222E8_ADD6_4F4B_9601_960D8109381F_.wvu.PrintArea" localSheetId="7" hidden="1">'Attachment 5 - ADIT Summary'!$A$1:$M$36</definedName>
    <definedName name="Z_0DE222E8_ADD6_4F4B_9601_960D8109381F_.wvu.PrintArea" localSheetId="8" hidden="1">'Attachment 5a - ADIT Detail'!$A$1:$K$230</definedName>
    <definedName name="Z_0DE222E8_ADD6_4F4B_9601_960D8109381F_.wvu.PrintArea" localSheetId="9" hidden="1">'Attachment 5b - ADIT Norm PTRR'!$A$1:$M$53</definedName>
    <definedName name="Z_0DE222E8_ADD6_4F4B_9601_960D8109381F_.wvu.PrintArea" localSheetId="13" hidden="1">'Attachment 8 - Cap Structure'!$A$1:$O$29</definedName>
    <definedName name="Z_0DE222E8_ADD6_4F4B_9601_960D8109381F_.wvu.PrintArea" localSheetId="0" hidden="1">'Attachment H-11A '!$A$1:$K$325</definedName>
    <definedName name="Z_0DE222E8_ADD6_4F4B_9601_960D8109381F_.wvu.PrintTitles" localSheetId="16" hidden="1">'Attachment 11 - TEC'!$C:$D</definedName>
    <definedName name="Z_0DE222E8_ADD6_4F4B_9601_960D8109381F_.wvu.PrintTitles" localSheetId="18" hidden="1">'Attachment 12 - TEC True-up'!$C:$D</definedName>
    <definedName name="Z_28948E05_8F34_4F1E_96FB_A80A6A844600_.wvu.Cols" localSheetId="16" hidden="1">'Attachment 11 - TEC'!#REF!</definedName>
    <definedName name="Z_28948E05_8F34_4F1E_96FB_A80A6A844600_.wvu.Cols" localSheetId="18" hidden="1">'Attachment 12 - TEC True-up'!#REF!</definedName>
    <definedName name="Z_28948E05_8F34_4F1E_96FB_A80A6A844600_.wvu.Cols" localSheetId="8" hidden="1">'Attachment 5a - ADIT Detail'!$G:$G</definedName>
    <definedName name="Z_28948E05_8F34_4F1E_96FB_A80A6A844600_.wvu.PrintArea" localSheetId="8" hidden="1">'Attachment 5a - ADIT Detail'!$B$1:$K$151</definedName>
    <definedName name="Z_28948E05_8F34_4F1E_96FB_A80A6A844600_.wvu.PrintTitles" localSheetId="16" hidden="1">'Attachment 11 - TEC'!$C:$D</definedName>
    <definedName name="Z_28948E05_8F34_4F1E_96FB_A80A6A844600_.wvu.PrintTitles" localSheetId="18" hidden="1">'Attachment 12 - TEC True-up'!$C:$D</definedName>
    <definedName name="Z_28948E05_8F34_4F1E_96FB_A80A6A844600_.wvu.Rows" localSheetId="2" hidden="1">'Attachment 2 - ROE Calcs'!#REF!,'Attachment 2 - ROE Calcs'!#REF!</definedName>
    <definedName name="Z_3A38DF7A_C35E_4DD3_9893_26310A3EF836_.wvu.Cols" localSheetId="16" hidden="1">'Attachment 11 - TEC'!#REF!</definedName>
    <definedName name="Z_3A38DF7A_C35E_4DD3_9893_26310A3EF836_.wvu.Cols" localSheetId="18" hidden="1">'Attachment 12 - TEC True-up'!#REF!</definedName>
    <definedName name="Z_3A38DF7A_C35E_4DD3_9893_26310A3EF836_.wvu.PrintTitles" localSheetId="16" hidden="1">'Attachment 11 - TEC'!$C:$D</definedName>
    <definedName name="Z_3A38DF7A_C35E_4DD3_9893_26310A3EF836_.wvu.PrintTitles" localSheetId="18" hidden="1">'Attachment 12 - TEC True-up'!$C:$D</definedName>
    <definedName name="Z_3A38DF7A_C35E_4DD3_9893_26310A3EF836_.wvu.Rows" localSheetId="2" hidden="1">'Attachment 2 - ROE Calcs'!#REF!</definedName>
    <definedName name="Z_4C7C2344_134C_465A_ADEB_A5E96AAE2308_.wvu.Cols" localSheetId="16" hidden="1">'Attachment 11 - TEC'!#REF!</definedName>
    <definedName name="Z_4C7C2344_134C_465A_ADEB_A5E96AAE2308_.wvu.Cols" localSheetId="18" hidden="1">'Attachment 12 - TEC True-up'!#REF!</definedName>
    <definedName name="Z_4C7C2344_134C_465A_ADEB_A5E96AAE2308_.wvu.PrintTitles" localSheetId="16" hidden="1">'Attachment 11 - TEC'!$C:$D</definedName>
    <definedName name="Z_4C7C2344_134C_465A_ADEB_A5E96AAE2308_.wvu.PrintTitles" localSheetId="18" hidden="1">'Attachment 12 - TEC True-up'!$C:$D</definedName>
    <definedName name="Z_4C7C2344_134C_465A_ADEB_A5E96AAE2308_.wvu.Rows" localSheetId="2" hidden="1">'Attachment 2 - ROE Calcs'!#REF!</definedName>
    <definedName name="Z_63011E91_4609_4523_98FE_FD252E915668_.wvu.Cols" localSheetId="8" hidden="1">'Attachment 5a - ADIT Detail'!$G:$G</definedName>
    <definedName name="Z_63011E91_4609_4523_98FE_FD252E915668_.wvu.PrintArea" localSheetId="8" hidden="1">'Attachment 5a - ADIT Detail'!$B$1:$K$151</definedName>
    <definedName name="Z_6928E596_79BD_4CEC_9F0D_07E62D69B2A5_.wvu.Cols" localSheetId="8" hidden="1">'Attachment 5a - ADIT Detail'!$G:$G</definedName>
    <definedName name="Z_6928E596_79BD_4CEC_9F0D_07E62D69B2A5_.wvu.PrintArea" localSheetId="8" hidden="1">'Attachment 5a - ADIT Detail'!$B$1:$K$151</definedName>
    <definedName name="Z_71B42B22_A376_44B5_B0C1_23FC1AA3DBA2_.wvu.Cols" localSheetId="16" hidden="1">'Attachment 11 - TEC'!#REF!</definedName>
    <definedName name="Z_71B42B22_A376_44B5_B0C1_23FC1AA3DBA2_.wvu.Cols" localSheetId="18" hidden="1">'Attachment 12 - TEC True-up'!#REF!</definedName>
    <definedName name="Z_71B42B22_A376_44B5_B0C1_23FC1AA3DBA2_.wvu.Cols" localSheetId="8" hidden="1">'Attachment 5a - ADIT Detail'!$G:$G</definedName>
    <definedName name="Z_71B42B22_A376_44B5_B0C1_23FC1AA3DBA2_.wvu.PrintArea" localSheetId="8" hidden="1">'Attachment 5a - ADIT Detail'!$B$1:$K$151</definedName>
    <definedName name="Z_71B42B22_A376_44B5_B0C1_23FC1AA3DBA2_.wvu.PrintTitles" localSheetId="16" hidden="1">'Attachment 11 - TEC'!$C:$D</definedName>
    <definedName name="Z_71B42B22_A376_44B5_B0C1_23FC1AA3DBA2_.wvu.PrintTitles" localSheetId="18" hidden="1">'Attachment 12 - TEC True-up'!$C:$D</definedName>
    <definedName name="Z_71B42B22_A376_44B5_B0C1_23FC1AA3DBA2_.wvu.Rows" localSheetId="2" hidden="1">'Attachment 2 - ROE Calcs'!#REF!,'Attachment 2 - ROE Calcs'!#REF!</definedName>
    <definedName name="Z_8FBB4DC9_2D51_4AB9_80D8_F8474B404C29_.wvu.Cols" localSheetId="8" hidden="1">'Attachment 5a - ADIT Detail'!$G:$G</definedName>
    <definedName name="Z_8FBB4DC9_2D51_4AB9_80D8_F8474B404C29_.wvu.PrintArea" localSheetId="8" hidden="1">'Attachment 5a - ADIT Detail'!$B$1:$K$151</definedName>
    <definedName name="Z_901B528B_D65D_48CA_A638_FD9B4E5BB6D4_.wvu.PrintArea" localSheetId="17" hidden="1">'Attach 11a - TEC Cost Support'!$A$1:$AI$31</definedName>
    <definedName name="Z_901B528B_D65D_48CA_A638_FD9B4E5BB6D4_.wvu.PrintArea" localSheetId="20" hidden="1">'Attach 13a-TEC Rev Req True up'!$A$1:$J$55</definedName>
    <definedName name="Z_901B528B_D65D_48CA_A638_FD9B4E5BB6D4_.wvu.PrintArea" localSheetId="3" hidden="1">'Attach 2a - Scaled ROE Adder'!$A$1:$L$71</definedName>
    <definedName name="Z_901B528B_D65D_48CA_A638_FD9B4E5BB6D4_.wvu.PrintArea" localSheetId="4" hidden="1">'Attach 2b - Incent ROE NITS'!$A$1:$AM$35</definedName>
    <definedName name="Z_901B528B_D65D_48CA_A638_FD9B4E5BB6D4_.wvu.PrintArea" localSheetId="14" hidden="1">'Attach 9 - Stated-value Inputs'!$A$1:$I$53</definedName>
    <definedName name="Z_901B528B_D65D_48CA_A638_FD9B4E5BB6D4_.wvu.PrintArea" localSheetId="1" hidden="1">'Attachment 1 - Sched 1A'!$A$1:$J$18</definedName>
    <definedName name="Z_901B528B_D65D_48CA_A638_FD9B4E5BB6D4_.wvu.PrintArea" localSheetId="15" hidden="1">'Attachment 10 - Debt Cost'!$A$1:$AA$55</definedName>
    <definedName name="Z_901B528B_D65D_48CA_A638_FD9B4E5BB6D4_.wvu.PrintArea" localSheetId="16" hidden="1">'Attachment 11 - TEC'!$A$1:$T$94</definedName>
    <definedName name="Z_901B528B_D65D_48CA_A638_FD9B4E5BB6D4_.wvu.PrintArea" localSheetId="18" hidden="1">'Attachment 12 - TEC True-up'!$A$1:$M$39</definedName>
    <definedName name="Z_901B528B_D65D_48CA_A638_FD9B4E5BB6D4_.wvu.PrintArea" localSheetId="19" hidden="1">'Attachment 13 - Rev Req True-up'!$A$1:$J$55</definedName>
    <definedName name="Z_901B528B_D65D_48CA_A638_FD9B4E5BB6D4_.wvu.PrintArea" localSheetId="22" hidden="1">'Attachment 14 - Other RB'!$A$1:$K$35</definedName>
    <definedName name="Z_901B528B_D65D_48CA_A638_FD9B4E5BB6D4_.wvu.PrintArea" localSheetId="26" hidden="1">'Attachment 18 - Tax Rates'!$A$1:$K$31</definedName>
    <definedName name="Z_901B528B_D65D_48CA_A638_FD9B4E5BB6D4_.wvu.PrintArea" localSheetId="27" hidden="1">'Attachment 19 - Reg Asset'!$A$1:$AB$36</definedName>
    <definedName name="Z_901B528B_D65D_48CA_A638_FD9B4E5BB6D4_.wvu.PrintArea" localSheetId="2" hidden="1">'Attachment 2 - ROE Calcs'!$A$1:$L$67</definedName>
    <definedName name="Z_901B528B_D65D_48CA_A638_FD9B4E5BB6D4_.wvu.PrintArea" localSheetId="28" hidden="1">'Attachment 20 - O&amp;M and A&amp;G'!$A$1:$F$73</definedName>
    <definedName name="Z_901B528B_D65D_48CA_A638_FD9B4E5BB6D4_.wvu.PrintArea" localSheetId="5" hidden="1">'Attachment 3 - Gross Plant'!$A$1:$M$70</definedName>
    <definedName name="Z_901B528B_D65D_48CA_A638_FD9B4E5BB6D4_.wvu.PrintArea" localSheetId="7" hidden="1">'Attachment 5 - ADIT Summary'!$A$1:$M$36</definedName>
    <definedName name="Z_901B528B_D65D_48CA_A638_FD9B4E5BB6D4_.wvu.PrintArea" localSheetId="8" hidden="1">'Attachment 5a - ADIT Detail'!$A$1:$K$230</definedName>
    <definedName name="Z_901B528B_D65D_48CA_A638_FD9B4E5BB6D4_.wvu.PrintArea" localSheetId="9" hidden="1">'Attachment 5b - ADIT Norm PTRR'!$A$1:$M$53</definedName>
    <definedName name="Z_901B528B_D65D_48CA_A638_FD9B4E5BB6D4_.wvu.PrintArea" localSheetId="13" hidden="1">'Attachment 8 - Cap Structure'!$A$1:$O$29</definedName>
    <definedName name="Z_901B528B_D65D_48CA_A638_FD9B4E5BB6D4_.wvu.PrintArea" localSheetId="0" hidden="1">'Attachment H-11A '!$A$1:$K$325</definedName>
    <definedName name="Z_901B528B_D65D_48CA_A638_FD9B4E5BB6D4_.wvu.PrintTitles" localSheetId="16" hidden="1">'Attachment 11 - TEC'!$C:$D</definedName>
    <definedName name="Z_901B528B_D65D_48CA_A638_FD9B4E5BB6D4_.wvu.PrintTitles" localSheetId="18" hidden="1">'Attachment 12 - TEC True-up'!$C:$D</definedName>
    <definedName name="Z_B647CB7F_C846_4278_B6B1_1EF7F3C004F5_.wvu.Cols" localSheetId="8" hidden="1">'Attachment 5a - ADIT Detail'!$G:$G</definedName>
    <definedName name="Z_B647CB7F_C846_4278_B6B1_1EF7F3C004F5_.wvu.PrintArea" localSheetId="8" hidden="1">'Attachment 5a - ADIT Detail'!$B$1:$K$151</definedName>
    <definedName name="Z_B991F324_919F_4749_8E3C_A09B2FA7BB10_.wvu.PrintArea" localSheetId="17" hidden="1">'Attach 11a - TEC Cost Support'!$A$1:$AI$31</definedName>
    <definedName name="Z_B991F324_919F_4749_8E3C_A09B2FA7BB10_.wvu.PrintArea" localSheetId="20" hidden="1">'Attach 13a-TEC Rev Req True up'!$A$1:$J$55</definedName>
    <definedName name="Z_B991F324_919F_4749_8E3C_A09B2FA7BB10_.wvu.PrintArea" localSheetId="3" hidden="1">'Attach 2a - Scaled ROE Adder'!$A$1:$L$71</definedName>
    <definedName name="Z_B991F324_919F_4749_8E3C_A09B2FA7BB10_.wvu.PrintArea" localSheetId="4" hidden="1">'Attach 2b - Incent ROE NITS'!$A$1:$AM$35</definedName>
    <definedName name="Z_B991F324_919F_4749_8E3C_A09B2FA7BB10_.wvu.PrintArea" localSheetId="14" hidden="1">'Attach 9 - Stated-value Inputs'!$A$1:$I$53</definedName>
    <definedName name="Z_B991F324_919F_4749_8E3C_A09B2FA7BB10_.wvu.PrintArea" localSheetId="1" hidden="1">'Attachment 1 - Sched 1A'!$A$1:$J$18</definedName>
    <definedName name="Z_B991F324_919F_4749_8E3C_A09B2FA7BB10_.wvu.PrintArea" localSheetId="15" hidden="1">'Attachment 10 - Debt Cost'!$A$1:$AA$55</definedName>
    <definedName name="Z_B991F324_919F_4749_8E3C_A09B2FA7BB10_.wvu.PrintArea" localSheetId="16" hidden="1">'Attachment 11 - TEC'!$A$1:$T$94</definedName>
    <definedName name="Z_B991F324_919F_4749_8E3C_A09B2FA7BB10_.wvu.PrintArea" localSheetId="18" hidden="1">'Attachment 12 - TEC True-up'!$A$1:$M$39</definedName>
    <definedName name="Z_B991F324_919F_4749_8E3C_A09B2FA7BB10_.wvu.PrintArea" localSheetId="19" hidden="1">'Attachment 13 - Rev Req True-up'!$A$1:$J$55</definedName>
    <definedName name="Z_B991F324_919F_4749_8E3C_A09B2FA7BB10_.wvu.PrintArea" localSheetId="22" hidden="1">'Attachment 14 - Other RB'!$A$1:$K$35</definedName>
    <definedName name="Z_B991F324_919F_4749_8E3C_A09B2FA7BB10_.wvu.PrintArea" localSheetId="26" hidden="1">'Attachment 18 - Tax Rates'!$A$1:$K$31</definedName>
    <definedName name="Z_B991F324_919F_4749_8E3C_A09B2FA7BB10_.wvu.PrintArea" localSheetId="27" hidden="1">'Attachment 19 - Reg Asset'!$A$1:$AB$36</definedName>
    <definedName name="Z_B991F324_919F_4749_8E3C_A09B2FA7BB10_.wvu.PrintArea" localSheetId="2" hidden="1">'Attachment 2 - ROE Calcs'!$A$1:$L$67</definedName>
    <definedName name="Z_B991F324_919F_4749_8E3C_A09B2FA7BB10_.wvu.PrintArea" localSheetId="28" hidden="1">'Attachment 20 - O&amp;M and A&amp;G'!$A$1:$F$73</definedName>
    <definedName name="Z_B991F324_919F_4749_8E3C_A09B2FA7BB10_.wvu.PrintArea" localSheetId="5" hidden="1">'Attachment 3 - Gross Plant'!$A$1:$M$70</definedName>
    <definedName name="Z_B991F324_919F_4749_8E3C_A09B2FA7BB10_.wvu.PrintArea" localSheetId="7" hidden="1">'Attachment 5 - ADIT Summary'!$A$1:$M$36</definedName>
    <definedName name="Z_B991F324_919F_4749_8E3C_A09B2FA7BB10_.wvu.PrintArea" localSheetId="8" hidden="1">'Attachment 5a - ADIT Detail'!$A$1:$K$230</definedName>
    <definedName name="Z_B991F324_919F_4749_8E3C_A09B2FA7BB10_.wvu.PrintArea" localSheetId="9" hidden="1">'Attachment 5b - ADIT Norm PTRR'!$A$1:$M$53</definedName>
    <definedName name="Z_B991F324_919F_4749_8E3C_A09B2FA7BB10_.wvu.PrintArea" localSheetId="13" hidden="1">'Attachment 8 - Cap Structure'!$A$1:$O$29</definedName>
    <definedName name="Z_B991F324_919F_4749_8E3C_A09B2FA7BB10_.wvu.PrintArea" localSheetId="0" hidden="1">'Attachment H-11A '!$A$1:$K$325</definedName>
    <definedName name="Z_B991F324_919F_4749_8E3C_A09B2FA7BB10_.wvu.PrintTitles" localSheetId="16" hidden="1">'Attachment 11 - TEC'!$C:$D</definedName>
    <definedName name="Z_B991F324_919F_4749_8E3C_A09B2FA7BB10_.wvu.PrintTitles" localSheetId="18" hidden="1">'Attachment 12 - TEC True-up'!$C:$D</definedName>
    <definedName name="Z_DA967730_B71F_4038_B1B7_9D4790729C5D_.wvu.Cols" localSheetId="16" hidden="1">'Attachment 11 - TEC'!#REF!</definedName>
    <definedName name="Z_DA967730_B71F_4038_B1B7_9D4790729C5D_.wvu.Cols" localSheetId="18" hidden="1">'Attachment 12 - TEC True-up'!#REF!</definedName>
    <definedName name="Z_DA967730_B71F_4038_B1B7_9D4790729C5D_.wvu.PrintTitles" localSheetId="16" hidden="1">'Attachment 11 - TEC'!$C:$D</definedName>
    <definedName name="Z_DA967730_B71F_4038_B1B7_9D4790729C5D_.wvu.PrintTitles" localSheetId="18" hidden="1">'Attachment 12 - TEC True-up'!$C:$D</definedName>
    <definedName name="Z_DA967730_B71F_4038_B1B7_9D4790729C5D_.wvu.Rows" localSheetId="2" hidden="1">'Attachment 2 - ROE Calcs'!#REF!</definedName>
    <definedName name="Z_DC91DEF3_837B_4BB9_A81E_3B78C5914E6C_.wvu.Cols" localSheetId="16" hidden="1">'Attachment 11 - TEC'!#REF!</definedName>
    <definedName name="Z_DC91DEF3_837B_4BB9_A81E_3B78C5914E6C_.wvu.Cols" localSheetId="18" hidden="1">'Attachment 12 - TEC True-up'!#REF!</definedName>
    <definedName name="Z_DC91DEF3_837B_4BB9_A81E_3B78C5914E6C_.wvu.Cols" localSheetId="8" hidden="1">'Attachment 5a - ADIT Detail'!$G:$G</definedName>
    <definedName name="Z_DC91DEF3_837B_4BB9_A81E_3B78C5914E6C_.wvu.PrintArea" localSheetId="8" hidden="1">'Attachment 5a - ADIT Detail'!$B$1:$K$151</definedName>
    <definedName name="Z_DC91DEF3_837B_4BB9_A81E_3B78C5914E6C_.wvu.PrintTitles" localSheetId="16" hidden="1">'Attachment 11 - TEC'!$C:$D</definedName>
    <definedName name="Z_DC91DEF3_837B_4BB9_A81E_3B78C5914E6C_.wvu.PrintTitles" localSheetId="18" hidden="1">'Attachment 12 - TEC True-up'!$C:$D</definedName>
    <definedName name="Z_DC91DEF3_837B_4BB9_A81E_3B78C5914E6C_.wvu.Rows" localSheetId="2" hidden="1">'Attachment 2 - ROE Calcs'!#REF!</definedName>
    <definedName name="Z_E1861F40_EBD5_44AE_868B_FDE0ED504D72_.wvu.PrintArea" localSheetId="1" hidden="1">'Attachment 1 - Sched 1A'!$B$1:$I$18</definedName>
    <definedName name="Z_E1861F40_EBD5_44AE_868B_FDE0ED504D72_.wvu.PrintArea" localSheetId="16" hidden="1">'Attachment 11 - TEC'!$A$1:$O$91</definedName>
    <definedName name="Z_E1861F40_EBD5_44AE_868B_FDE0ED504D72_.wvu.PrintArea" localSheetId="18" hidden="1">'Attachment 12 - TEC True-up'!$A$1:$L$39</definedName>
    <definedName name="Z_E1861F40_EBD5_44AE_868B_FDE0ED504D72_.wvu.PrintArea" localSheetId="0" hidden="1">'Attachment H-11A '!$A$1:$K$329</definedName>
    <definedName name="Z_E1861F40_EBD5_44AE_868B_FDE0ED504D72_.wvu.PrintTitles" localSheetId="16" hidden="1">'Attachment 11 - TEC'!$C:$D</definedName>
    <definedName name="Z_E1861F40_EBD5_44AE_868B_FDE0ED504D72_.wvu.PrintTitles" localSheetId="18" hidden="1">'Attachment 12 - TEC True-up'!$C:$D</definedName>
    <definedName name="Z_F96D6087_3330_4A81_95EC_26BA83722A49_.wvu.Cols" localSheetId="16" hidden="1">'Attachment 11 - TEC'!#REF!</definedName>
    <definedName name="Z_F96D6087_3330_4A81_95EC_26BA83722A49_.wvu.Cols" localSheetId="18" hidden="1">'Attachment 12 - TEC True-up'!#REF!</definedName>
    <definedName name="Z_F96D6087_3330_4A81_95EC_26BA83722A49_.wvu.PrintTitles" localSheetId="16" hidden="1">'Attachment 11 - TEC'!$C:$D</definedName>
    <definedName name="Z_F96D6087_3330_4A81_95EC_26BA83722A49_.wvu.PrintTitles" localSheetId="18" hidden="1">'Attachment 12 - TEC True-up'!$C:$D</definedName>
    <definedName name="Z_F96D6087_3330_4A81_95EC_26BA83722A49_.wvu.Rows" localSheetId="2" hidden="1">'Attachment 2 - ROE Calcs'!#REF!</definedName>
    <definedName name="Z_FAAD9AAC_1337_43AB_BF1F_CCF9DFCF5B78_.wvu.Cols" localSheetId="16" hidden="1">'Attachment 11 - TEC'!#REF!</definedName>
    <definedName name="Z_FAAD9AAC_1337_43AB_BF1F_CCF9DFCF5B78_.wvu.Cols" localSheetId="18" hidden="1">'Attachment 12 - TEC True-up'!#REF!</definedName>
    <definedName name="Z_FAAD9AAC_1337_43AB_BF1F_CCF9DFCF5B78_.wvu.Cols" localSheetId="8" hidden="1">'Attachment 5a - ADIT Detail'!$G:$G</definedName>
    <definedName name="Z_FAAD9AAC_1337_43AB_BF1F_CCF9DFCF5B78_.wvu.PrintArea" localSheetId="8" hidden="1">'Attachment 5a - ADIT Detail'!$B$1:$K$151</definedName>
    <definedName name="Z_FAAD9AAC_1337_43AB_BF1F_CCF9DFCF5B78_.wvu.PrintTitles" localSheetId="16" hidden="1">'Attachment 11 - TEC'!$C:$D</definedName>
    <definedName name="Z_FAAD9AAC_1337_43AB_BF1F_CCF9DFCF5B78_.wvu.PrintTitles" localSheetId="18" hidden="1">'Attachment 12 - TEC True-up'!$C:$D</definedName>
    <definedName name="Z_FAAD9AAC_1337_43AB_BF1F_CCF9DFCF5B78_.wvu.Rows" localSheetId="2" hidden="1">'Attachment 2 - ROE Calcs'!#REF!</definedName>
  </definedNames>
  <calcPr calcId="191029"/>
  <customWorkbookViews>
    <customWorkbookView name="Tom Dolezal - Personal View" guid="{B991F324-919F-4749-8E3C-A09B2FA7BB10}" mergeInterval="0" personalView="1" maximized="1" xWindow="-9" yWindow="-9" windowWidth="1938" windowHeight="1048" tabRatio="801" activeSheetId="1"/>
    <customWorkbookView name="Marx, Justin P - Personal View" guid="{901B528B-D65D-48CA-A638-FD9B4E5BB6D4}" mergeInterval="0" personalView="1" maximized="1" xWindow="1912" yWindow="-8" windowWidth="1616" windowHeight="876" tabRatio="801" activeSheetId="1" showComments="commIndAndComment"/>
    <customWorkbookView name="Schock, Michael C - Personal View" guid="{E1861F40-EBD5-44AE-868B-FDE0ED504D72}" mergeInterval="0" personalView="1" maximized="1" xWindow="-8" yWindow="-8" windowWidth="1696" windowHeight="1026" tabRatio="928" activeSheetId="1"/>
    <customWorkbookView name="Sreenivasan, Preethi - Personal View" guid="{0DE222E8-ADD6-4F4B-9601-960D8109381F}" mergeInterval="0" personalView="1" maximized="1" xWindow="-8" yWindow="-8" windowWidth="2576" windowHeight="1416" tabRatio="934"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0" l="1"/>
  <c r="H15" i="10" s="1"/>
  <c r="J15" i="10" s="1"/>
  <c r="C146" i="9"/>
  <c r="C145" i="9"/>
  <c r="C115" i="9"/>
  <c r="C114" i="9"/>
  <c r="C113" i="9"/>
  <c r="C112" i="9"/>
  <c r="C111" i="9"/>
  <c r="C110" i="9"/>
  <c r="C109" i="9"/>
  <c r="C108" i="9"/>
  <c r="C107" i="9"/>
  <c r="C106" i="9"/>
  <c r="C105" i="9"/>
  <c r="C104" i="9"/>
  <c r="C103" i="9"/>
  <c r="C71" i="9"/>
  <c r="C70" i="9"/>
  <c r="C69" i="9"/>
  <c r="C68" i="9"/>
  <c r="C67" i="9"/>
  <c r="C66" i="9"/>
  <c r="C65" i="9"/>
  <c r="C64" i="9"/>
  <c r="C63" i="9"/>
  <c r="C62" i="9"/>
  <c r="C61" i="9"/>
  <c r="C60" i="9"/>
  <c r="C59" i="9"/>
  <c r="C58" i="9"/>
  <c r="C57" i="9"/>
  <c r="C56" i="9"/>
  <c r="C144" i="9"/>
  <c r="C143" i="9"/>
  <c r="C142" i="9"/>
  <c r="C102" i="9"/>
  <c r="C101" i="9"/>
  <c r="C100" i="9"/>
  <c r="C118" i="9" s="1"/>
  <c r="C55" i="9"/>
  <c r="C54" i="9"/>
  <c r="F21" i="10"/>
  <c r="H21" i="10" s="1"/>
  <c r="J21" i="10" s="1"/>
  <c r="F9" i="10"/>
  <c r="H9" i="10" s="1"/>
  <c r="J9" i="10" s="1"/>
  <c r="H25" i="11"/>
  <c r="J25" i="11" s="1"/>
  <c r="H17" i="11"/>
  <c r="J17" i="11" s="1"/>
  <c r="H9" i="11"/>
  <c r="J9" i="11" s="1"/>
  <c r="F9" i="11"/>
  <c r="F17" i="11"/>
  <c r="F25" i="11"/>
  <c r="H59" i="24" l="1"/>
  <c r="D59" i="24"/>
  <c r="H50" i="24"/>
  <c r="D50" i="24"/>
  <c r="I47" i="24"/>
  <c r="I46" i="24"/>
  <c r="I45" i="24"/>
  <c r="I44" i="24"/>
  <c r="I43" i="24"/>
  <c r="I42" i="24"/>
  <c r="I41" i="24"/>
  <c r="I34" i="24"/>
  <c r="I33" i="24"/>
  <c r="I32" i="24"/>
  <c r="I31" i="24"/>
  <c r="I30" i="24"/>
  <c r="I29" i="24"/>
  <c r="I28" i="24"/>
  <c r="I27" i="24"/>
  <c r="I26" i="24"/>
  <c r="I25" i="24"/>
  <c r="I24" i="24"/>
  <c r="I23" i="24"/>
  <c r="I22" i="24"/>
  <c r="I21" i="24"/>
  <c r="I20" i="24"/>
  <c r="I19" i="24"/>
  <c r="I18" i="24"/>
  <c r="I17" i="24"/>
  <c r="I16" i="24"/>
  <c r="I15" i="24"/>
  <c r="I14" i="24"/>
  <c r="I13" i="24"/>
  <c r="B47" i="16" l="1"/>
  <c r="B48" i="16"/>
  <c r="B49" i="16"/>
  <c r="B50" i="16"/>
  <c r="B51" i="16"/>
  <c r="B46" i="16"/>
  <c r="W23" i="16"/>
  <c r="U23" i="16"/>
  <c r="S23" i="16"/>
  <c r="Q23" i="16"/>
  <c r="K23" i="16"/>
  <c r="I23" i="16"/>
  <c r="AA50" i="16"/>
  <c r="Y50" i="16"/>
  <c r="U50" i="16"/>
  <c r="S50" i="16"/>
  <c r="A50" i="16"/>
  <c r="A51" i="16"/>
  <c r="L10" i="14"/>
  <c r="L11" i="14"/>
  <c r="L12" i="14"/>
  <c r="L13" i="14"/>
  <c r="L14" i="14"/>
  <c r="L15" i="14"/>
  <c r="L16" i="14"/>
  <c r="L17" i="14"/>
  <c r="L18" i="14"/>
  <c r="L19" i="14"/>
  <c r="L20" i="14"/>
  <c r="L21" i="14"/>
  <c r="L9" i="14"/>
  <c r="I23" i="14" l="1"/>
  <c r="F23" i="14"/>
  <c r="M7" i="25" l="1"/>
  <c r="N7" i="25" s="1"/>
  <c r="O7" i="25" s="1"/>
  <c r="P7" i="25" s="1"/>
  <c r="Q7" i="25" s="1"/>
  <c r="R7" i="25" s="1"/>
  <c r="S7" i="25" s="1"/>
  <c r="T7" i="25" s="1"/>
  <c r="U7" i="25" s="1"/>
  <c r="V7" i="25" s="1"/>
  <c r="W7" i="25" s="1"/>
  <c r="X7" i="25" s="1"/>
  <c r="Y7" i="25" s="1"/>
  <c r="Z7" i="25" s="1"/>
  <c r="AA7" i="25" s="1"/>
  <c r="AB7" i="25" s="1"/>
  <c r="AC7" i="25" s="1"/>
  <c r="D8" i="2" l="1"/>
  <c r="J1" i="2"/>
  <c r="J1" i="3"/>
  <c r="D32" i="13" l="1"/>
  <c r="J8" i="6"/>
  <c r="D9" i="28" l="1"/>
  <c r="E9" i="28" s="1"/>
  <c r="F9" i="28" s="1"/>
  <c r="G9" i="28" s="1"/>
  <c r="H9" i="28" s="1"/>
  <c r="J1" i="4" l="1"/>
  <c r="E16" i="27" l="1"/>
  <c r="F16" i="27"/>
  <c r="M3" i="7" l="1"/>
  <c r="M1" i="7"/>
  <c r="B10" i="14" l="1"/>
  <c r="B11" i="14"/>
  <c r="B12" i="14"/>
  <c r="B13" i="14"/>
  <c r="B14" i="14"/>
  <c r="B15" i="14"/>
  <c r="B16" i="14"/>
  <c r="B17" i="14"/>
  <c r="B18" i="14"/>
  <c r="B19" i="14"/>
  <c r="B20" i="14"/>
  <c r="B21" i="14"/>
  <c r="B9" i="14"/>
  <c r="I33" i="4"/>
  <c r="C9" i="14" l="1"/>
  <c r="C19" i="15"/>
  <c r="E10" i="12" s="1"/>
  <c r="E9" i="12"/>
  <c r="E8" i="12"/>
  <c r="D12" i="15"/>
  <c r="D135" i="1"/>
  <c r="I10" i="25"/>
  <c r="J10" i="25" s="1"/>
  <c r="N14" i="28"/>
  <c r="N15" i="28"/>
  <c r="N16" i="28"/>
  <c r="N17" i="28"/>
  <c r="N18" i="28"/>
  <c r="N19" i="28"/>
  <c r="N20" i="28"/>
  <c r="N21" i="28"/>
  <c r="N22" i="28"/>
  <c r="N23" i="28"/>
  <c r="N13" i="28"/>
  <c r="J21" i="28"/>
  <c r="K21" i="28" s="1"/>
  <c r="J23" i="28"/>
  <c r="K23" i="28" s="1"/>
  <c r="J20" i="28"/>
  <c r="K20" i="28" s="1"/>
  <c r="J15" i="28"/>
  <c r="K15" i="28" s="1"/>
  <c r="J13" i="28"/>
  <c r="K13" i="28" s="1"/>
  <c r="M10" i="25"/>
  <c r="AB3" i="28"/>
  <c r="AB5" i="28"/>
  <c r="N11" i="28" s="1"/>
  <c r="W11" i="28" s="1"/>
  <c r="J22" i="28"/>
  <c r="K22" i="28" s="1"/>
  <c r="J19" i="28"/>
  <c r="K19" i="28" s="1"/>
  <c r="J18" i="28"/>
  <c r="K18" i="28" s="1"/>
  <c r="J17" i="28"/>
  <c r="K17" i="28" s="1"/>
  <c r="J16" i="28"/>
  <c r="K16" i="28" s="1"/>
  <c r="A15" i="28"/>
  <c r="A16" i="28" s="1"/>
  <c r="A17" i="28" s="1"/>
  <c r="A18" i="28" s="1"/>
  <c r="A19" i="28" s="1"/>
  <c r="A20" i="28" s="1"/>
  <c r="A21" i="28" s="1"/>
  <c r="A22" i="28" s="1"/>
  <c r="A23" i="28" s="1"/>
  <c r="J14" i="28"/>
  <c r="I9" i="28"/>
  <c r="J9" i="28" s="1"/>
  <c r="K9" i="28" s="1"/>
  <c r="L9" i="28" s="1"/>
  <c r="M9" i="28" s="1"/>
  <c r="N9" i="28" s="1"/>
  <c r="O9" i="28" s="1"/>
  <c r="P9" i="28" s="1"/>
  <c r="Q9" i="28" s="1"/>
  <c r="R9" i="28" s="1"/>
  <c r="S9" i="28" s="1"/>
  <c r="T9" i="28" s="1"/>
  <c r="U9" i="28" s="1"/>
  <c r="V9" i="28" s="1"/>
  <c r="W9" i="28" s="1"/>
  <c r="X9" i="28" s="1"/>
  <c r="Y9" i="28" s="1"/>
  <c r="Z9" i="28" s="1"/>
  <c r="AA9" i="28" s="1"/>
  <c r="G9" i="6"/>
  <c r="H9" i="6"/>
  <c r="J42" i="7"/>
  <c r="M31" i="7"/>
  <c r="M37" i="7"/>
  <c r="M34" i="7"/>
  <c r="H15" i="7"/>
  <c r="H9" i="7"/>
  <c r="H10" i="7"/>
  <c r="H11" i="7"/>
  <c r="H12" i="7"/>
  <c r="H13" i="7"/>
  <c r="H14" i="7"/>
  <c r="H16" i="7"/>
  <c r="H17" i="7"/>
  <c r="H18" i="7"/>
  <c r="H19" i="7"/>
  <c r="H20" i="7"/>
  <c r="H8" i="7"/>
  <c r="G8" i="7"/>
  <c r="J63" i="7"/>
  <c r="I63" i="7"/>
  <c r="H63" i="7"/>
  <c r="G63" i="7"/>
  <c r="F63" i="7"/>
  <c r="E63" i="7"/>
  <c r="C49" i="7"/>
  <c r="C50" i="7" s="1"/>
  <c r="C51" i="7" s="1"/>
  <c r="C52" i="7" s="1"/>
  <c r="C53" i="7" s="1"/>
  <c r="C54" i="7" s="1"/>
  <c r="C55" i="7" s="1"/>
  <c r="C56" i="7" s="1"/>
  <c r="C57" i="7" s="1"/>
  <c r="C58" i="7" s="1"/>
  <c r="C59" i="7" s="1"/>
  <c r="C60" i="7" s="1"/>
  <c r="C61" i="7" s="1"/>
  <c r="I42" i="7"/>
  <c r="H42" i="7"/>
  <c r="G42" i="7"/>
  <c r="F42" i="7"/>
  <c r="E42" i="7"/>
  <c r="M40" i="7"/>
  <c r="M39" i="7"/>
  <c r="M38" i="7"/>
  <c r="M36" i="7"/>
  <c r="M35" i="7"/>
  <c r="M33" i="7"/>
  <c r="M32" i="7"/>
  <c r="M30" i="7"/>
  <c r="M29" i="7"/>
  <c r="M28" i="7"/>
  <c r="C28" i="7"/>
  <c r="C29" i="7" s="1"/>
  <c r="C30" i="7" s="1"/>
  <c r="C31" i="7" s="1"/>
  <c r="C32" i="7" s="1"/>
  <c r="C33" i="7" s="1"/>
  <c r="C34" i="7" s="1"/>
  <c r="C35" i="7" s="1"/>
  <c r="C36" i="7" s="1"/>
  <c r="C37" i="7" s="1"/>
  <c r="C38" i="7" s="1"/>
  <c r="C39" i="7" s="1"/>
  <c r="C40" i="7" s="1"/>
  <c r="F22" i="7"/>
  <c r="K20" i="7"/>
  <c r="J20" i="7"/>
  <c r="I20" i="7"/>
  <c r="G20" i="7"/>
  <c r="E20" i="7"/>
  <c r="K19" i="7"/>
  <c r="J19" i="7"/>
  <c r="I19" i="7"/>
  <c r="G19" i="7"/>
  <c r="E19" i="7"/>
  <c r="M19" i="7" s="1"/>
  <c r="K18" i="7"/>
  <c r="J18" i="7"/>
  <c r="I18" i="7"/>
  <c r="G18" i="7"/>
  <c r="E18" i="7"/>
  <c r="K17" i="7"/>
  <c r="J17" i="7"/>
  <c r="I17" i="7"/>
  <c r="G17" i="7"/>
  <c r="E17" i="7"/>
  <c r="K16" i="7"/>
  <c r="J16" i="7"/>
  <c r="I16" i="7"/>
  <c r="G16" i="7"/>
  <c r="E16" i="7"/>
  <c r="K15" i="7"/>
  <c r="J15" i="7"/>
  <c r="I15" i="7"/>
  <c r="G15" i="7"/>
  <c r="E15" i="7"/>
  <c r="K14" i="7"/>
  <c r="J14" i="7"/>
  <c r="I14" i="7"/>
  <c r="G14" i="7"/>
  <c r="E14" i="7"/>
  <c r="K13" i="7"/>
  <c r="J13" i="7"/>
  <c r="I13" i="7"/>
  <c r="G13" i="7"/>
  <c r="E13" i="7"/>
  <c r="M13" i="7" s="1"/>
  <c r="K12" i="7"/>
  <c r="J12" i="7"/>
  <c r="I12" i="7"/>
  <c r="G12" i="7"/>
  <c r="E12" i="7"/>
  <c r="K11" i="7"/>
  <c r="J11" i="7"/>
  <c r="I11" i="7"/>
  <c r="G11" i="7"/>
  <c r="E11" i="7"/>
  <c r="M11" i="7" s="1"/>
  <c r="K10" i="7"/>
  <c r="J10" i="7"/>
  <c r="I10" i="7"/>
  <c r="G10" i="7"/>
  <c r="E10" i="7"/>
  <c r="K9" i="7"/>
  <c r="J9" i="7"/>
  <c r="I9" i="7"/>
  <c r="G9" i="7"/>
  <c r="E9" i="7"/>
  <c r="C9" i="7"/>
  <c r="C10" i="7" s="1"/>
  <c r="C11" i="7" s="1"/>
  <c r="C12" i="7" s="1"/>
  <c r="C13" i="7" s="1"/>
  <c r="C14" i="7" s="1"/>
  <c r="C15" i="7" s="1"/>
  <c r="C16" i="7" s="1"/>
  <c r="C17" i="7" s="1"/>
  <c r="C18" i="7" s="1"/>
  <c r="C19" i="7" s="1"/>
  <c r="C20" i="7" s="1"/>
  <c r="K8" i="7"/>
  <c r="J8" i="7"/>
  <c r="I8" i="7"/>
  <c r="E8" i="7"/>
  <c r="J22" i="7" l="1"/>
  <c r="M20" i="7"/>
  <c r="M12" i="7"/>
  <c r="M18" i="7"/>
  <c r="M10" i="7"/>
  <c r="I22" i="7"/>
  <c r="D51" i="1" s="1"/>
  <c r="M17" i="7"/>
  <c r="M9" i="7"/>
  <c r="H22" i="7"/>
  <c r="D50" i="1" s="1"/>
  <c r="M16" i="7"/>
  <c r="M15" i="7"/>
  <c r="M42" i="7"/>
  <c r="G22" i="7"/>
  <c r="D49" i="1" s="1"/>
  <c r="M14" i="7"/>
  <c r="E22" i="7"/>
  <c r="D48" i="1" s="1"/>
  <c r="K22" i="7"/>
  <c r="D52" i="1" s="1"/>
  <c r="M8" i="7"/>
  <c r="S11" i="28"/>
  <c r="P11" i="28"/>
  <c r="X11" i="28"/>
  <c r="Q11" i="28"/>
  <c r="Z11" i="28"/>
  <c r="T11" i="28"/>
  <c r="R11" i="28"/>
  <c r="V11" i="28"/>
  <c r="Y11" i="28"/>
  <c r="U11" i="28"/>
  <c r="O11" i="28"/>
  <c r="L13" i="28"/>
  <c r="M13" i="28" s="1"/>
  <c r="O13" i="28"/>
  <c r="K14" i="28"/>
  <c r="L14" i="28" s="1"/>
  <c r="O14" i="28" s="1"/>
  <c r="P14" i="28" s="1"/>
  <c r="Q14" i="28" s="1"/>
  <c r="R14" i="28" s="1"/>
  <c r="S14" i="28" s="1"/>
  <c r="T14" i="28" s="1"/>
  <c r="U14" i="28" s="1"/>
  <c r="V14" i="28" s="1"/>
  <c r="W14" i="28" s="1"/>
  <c r="X14" i="28" s="1"/>
  <c r="Y14" i="28" s="1"/>
  <c r="Z14" i="28" s="1"/>
  <c r="M14" i="28" l="1"/>
  <c r="P13" i="28"/>
  <c r="Q13" i="28" s="1"/>
  <c r="R13" i="28" s="1"/>
  <c r="S13" i="28" s="1"/>
  <c r="T13" i="28" s="1"/>
  <c r="U13" i="28" s="1"/>
  <c r="V13" i="28" s="1"/>
  <c r="W13" i="28" s="1"/>
  <c r="X13" i="28" s="1"/>
  <c r="Y13" i="28" s="1"/>
  <c r="Z13" i="28" s="1"/>
  <c r="L15" i="28"/>
  <c r="M15" i="28" s="1"/>
  <c r="AA14" i="28"/>
  <c r="M22" i="7"/>
  <c r="AA13" i="28" l="1"/>
  <c r="O15" i="28"/>
  <c r="P15" i="28" l="1"/>
  <c r="Q15" i="28" s="1"/>
  <c r="R15" i="28" s="1"/>
  <c r="S15" i="28" s="1"/>
  <c r="T15" i="28" s="1"/>
  <c r="U15" i="28" s="1"/>
  <c r="V15" i="28" s="1"/>
  <c r="W15" i="28" s="1"/>
  <c r="X15" i="28" s="1"/>
  <c r="Y15" i="28" s="1"/>
  <c r="Z15" i="28" s="1"/>
  <c r="L16" i="28" l="1"/>
  <c r="M16" i="28" s="1"/>
  <c r="AA15" i="28"/>
  <c r="H8" i="6"/>
  <c r="G8" i="6"/>
  <c r="O16" i="28" l="1"/>
  <c r="P16" i="28" s="1"/>
  <c r="Q16" i="28" s="1"/>
  <c r="R16" i="28" s="1"/>
  <c r="S16" i="28" s="1"/>
  <c r="T16" i="28" s="1"/>
  <c r="U16" i="28" s="1"/>
  <c r="V16" i="28" s="1"/>
  <c r="W16" i="28" s="1"/>
  <c r="X16" i="28" s="1"/>
  <c r="Y16" i="28" s="1"/>
  <c r="Z16" i="28" s="1"/>
  <c r="AA16" i="28" l="1"/>
  <c r="L17" i="28"/>
  <c r="M17" i="28" s="1"/>
  <c r="O17" i="28" l="1"/>
  <c r="P17" i="28" s="1"/>
  <c r="Q17" i="28" s="1"/>
  <c r="R17" i="28" s="1"/>
  <c r="S17" i="28" s="1"/>
  <c r="T17" i="28" s="1"/>
  <c r="U17" i="28" s="1"/>
  <c r="V17" i="28" s="1"/>
  <c r="W17" i="28" s="1"/>
  <c r="X17" i="28" s="1"/>
  <c r="Y17" i="28" s="1"/>
  <c r="Z17" i="28" s="1"/>
  <c r="AA17" i="28" l="1"/>
  <c r="L18" i="28"/>
  <c r="M18" i="28" s="1"/>
  <c r="O18" i="28" l="1"/>
  <c r="P18" i="28" s="1"/>
  <c r="Q18" i="28" s="1"/>
  <c r="R18" i="28" s="1"/>
  <c r="S18" i="28" s="1"/>
  <c r="T18" i="28" s="1"/>
  <c r="U18" i="28" s="1"/>
  <c r="V18" i="28" s="1"/>
  <c r="W18" i="28" s="1"/>
  <c r="X18" i="28" s="1"/>
  <c r="Y18" i="28" s="1"/>
  <c r="Z18" i="28" s="1"/>
  <c r="AA18" i="28" l="1"/>
  <c r="L19" i="28"/>
  <c r="M19" i="28" s="1"/>
  <c r="O19" i="28" l="1"/>
  <c r="P19" i="28" s="1"/>
  <c r="Q19" i="28" s="1"/>
  <c r="R19" i="28" s="1"/>
  <c r="S19" i="28" s="1"/>
  <c r="T19" i="28" s="1"/>
  <c r="U19" i="28" s="1"/>
  <c r="V19" i="28" s="1"/>
  <c r="W19" i="28" s="1"/>
  <c r="X19" i="28" s="1"/>
  <c r="Y19" i="28" s="1"/>
  <c r="Z19" i="28" s="1"/>
  <c r="L20" i="28" l="1"/>
  <c r="M20" i="28" s="1"/>
  <c r="AA19" i="28"/>
  <c r="O20" i="28" l="1"/>
  <c r="P20" i="28" s="1"/>
  <c r="Q20" i="28" s="1"/>
  <c r="R20" i="28" s="1"/>
  <c r="S20" i="28" s="1"/>
  <c r="T20" i="28" s="1"/>
  <c r="U20" i="28" s="1"/>
  <c r="V20" i="28" s="1"/>
  <c r="W20" i="28" s="1"/>
  <c r="X20" i="28" s="1"/>
  <c r="Y20" i="28" s="1"/>
  <c r="Z20" i="28" s="1"/>
  <c r="L21" i="28" l="1"/>
  <c r="M21" i="28" s="1"/>
  <c r="AA20" i="28"/>
  <c r="O21" i="28" l="1"/>
  <c r="P21" i="28" s="1"/>
  <c r="Q21" i="28" s="1"/>
  <c r="R21" i="28" s="1"/>
  <c r="S21" i="28" s="1"/>
  <c r="T21" i="28" s="1"/>
  <c r="U21" i="28" s="1"/>
  <c r="V21" i="28" s="1"/>
  <c r="W21" i="28" s="1"/>
  <c r="X21" i="28" s="1"/>
  <c r="Y21" i="28" s="1"/>
  <c r="Z21" i="28" s="1"/>
  <c r="L22" i="28" l="1"/>
  <c r="M22" i="28" s="1"/>
  <c r="AA21" i="28"/>
  <c r="O22" i="28" l="1"/>
  <c r="P22" i="28" s="1"/>
  <c r="Q22" i="28" s="1"/>
  <c r="R22" i="28" s="1"/>
  <c r="S22" i="28" s="1"/>
  <c r="T22" i="28" s="1"/>
  <c r="U22" i="28" s="1"/>
  <c r="V22" i="28" s="1"/>
  <c r="W22" i="28" s="1"/>
  <c r="X22" i="28" s="1"/>
  <c r="Y22" i="28" s="1"/>
  <c r="Z22" i="28" s="1"/>
  <c r="L23" i="28" l="1"/>
  <c r="M23" i="28" s="1"/>
  <c r="M26" i="28" s="1"/>
  <c r="D127" i="1" s="1"/>
  <c r="AA22" i="28"/>
  <c r="O23" i="28" l="1"/>
  <c r="P23" i="28" s="1"/>
  <c r="Q23" i="28" s="1"/>
  <c r="R23" i="28" s="1"/>
  <c r="S23" i="28" s="1"/>
  <c r="T23" i="28" s="1"/>
  <c r="U23" i="28" s="1"/>
  <c r="V23" i="28" s="1"/>
  <c r="W23" i="28" s="1"/>
  <c r="X23" i="28" s="1"/>
  <c r="Y23" i="28" s="1"/>
  <c r="Z23" i="28" s="1"/>
  <c r="AA23" i="28" l="1"/>
  <c r="AA26" i="28" l="1"/>
  <c r="D72" i="1" s="1"/>
  <c r="M3" i="19" l="1"/>
  <c r="S3" i="18"/>
  <c r="T49" i="17"/>
  <c r="AA3" i="16"/>
  <c r="C9" i="16" s="1"/>
  <c r="I3" i="15"/>
  <c r="O3" i="14"/>
  <c r="D3" i="13"/>
  <c r="D6" i="13" s="1"/>
  <c r="H3" i="12"/>
  <c r="M37" i="11"/>
  <c r="M3" i="11"/>
  <c r="M3" i="8"/>
  <c r="C10" i="8" s="1"/>
  <c r="M3" i="6"/>
  <c r="S3" i="5"/>
  <c r="AM3" i="5"/>
  <c r="J3" i="4"/>
  <c r="J3" i="3"/>
  <c r="F46" i="29"/>
  <c r="K3" i="27"/>
  <c r="AH3" i="26"/>
  <c r="AC4" i="25"/>
  <c r="M8" i="25" s="1"/>
  <c r="J3" i="24"/>
  <c r="A12" i="25"/>
  <c r="A13" i="25" s="1"/>
  <c r="A14" i="25" s="1"/>
  <c r="A15" i="25" s="1"/>
  <c r="A16" i="25" s="1"/>
  <c r="A17" i="25" s="1"/>
  <c r="A18" i="25" s="1"/>
  <c r="A19" i="25" s="1"/>
  <c r="A20" i="25" s="1"/>
  <c r="J1" i="24"/>
  <c r="G59" i="11" l="1"/>
  <c r="E6" i="11"/>
  <c r="S1" i="5"/>
  <c r="I117" i="1" l="1"/>
  <c r="K10" i="25" l="1"/>
  <c r="I11" i="25"/>
  <c r="J11" i="25" s="1"/>
  <c r="I20" i="25"/>
  <c r="J20" i="25" s="1"/>
  <c r="I19" i="25"/>
  <c r="J19" i="25" s="1"/>
  <c r="I18" i="25"/>
  <c r="J18" i="25" s="1"/>
  <c r="I17" i="25"/>
  <c r="J17" i="25" s="1"/>
  <c r="I16" i="25"/>
  <c r="J16" i="25" s="1"/>
  <c r="I15" i="25"/>
  <c r="J15" i="25" s="1"/>
  <c r="I14" i="25"/>
  <c r="J14" i="25" s="1"/>
  <c r="I13" i="25"/>
  <c r="J13" i="25" s="1"/>
  <c r="I12" i="25"/>
  <c r="J12" i="25" s="1"/>
  <c r="M11" i="25"/>
  <c r="K11" i="25" l="1"/>
  <c r="L10" i="25"/>
  <c r="N10" i="25"/>
  <c r="O10" i="25" l="1"/>
  <c r="P10" i="25" s="1"/>
  <c r="Q10" i="25" s="1"/>
  <c r="R10" i="25" s="1"/>
  <c r="I33" i="3"/>
  <c r="D115" i="1"/>
  <c r="S10" i="25" l="1"/>
  <c r="N11" i="25"/>
  <c r="AC2" i="25"/>
  <c r="T10" i="25" l="1"/>
  <c r="U10" i="25" s="1"/>
  <c r="V10" i="25" s="1"/>
  <c r="W10" i="25" s="1"/>
  <c r="X10" i="25" s="1"/>
  <c r="Y10" i="25" s="1"/>
  <c r="O11" i="25"/>
  <c r="Z10" i="25" l="1"/>
  <c r="P11" i="25"/>
  <c r="Q11" i="25" s="1"/>
  <c r="R11" i="25" s="1"/>
  <c r="S11" i="25" s="1"/>
  <c r="T11" i="25" s="1"/>
  <c r="U11" i="25" s="1"/>
  <c r="V11" i="25" s="1"/>
  <c r="W11" i="25" s="1"/>
  <c r="X11" i="25" s="1"/>
  <c r="Y11" i="25" s="1"/>
  <c r="Z11" i="25" l="1"/>
  <c r="Y8" i="25"/>
  <c r="X8" i="25"/>
  <c r="W8" i="25"/>
  <c r="V8" i="25"/>
  <c r="U8" i="25"/>
  <c r="T8" i="25"/>
  <c r="S8" i="25"/>
  <c r="R8" i="25"/>
  <c r="Q8" i="25"/>
  <c r="P8" i="25"/>
  <c r="O8" i="25"/>
  <c r="N8" i="25"/>
  <c r="I115" i="1" l="1"/>
  <c r="I114" i="1"/>
  <c r="AH1" i="26"/>
  <c r="L3" i="22"/>
  <c r="I43" i="10" l="1"/>
  <c r="I41" i="10"/>
  <c r="I39" i="10"/>
  <c r="F22" i="6" l="1"/>
  <c r="I133" i="1" l="1"/>
  <c r="H10" i="6" l="1"/>
  <c r="H11" i="6"/>
  <c r="H12" i="6"/>
  <c r="H13" i="6"/>
  <c r="H14" i="6"/>
  <c r="H15" i="6"/>
  <c r="H16" i="6"/>
  <c r="H17" i="6"/>
  <c r="H18" i="6"/>
  <c r="H19" i="6"/>
  <c r="H20" i="6"/>
  <c r="G10" i="6"/>
  <c r="G11" i="6"/>
  <c r="G12" i="6"/>
  <c r="G13" i="6"/>
  <c r="G14" i="6"/>
  <c r="G15" i="6"/>
  <c r="G16" i="6"/>
  <c r="G17" i="6"/>
  <c r="G18" i="6"/>
  <c r="G19" i="6"/>
  <c r="G20" i="6"/>
  <c r="AE14" i="26" l="1"/>
  <c r="AC14" i="26"/>
  <c r="AA14" i="26"/>
  <c r="Y14" i="26"/>
  <c r="W14" i="26"/>
  <c r="U14" i="26"/>
  <c r="S14" i="26"/>
  <c r="Q14" i="26"/>
  <c r="O14" i="26"/>
  <c r="M14" i="26"/>
  <c r="K14" i="26"/>
  <c r="I14" i="26"/>
  <c r="G14" i="26"/>
  <c r="AG13" i="26"/>
  <c r="AG12" i="26"/>
  <c r="S7" i="26"/>
  <c r="E5" i="26"/>
  <c r="G5" i="26" l="1"/>
  <c r="I5" i="26" s="1"/>
  <c r="K5" i="26" s="1"/>
  <c r="M5" i="26" s="1"/>
  <c r="AG14" i="26"/>
  <c r="D71" i="1" s="1"/>
  <c r="W7" i="26"/>
  <c r="I7" i="26"/>
  <c r="Y7" i="26"/>
  <c r="K7" i="26"/>
  <c r="AA7" i="26"/>
  <c r="M7" i="26"/>
  <c r="AC7" i="26"/>
  <c r="O7" i="26"/>
  <c r="Q7" i="26"/>
  <c r="U7" i="26"/>
  <c r="AE7" i="26"/>
  <c r="O5" i="26" l="1"/>
  <c r="Q5" i="26" s="1"/>
  <c r="S5" i="26" s="1"/>
  <c r="U5" i="26" s="1"/>
  <c r="W5" i="26" s="1"/>
  <c r="Y5" i="26" s="1"/>
  <c r="AA5" i="26" s="1"/>
  <c r="AC5" i="26" s="1"/>
  <c r="AE5" i="26" s="1"/>
  <c r="AG5" i="26" s="1"/>
  <c r="H64" i="24" l="1"/>
  <c r="D156" i="1" s="1"/>
  <c r="H60" i="24"/>
  <c r="E60" i="24"/>
  <c r="D60" i="24"/>
  <c r="I59" i="24"/>
  <c r="I58" i="24"/>
  <c r="I57" i="24"/>
  <c r="I56" i="24"/>
  <c r="A56" i="24"/>
  <c r="H52" i="24"/>
  <c r="E52" i="24"/>
  <c r="D52" i="24"/>
  <c r="I50" i="24"/>
  <c r="I48" i="24"/>
  <c r="I40" i="24"/>
  <c r="I37" i="24"/>
  <c r="I60" i="24" l="1"/>
  <c r="I52" i="24"/>
  <c r="T17" i="5" l="1"/>
  <c r="E17" i="5"/>
  <c r="T16" i="5"/>
  <c r="E16" i="5"/>
  <c r="T15" i="5"/>
  <c r="E15" i="5"/>
  <c r="T14" i="5"/>
  <c r="E14" i="5"/>
  <c r="T13" i="5"/>
  <c r="E13" i="5"/>
  <c r="T12" i="5"/>
  <c r="E12" i="5"/>
  <c r="U8" i="5"/>
  <c r="G8" i="5"/>
  <c r="H8" i="5" s="1"/>
  <c r="T1" i="5"/>
  <c r="AM1" i="5"/>
  <c r="I50" i="4"/>
  <c r="I11" i="4"/>
  <c r="A11" i="4"/>
  <c r="A14" i="4" s="1"/>
  <c r="A15" i="4" s="1"/>
  <c r="A16" i="4" s="1"/>
  <c r="A17" i="4" s="1"/>
  <c r="A18" i="4" s="1"/>
  <c r="A22" i="4" s="1"/>
  <c r="A23" i="4" s="1"/>
  <c r="A24" i="4" s="1"/>
  <c r="A25" i="4" s="1"/>
  <c r="A27" i="4" s="1"/>
  <c r="A28" i="4" s="1"/>
  <c r="A29" i="4" s="1"/>
  <c r="A31" i="4" s="1"/>
  <c r="A32" i="4" s="1"/>
  <c r="A33" i="4" s="1"/>
  <c r="A35" i="4" s="1"/>
  <c r="AI12" i="5" l="1"/>
  <c r="AI13" i="5"/>
  <c r="AI14" i="5"/>
  <c r="AI15" i="5"/>
  <c r="AI17" i="5"/>
  <c r="AI16" i="5"/>
  <c r="I8" i="5"/>
  <c r="W8" i="5"/>
  <c r="V8" i="5"/>
  <c r="A36" i="4"/>
  <c r="A37" i="4" s="1"/>
  <c r="A38" i="4" s="1"/>
  <c r="G38" i="4" l="1"/>
  <c r="J8" i="5"/>
  <c r="X8" i="5"/>
  <c r="G40" i="4"/>
  <c r="A40" i="4"/>
  <c r="A45" i="4" s="1"/>
  <c r="A46" i="4" s="1"/>
  <c r="Y8" i="5" l="1"/>
  <c r="K8" i="5"/>
  <c r="Z8" i="5" l="1"/>
  <c r="L8" i="5"/>
  <c r="AA8" i="5" l="1"/>
  <c r="M8" i="5"/>
  <c r="AB8" i="5" l="1"/>
  <c r="N8" i="5"/>
  <c r="AC8" i="5" l="1"/>
  <c r="O8" i="5"/>
  <c r="P8" i="5" l="1"/>
  <c r="AD8" i="5"/>
  <c r="Q8" i="5" l="1"/>
  <c r="AE8" i="5"/>
  <c r="R8" i="5" l="1"/>
  <c r="AG8" i="5" s="1"/>
  <c r="AF8" i="5"/>
  <c r="L1" i="22" l="1"/>
  <c r="F37" i="22"/>
  <c r="L37" i="22" s="1"/>
  <c r="E15" i="19" s="1"/>
  <c r="L36" i="22"/>
  <c r="L35" i="22"/>
  <c r="L34" i="22"/>
  <c r="L33" i="22"/>
  <c r="L32" i="22"/>
  <c r="L31" i="22"/>
  <c r="L30" i="22"/>
  <c r="L29" i="22"/>
  <c r="L28" i="22"/>
  <c r="L27" i="22"/>
  <c r="L26" i="22"/>
  <c r="L25" i="22"/>
  <c r="F20" i="22"/>
  <c r="L20" i="22" s="1"/>
  <c r="D10" i="20" s="1"/>
  <c r="L19" i="22"/>
  <c r="L18" i="22"/>
  <c r="L17" i="22"/>
  <c r="L16" i="22"/>
  <c r="L15" i="22"/>
  <c r="L14" i="22"/>
  <c r="L13" i="22"/>
  <c r="L12" i="22"/>
  <c r="L11" i="22"/>
  <c r="L10" i="22"/>
  <c r="L9" i="22"/>
  <c r="B9" i="22"/>
  <c r="L8" i="22"/>
  <c r="F5" i="22"/>
  <c r="H5" i="22" s="1"/>
  <c r="J5" i="22" s="1"/>
  <c r="L5" i="22" s="1"/>
  <c r="F1" i="29"/>
  <c r="K1" i="27"/>
  <c r="K1" i="23"/>
  <c r="J1" i="21"/>
  <c r="J1" i="20"/>
  <c r="M1" i="19"/>
  <c r="S1" i="18"/>
  <c r="T1" i="17"/>
  <c r="AA1" i="16"/>
  <c r="I1" i="15"/>
  <c r="O1" i="14"/>
  <c r="D1" i="13"/>
  <c r="H1" i="12"/>
  <c r="M35" i="11"/>
  <c r="M1" i="11"/>
  <c r="M1" i="10"/>
  <c r="K1" i="9"/>
  <c r="K164" i="9" l="1"/>
  <c r="K198" i="9"/>
  <c r="K45" i="9"/>
  <c r="K90" i="9"/>
  <c r="K132" i="9"/>
  <c r="B10" i="22"/>
  <c r="B11" i="22" s="1"/>
  <c r="M1" i="8"/>
  <c r="M1" i="6"/>
  <c r="B12" i="22" l="1"/>
  <c r="B13" i="22" l="1"/>
  <c r="B14" i="22" l="1"/>
  <c r="B15" i="22" s="1"/>
  <c r="B16" i="22" l="1"/>
  <c r="B17" i="22" s="1"/>
  <c r="B18" i="22" s="1"/>
  <c r="B19" i="22" s="1"/>
  <c r="B20" i="22" s="1"/>
  <c r="B25" i="22" s="1"/>
  <c r="B26" i="22" s="1"/>
  <c r="B27" i="22" s="1"/>
  <c r="B28" i="22" s="1"/>
  <c r="B29" i="22" s="1"/>
  <c r="B30" i="22" s="1"/>
  <c r="B31" i="22" s="1"/>
  <c r="B32" i="22" s="1"/>
  <c r="B33" i="22" s="1"/>
  <c r="B34" i="22" s="1"/>
  <c r="B35" i="22" s="1"/>
  <c r="B36" i="22" s="1"/>
  <c r="B37" i="22" s="1"/>
  <c r="F26" i="29" l="1"/>
  <c r="F3" i="29"/>
  <c r="F67" i="29"/>
  <c r="F70" i="29" s="1"/>
  <c r="D118" i="1" s="1"/>
  <c r="F44" i="29"/>
  <c r="F38" i="29"/>
  <c r="F39" i="29" l="1"/>
  <c r="D113" i="1" s="1"/>
  <c r="D123" i="1" s="1"/>
  <c r="D124" i="1" s="1"/>
  <c r="T11" i="18"/>
  <c r="T10" i="18"/>
  <c r="E11" i="18"/>
  <c r="E10" i="18"/>
  <c r="M29" i="6" l="1"/>
  <c r="S46" i="16" l="1"/>
  <c r="Q19" i="16"/>
  <c r="D23" i="13"/>
  <c r="D39" i="13"/>
  <c r="D16" i="13"/>
  <c r="D217" i="9"/>
  <c r="E217" i="9"/>
  <c r="G217" i="9"/>
  <c r="H217" i="9"/>
  <c r="G182" i="9"/>
  <c r="H182" i="9"/>
  <c r="C182" i="9"/>
  <c r="D182" i="9"/>
  <c r="E182" i="9"/>
  <c r="D149" i="9"/>
  <c r="E149" i="9"/>
  <c r="F149" i="9"/>
  <c r="G149" i="9"/>
  <c r="H149" i="9"/>
  <c r="C149" i="9"/>
  <c r="D74" i="9"/>
  <c r="M33" i="6"/>
  <c r="G217" i="1"/>
  <c r="G216" i="1"/>
  <c r="G214" i="1"/>
  <c r="G6" i="18" l="1"/>
  <c r="H6" i="18" s="1"/>
  <c r="I6" i="18" s="1"/>
  <c r="J6" i="18" s="1"/>
  <c r="C39" i="16"/>
  <c r="C15" i="8"/>
  <c r="E24" i="8"/>
  <c r="E28" i="8" s="1"/>
  <c r="E32" i="8" s="1"/>
  <c r="D225" i="1"/>
  <c r="F118" i="9" l="1"/>
  <c r="C10" i="9" s="1"/>
  <c r="F43" i="10" l="1"/>
  <c r="F41" i="10"/>
  <c r="F39" i="10"/>
  <c r="E12" i="12" l="1"/>
  <c r="K12" i="10" l="1"/>
  <c r="K200" i="9" l="1"/>
  <c r="K166" i="9"/>
  <c r="K134" i="9"/>
  <c r="K92" i="9"/>
  <c r="K47" i="9"/>
  <c r="K3" i="9"/>
  <c r="F74" i="9" l="1"/>
  <c r="D32" i="9"/>
  <c r="D31" i="9"/>
  <c r="D29" i="9"/>
  <c r="C29" i="9"/>
  <c r="H118" i="9"/>
  <c r="D28" i="9" s="1"/>
  <c r="G118" i="9"/>
  <c r="C28" i="9" s="1"/>
  <c r="E28" i="9" s="1"/>
  <c r="D118" i="9"/>
  <c r="E118" i="9"/>
  <c r="H74" i="9"/>
  <c r="D30" i="9" s="1"/>
  <c r="G74" i="9"/>
  <c r="C30" i="9" s="1"/>
  <c r="C32" i="9"/>
  <c r="C31" i="9"/>
  <c r="A29" i="9"/>
  <c r="A30" i="9" s="1"/>
  <c r="F182" i="9" l="1"/>
  <c r="C13" i="9" s="1"/>
  <c r="E29" i="9"/>
  <c r="E30" i="9"/>
  <c r="C74" i="9"/>
  <c r="E74" i="9"/>
  <c r="E32" i="9"/>
  <c r="D33" i="9"/>
  <c r="E31" i="9"/>
  <c r="I45" i="10" l="1"/>
  <c r="C33" i="9"/>
  <c r="E33" i="9" s="1"/>
  <c r="I127" i="1" l="1"/>
  <c r="I72" i="1" l="1"/>
  <c r="D68" i="1" l="1"/>
  <c r="F65" i="11" l="1"/>
  <c r="F48" i="11"/>
  <c r="E12" i="10"/>
  <c r="C12" i="10"/>
  <c r="K3" i="23" l="1"/>
  <c r="C9" i="23" s="1"/>
  <c r="C10" i="23" s="1"/>
  <c r="I28" i="23" l="1"/>
  <c r="H28" i="23"/>
  <c r="G28" i="23"/>
  <c r="F28" i="23"/>
  <c r="E28" i="23"/>
  <c r="K26" i="23"/>
  <c r="K25" i="23"/>
  <c r="K28" i="23" s="1"/>
  <c r="D70" i="1" s="1"/>
  <c r="C25" i="23"/>
  <c r="C26" i="23" s="1"/>
  <c r="I20" i="23"/>
  <c r="H20" i="23"/>
  <c r="G20" i="23"/>
  <c r="F20" i="23"/>
  <c r="E20" i="23"/>
  <c r="K18" i="23"/>
  <c r="K17" i="23"/>
  <c r="K20" i="23" s="1"/>
  <c r="D69" i="1" s="1"/>
  <c r="C17" i="23"/>
  <c r="C18" i="23" s="1"/>
  <c r="G12" i="23"/>
  <c r="D80" i="1" s="1"/>
  <c r="F12" i="23"/>
  <c r="D79" i="1" s="1"/>
  <c r="E12" i="23"/>
  <c r="D75" i="1" s="1"/>
  <c r="I10" i="23"/>
  <c r="I9" i="23"/>
  <c r="I12" i="23" l="1"/>
  <c r="I205" i="1"/>
  <c r="F52" i="1" l="1"/>
  <c r="E71" i="11" l="1"/>
  <c r="F69" i="11"/>
  <c r="F67" i="11"/>
  <c r="E54" i="11"/>
  <c r="F52" i="11"/>
  <c r="F50" i="11"/>
  <c r="K30" i="11"/>
  <c r="I30" i="11"/>
  <c r="G30" i="11"/>
  <c r="E30" i="11"/>
  <c r="C30" i="11"/>
  <c r="K29" i="11"/>
  <c r="I29" i="11"/>
  <c r="G29" i="11"/>
  <c r="E29" i="11"/>
  <c r="C29" i="11"/>
  <c r="F26" i="11"/>
  <c r="H26" i="11" s="1"/>
  <c r="J26" i="11" s="1"/>
  <c r="L26" i="11" s="1"/>
  <c r="L25" i="11"/>
  <c r="K22" i="11"/>
  <c r="I22" i="11"/>
  <c r="G22" i="11"/>
  <c r="E22" i="11"/>
  <c r="C22" i="11"/>
  <c r="K21" i="11"/>
  <c r="I21" i="11"/>
  <c r="G21" i="11"/>
  <c r="E21" i="11"/>
  <c r="C21" i="11"/>
  <c r="C20" i="11"/>
  <c r="F18" i="11"/>
  <c r="H18" i="11" s="1"/>
  <c r="J18" i="11" s="1"/>
  <c r="L18" i="11" s="1"/>
  <c r="L17" i="11"/>
  <c r="K14" i="11"/>
  <c r="I14" i="11"/>
  <c r="G14" i="11"/>
  <c r="E14" i="11"/>
  <c r="C14" i="11"/>
  <c r="K13" i="11"/>
  <c r="I13" i="11"/>
  <c r="G13" i="11"/>
  <c r="E13" i="11"/>
  <c r="C13" i="11"/>
  <c r="C12" i="11"/>
  <c r="F10" i="11"/>
  <c r="H10" i="11" s="1"/>
  <c r="J10" i="11" s="1"/>
  <c r="L10" i="11" s="1"/>
  <c r="L9" i="11"/>
  <c r="F45" i="10"/>
  <c r="K24" i="10"/>
  <c r="I24" i="10"/>
  <c r="G24" i="10"/>
  <c r="E24" i="10"/>
  <c r="C24" i="10"/>
  <c r="L21" i="10"/>
  <c r="K18" i="10"/>
  <c r="I18" i="10"/>
  <c r="G18" i="10"/>
  <c r="E18" i="10"/>
  <c r="C18" i="10"/>
  <c r="C17" i="10"/>
  <c r="L15" i="10"/>
  <c r="I12" i="10"/>
  <c r="G12" i="10"/>
  <c r="C11" i="10"/>
  <c r="L9" i="10"/>
  <c r="G39" i="10" l="1"/>
  <c r="G43" i="10"/>
  <c r="G41" i="10"/>
  <c r="G52" i="11"/>
  <c r="H52" i="11" s="1"/>
  <c r="J52" i="11" s="1"/>
  <c r="K52" i="11" s="1"/>
  <c r="F54" i="11"/>
  <c r="G69" i="11"/>
  <c r="H69" i="11" s="1"/>
  <c r="F71" i="11"/>
  <c r="G50" i="11"/>
  <c r="H50" i="11" s="1"/>
  <c r="J50" i="11" s="1"/>
  <c r="K50" i="11" s="1"/>
  <c r="G67" i="11"/>
  <c r="H67" i="11" s="1"/>
  <c r="G65" i="11"/>
  <c r="H65" i="11" s="1"/>
  <c r="G48" i="11"/>
  <c r="H48" i="11" s="1"/>
  <c r="I54" i="11"/>
  <c r="K65" i="11"/>
  <c r="K67" i="11"/>
  <c r="K69" i="11"/>
  <c r="J71" i="11"/>
  <c r="I69" i="11" l="1"/>
  <c r="L69" i="11" s="1"/>
  <c r="M69" i="11" s="1"/>
  <c r="G45" i="10"/>
  <c r="I67" i="11"/>
  <c r="L67" i="11" s="1"/>
  <c r="M67" i="11" s="1"/>
  <c r="G71" i="11"/>
  <c r="G54" i="11"/>
  <c r="K71" i="11"/>
  <c r="H54" i="11"/>
  <c r="I65" i="11"/>
  <c r="J48" i="11"/>
  <c r="K48" i="11" s="1"/>
  <c r="K54" i="11" s="1"/>
  <c r="H71" i="11"/>
  <c r="I71" i="11" l="1"/>
  <c r="J54" i="11"/>
  <c r="L65" i="11"/>
  <c r="M65" i="11" s="1"/>
  <c r="L71" i="11" l="1"/>
  <c r="M71" i="11"/>
  <c r="S47" i="16" l="1"/>
  <c r="U46" i="16" l="1"/>
  <c r="U47" i="16" l="1"/>
  <c r="AA46" i="16"/>
  <c r="Y49" i="16"/>
  <c r="Y46" i="16"/>
  <c r="Y47" i="16"/>
  <c r="S51" i="16"/>
  <c r="S49" i="16"/>
  <c r="Q24" i="16"/>
  <c r="K20" i="16"/>
  <c r="I62" i="6" l="1"/>
  <c r="F62" i="6"/>
  <c r="G62" i="6"/>
  <c r="I41" i="6"/>
  <c r="E41" i="6"/>
  <c r="F41" i="6"/>
  <c r="H41" i="6"/>
  <c r="F50" i="1"/>
  <c r="A47" i="16" l="1"/>
  <c r="A48" i="16"/>
  <c r="A49" i="16"/>
  <c r="A46" i="16"/>
  <c r="A11" i="18" l="1"/>
  <c r="C11" i="18"/>
  <c r="D11" i="18"/>
  <c r="D10" i="18"/>
  <c r="C10" i="18"/>
  <c r="A10" i="18"/>
  <c r="D10" i="21" l="1"/>
  <c r="C38" i="21"/>
  <c r="C39" i="21" s="1"/>
  <c r="C40" i="21" s="1"/>
  <c r="C41" i="21" s="1"/>
  <c r="C42" i="21" s="1"/>
  <c r="C43" i="21" s="1"/>
  <c r="C44" i="21" s="1"/>
  <c r="C45" i="21" s="1"/>
  <c r="C46" i="21" s="1"/>
  <c r="C47" i="21" s="1"/>
  <c r="C48" i="21" s="1"/>
  <c r="A34" i="21"/>
  <c r="A37" i="21" s="1"/>
  <c r="A38" i="21" s="1"/>
  <c r="A39" i="21" s="1"/>
  <c r="A40" i="21" s="1"/>
  <c r="A41" i="21" s="1"/>
  <c r="A42" i="21" s="1"/>
  <c r="A43" i="21" s="1"/>
  <c r="A44" i="21" s="1"/>
  <c r="A45" i="21" s="1"/>
  <c r="A46" i="21" s="1"/>
  <c r="A47" i="21" s="1"/>
  <c r="A48" i="21" s="1"/>
  <c r="C20" i="21"/>
  <c r="C21" i="21" s="1"/>
  <c r="C22" i="21" s="1"/>
  <c r="C23" i="21" s="1"/>
  <c r="C24" i="21" s="1"/>
  <c r="C25" i="21" s="1"/>
  <c r="C26" i="21" s="1"/>
  <c r="C27" i="21" s="1"/>
  <c r="C28" i="21" s="1"/>
  <c r="C29" i="21" s="1"/>
  <c r="C30" i="21" s="1"/>
  <c r="E19" i="21"/>
  <c r="E20" i="21" s="1"/>
  <c r="E10" i="21"/>
  <c r="C10" i="21"/>
  <c r="J3" i="21"/>
  <c r="E21" i="21" l="1"/>
  <c r="E22" i="21" l="1"/>
  <c r="E23" i="21" l="1"/>
  <c r="E24" i="21" l="1"/>
  <c r="K20" i="6"/>
  <c r="K19" i="6"/>
  <c r="K18" i="6"/>
  <c r="K17" i="6"/>
  <c r="K16" i="6"/>
  <c r="K15" i="6"/>
  <c r="K14" i="6"/>
  <c r="K13" i="6"/>
  <c r="K12" i="6"/>
  <c r="K11" i="6"/>
  <c r="K10" i="6"/>
  <c r="K9" i="6"/>
  <c r="K8" i="6"/>
  <c r="J20" i="6"/>
  <c r="J19" i="6"/>
  <c r="J18" i="6"/>
  <c r="J17" i="6"/>
  <c r="J16" i="6"/>
  <c r="J15" i="6"/>
  <c r="J14" i="6"/>
  <c r="J13" i="6"/>
  <c r="J12" i="6"/>
  <c r="J11" i="6"/>
  <c r="J10" i="6"/>
  <c r="J9" i="6"/>
  <c r="I20" i="6"/>
  <c r="I19" i="6"/>
  <c r="I18" i="6"/>
  <c r="I17" i="6"/>
  <c r="I16" i="6"/>
  <c r="I15" i="6"/>
  <c r="I14" i="6"/>
  <c r="I13" i="6"/>
  <c r="I12" i="6"/>
  <c r="I11" i="6"/>
  <c r="I10" i="6"/>
  <c r="I9" i="6"/>
  <c r="I8" i="6"/>
  <c r="E20" i="6"/>
  <c r="M20" i="6" s="1"/>
  <c r="E19" i="6"/>
  <c r="E18" i="6"/>
  <c r="E17" i="6"/>
  <c r="E16" i="6"/>
  <c r="E15" i="6"/>
  <c r="E14" i="6"/>
  <c r="E13" i="6"/>
  <c r="M13" i="6" s="1"/>
  <c r="E12" i="6"/>
  <c r="M12" i="6" s="1"/>
  <c r="E11" i="6"/>
  <c r="E10" i="6"/>
  <c r="M10" i="6" s="1"/>
  <c r="E9" i="6"/>
  <c r="M9" i="6" s="1"/>
  <c r="E8" i="6"/>
  <c r="J62" i="6"/>
  <c r="H62" i="6"/>
  <c r="E62" i="6"/>
  <c r="M14" i="6" l="1"/>
  <c r="M15" i="6"/>
  <c r="M16" i="6"/>
  <c r="M17" i="6"/>
  <c r="M18" i="6"/>
  <c r="M8" i="6"/>
  <c r="M11" i="6"/>
  <c r="M19" i="6"/>
  <c r="I22" i="6"/>
  <c r="E22" i="6"/>
  <c r="E25" i="21"/>
  <c r="E26" i="21" l="1"/>
  <c r="E27" i="21" l="1"/>
  <c r="E28" i="21" l="1"/>
  <c r="E29" i="21" l="1"/>
  <c r="E30" i="21" l="1"/>
  <c r="E37" i="21" l="1"/>
  <c r="E34" i="21"/>
  <c r="E38" i="21" l="1"/>
  <c r="E39" i="21" l="1"/>
  <c r="I50" i="3"/>
  <c r="E40" i="21" l="1"/>
  <c r="E41" i="21" l="1"/>
  <c r="E42" i="21" l="1"/>
  <c r="E43" i="21" l="1"/>
  <c r="E44" i="21" l="1"/>
  <c r="E45" i="21" l="1"/>
  <c r="E46" i="21" l="1"/>
  <c r="E47" i="21" l="1"/>
  <c r="E48" i="21" l="1"/>
  <c r="M25" i="16"/>
  <c r="Q20" i="16"/>
  <c r="Q21" i="16"/>
  <c r="Q22" i="16"/>
  <c r="I20" i="16"/>
  <c r="I21" i="16"/>
  <c r="I22" i="16"/>
  <c r="I24" i="16"/>
  <c r="Y48" i="16"/>
  <c r="Y51" i="16"/>
  <c r="S48" i="16"/>
  <c r="U51" i="16"/>
  <c r="AA51" i="16" s="1"/>
  <c r="U24" i="16" s="1"/>
  <c r="K21" i="16" l="1"/>
  <c r="S52" i="16"/>
  <c r="Y52" i="16"/>
  <c r="K24" i="16"/>
  <c r="K22" i="16"/>
  <c r="U49" i="16"/>
  <c r="AA49" i="16" s="1"/>
  <c r="U22" i="16" s="1"/>
  <c r="U48" i="16"/>
  <c r="AA48" i="16" s="1"/>
  <c r="U21" i="16" s="1"/>
  <c r="AA47" i="16"/>
  <c r="U20" i="16" s="1"/>
  <c r="K28" i="1" l="1"/>
  <c r="K102" i="1" s="1"/>
  <c r="K187" i="1" s="1"/>
  <c r="K278" i="1" s="1"/>
  <c r="AI1" i="18"/>
  <c r="K23" i="14" l="1"/>
  <c r="A34" i="20" l="1"/>
  <c r="A37" i="20" s="1"/>
  <c r="A38" i="20" s="1"/>
  <c r="A39" i="20" s="1"/>
  <c r="A40" i="20" s="1"/>
  <c r="A41" i="20" s="1"/>
  <c r="A42" i="20" s="1"/>
  <c r="A43" i="20" s="1"/>
  <c r="A44" i="20" s="1"/>
  <c r="A45" i="20" s="1"/>
  <c r="A46" i="20" s="1"/>
  <c r="A47" i="20" s="1"/>
  <c r="A48" i="20" s="1"/>
  <c r="H19" i="19" l="1"/>
  <c r="H18" i="19"/>
  <c r="H17" i="19"/>
  <c r="J18" i="19" l="1"/>
  <c r="J19" i="19"/>
  <c r="J17" i="19"/>
  <c r="J34" i="19" l="1"/>
  <c r="D14" i="1" l="1"/>
  <c r="C48" i="6" l="1"/>
  <c r="C27" i="6"/>
  <c r="U6" i="18"/>
  <c r="J23" i="14"/>
  <c r="I16" i="3" l="1"/>
  <c r="I16" i="4"/>
  <c r="V6" i="18"/>
  <c r="W6" i="18"/>
  <c r="X6" i="18" l="1"/>
  <c r="K6" i="18" l="1"/>
  <c r="Y6" i="18"/>
  <c r="L6" i="18" l="1"/>
  <c r="Z6" i="18"/>
  <c r="M6" i="18" l="1"/>
  <c r="AA6" i="18"/>
  <c r="N6" i="18" l="1"/>
  <c r="AB6" i="18"/>
  <c r="O6" i="18" l="1"/>
  <c r="AC6" i="18"/>
  <c r="P6" i="18" l="1"/>
  <c r="AD6" i="18"/>
  <c r="Q6" i="18" l="1"/>
  <c r="R6" i="18" s="1"/>
  <c r="AE6" i="18"/>
  <c r="AG6" i="18" l="1"/>
  <c r="AF6" i="18"/>
  <c r="O52" i="16" l="1"/>
  <c r="M52" i="16"/>
  <c r="K52" i="16"/>
  <c r="I52" i="16"/>
  <c r="I19" i="16"/>
  <c r="I25" i="16" s="1"/>
  <c r="C17" i="16"/>
  <c r="Q25" i="16" l="1"/>
  <c r="K19" i="16"/>
  <c r="S24" i="16" l="1"/>
  <c r="W24" i="16" s="1"/>
  <c r="S22" i="16"/>
  <c r="W22" i="16" s="1"/>
  <c r="S19" i="16"/>
  <c r="S21" i="16"/>
  <c r="W21" i="16" s="1"/>
  <c r="S20" i="16"/>
  <c r="W20" i="16" s="1"/>
  <c r="U19" i="16"/>
  <c r="W19" i="16" l="1"/>
  <c r="S25" i="16"/>
  <c r="W25" i="16" l="1"/>
  <c r="G250" i="1" s="1"/>
  <c r="I31" i="4" s="1"/>
  <c r="T1" i="18"/>
  <c r="T47" i="17"/>
  <c r="T3" i="17"/>
  <c r="E62" i="17"/>
  <c r="E63" i="17"/>
  <c r="AI11" i="18" l="1"/>
  <c r="H63" i="17" s="1"/>
  <c r="AI10" i="18"/>
  <c r="H62" i="17" s="1"/>
  <c r="AI3" i="18" l="1"/>
  <c r="H22" i="6" l="1"/>
  <c r="D42" i="1" s="1"/>
  <c r="C9" i="6"/>
  <c r="C10" i="6" s="1"/>
  <c r="C11" i="6" s="1"/>
  <c r="C12" i="6" s="1"/>
  <c r="C13" i="6" s="1"/>
  <c r="C14" i="6" s="1"/>
  <c r="C15" i="6" s="1"/>
  <c r="C16" i="6" s="1"/>
  <c r="C17" i="6" s="1"/>
  <c r="C18" i="6" s="1"/>
  <c r="C19" i="6" s="1"/>
  <c r="C20" i="6" s="1"/>
  <c r="G22" i="6" l="1"/>
  <c r="D41" i="1" s="1"/>
  <c r="I197" i="1" s="1"/>
  <c r="I200" i="1" s="1"/>
  <c r="D40" i="1"/>
  <c r="J22" i="6"/>
  <c r="K22" i="6"/>
  <c r="D44" i="1" s="1"/>
  <c r="I52" i="4"/>
  <c r="M22" i="6" l="1"/>
  <c r="D43" i="1"/>
  <c r="A7" i="12"/>
  <c r="A8" i="12" s="1"/>
  <c r="A9" i="12" l="1"/>
  <c r="A10" i="12" s="1"/>
  <c r="A11" i="12" s="1"/>
  <c r="A12" i="12" s="1"/>
  <c r="A14" i="12" s="1"/>
  <c r="A15" i="12" s="1"/>
  <c r="I52" i="3" l="1"/>
  <c r="I11" i="3"/>
  <c r="A11" i="3" l="1"/>
  <c r="A14" i="3" l="1"/>
  <c r="A15" i="3" s="1"/>
  <c r="A16" i="3" s="1"/>
  <c r="A17" i="3" s="1"/>
  <c r="A18" i="3" s="1"/>
  <c r="A22" i="3" s="1"/>
  <c r="A23" i="3" s="1"/>
  <c r="A24" i="3" s="1"/>
  <c r="A25" i="3" s="1"/>
  <c r="A27" i="3" s="1"/>
  <c r="A28" i="3" s="1"/>
  <c r="A29" i="3" l="1"/>
  <c r="A31" i="3" l="1"/>
  <c r="A32" i="3" l="1"/>
  <c r="A33" i="3" l="1"/>
  <c r="A35" i="3" l="1"/>
  <c r="A36" i="3" l="1"/>
  <c r="A37" i="3" s="1"/>
  <c r="A38" i="3" s="1"/>
  <c r="G38" i="3" l="1"/>
  <c r="A40" i="3"/>
  <c r="G40" i="3"/>
  <c r="A45" i="3" l="1"/>
  <c r="A46" i="3" s="1"/>
  <c r="D301" i="1" l="1"/>
  <c r="D16" i="27"/>
  <c r="D145" i="1"/>
  <c r="H23" i="14"/>
  <c r="G23" i="14"/>
  <c r="I15" i="4" s="1"/>
  <c r="E23" i="14"/>
  <c r="C10" i="14"/>
  <c r="C11" i="14" s="1"/>
  <c r="C12" i="14" s="1"/>
  <c r="C13" i="14" s="1"/>
  <c r="C14" i="14" s="1"/>
  <c r="C15" i="14" s="1"/>
  <c r="C16" i="14" s="1"/>
  <c r="C17" i="14" s="1"/>
  <c r="C18" i="14" s="1"/>
  <c r="C19" i="14" s="1"/>
  <c r="C20" i="14" s="1"/>
  <c r="C21" i="14" s="1"/>
  <c r="C20" i="20"/>
  <c r="C21" i="20" s="1"/>
  <c r="C22" i="20" s="1"/>
  <c r="C23" i="20" s="1"/>
  <c r="C24" i="20" s="1"/>
  <c r="C25" i="20" s="1"/>
  <c r="C26" i="20" s="1"/>
  <c r="C27" i="20" s="1"/>
  <c r="C28" i="20" s="1"/>
  <c r="C29" i="20" s="1"/>
  <c r="C30" i="20" s="1"/>
  <c r="F10" i="20"/>
  <c r="H52" i="20" s="1"/>
  <c r="C38" i="20"/>
  <c r="C39" i="20" s="1"/>
  <c r="C40" i="20" s="1"/>
  <c r="C41" i="20" s="1"/>
  <c r="C42" i="20" s="1"/>
  <c r="C43" i="20" s="1"/>
  <c r="C44" i="20" s="1"/>
  <c r="C45" i="20" s="1"/>
  <c r="C46" i="20" s="1"/>
  <c r="C47" i="20" s="1"/>
  <c r="C48" i="20" s="1"/>
  <c r="E19" i="20"/>
  <c r="E20" i="20" s="1"/>
  <c r="E21" i="20" s="1"/>
  <c r="E22" i="20" s="1"/>
  <c r="E23" i="20" s="1"/>
  <c r="E10" i="20"/>
  <c r="C10" i="20"/>
  <c r="J3" i="20"/>
  <c r="D15" i="1"/>
  <c r="F34" i="19"/>
  <c r="I34" i="19"/>
  <c r="B10" i="21" s="1"/>
  <c r="F10" i="21" s="1"/>
  <c r="I201" i="1"/>
  <c r="C49" i="6"/>
  <c r="C50" i="6" s="1"/>
  <c r="C51" i="6" s="1"/>
  <c r="C52" i="6" s="1"/>
  <c r="C53" i="6" s="1"/>
  <c r="C54" i="6" s="1"/>
  <c r="C55" i="6" s="1"/>
  <c r="C56" i="6" s="1"/>
  <c r="C57" i="6" s="1"/>
  <c r="C58" i="6" s="1"/>
  <c r="C59" i="6" s="1"/>
  <c r="C60" i="6" s="1"/>
  <c r="D16" i="1"/>
  <c r="D144" i="1"/>
  <c r="D143" i="1"/>
  <c r="D12" i="13"/>
  <c r="I207" i="1"/>
  <c r="M28" i="6"/>
  <c r="M30" i="6"/>
  <c r="M31" i="6"/>
  <c r="M32" i="6"/>
  <c r="M34" i="6"/>
  <c r="M35" i="6"/>
  <c r="M36" i="6"/>
  <c r="M37" i="6"/>
  <c r="M38" i="6"/>
  <c r="M39" i="6"/>
  <c r="M27" i="6"/>
  <c r="G41" i="6"/>
  <c r="J41" i="6"/>
  <c r="C28" i="6"/>
  <c r="C29" i="6" s="1"/>
  <c r="C30" i="6" s="1"/>
  <c r="C31" i="6" s="1"/>
  <c r="C32" i="6" s="1"/>
  <c r="C33" i="6" s="1"/>
  <c r="C34" i="6" s="1"/>
  <c r="C35" i="6" s="1"/>
  <c r="C36" i="6" s="1"/>
  <c r="C37" i="6" s="1"/>
  <c r="C38" i="6" s="1"/>
  <c r="C39" i="6" s="1"/>
  <c r="A55" i="17"/>
  <c r="A54" i="17"/>
  <c r="J3" i="2"/>
  <c r="D10" i="2"/>
  <c r="D13" i="2" s="1"/>
  <c r="F16" i="1"/>
  <c r="K190" i="1"/>
  <c r="K281" i="1"/>
  <c r="K105" i="1"/>
  <c r="K31" i="1"/>
  <c r="D34" i="1"/>
  <c r="B48" i="1"/>
  <c r="B56" i="1" s="1"/>
  <c r="F48" i="1"/>
  <c r="F64" i="1" s="1"/>
  <c r="F143" i="1" s="1"/>
  <c r="G48" i="1"/>
  <c r="B49" i="1"/>
  <c r="B57" i="1" s="1"/>
  <c r="F49" i="1"/>
  <c r="F75" i="1" s="1"/>
  <c r="B50" i="1"/>
  <c r="B58" i="1" s="1"/>
  <c r="G50" i="1"/>
  <c r="B51" i="1"/>
  <c r="B59" i="1" s="1"/>
  <c r="B52" i="1"/>
  <c r="B60" i="1" s="1"/>
  <c r="D108" i="1"/>
  <c r="F120" i="1"/>
  <c r="F121" i="1" s="1"/>
  <c r="F122" i="1"/>
  <c r="B134" i="1"/>
  <c r="F140" i="1"/>
  <c r="F144" i="1"/>
  <c r="D193" i="1"/>
  <c r="I221" i="1"/>
  <c r="D284" i="1"/>
  <c r="I260" i="1"/>
  <c r="G223" i="1"/>
  <c r="D218" i="1"/>
  <c r="M23" i="14"/>
  <c r="D250" i="1" s="1"/>
  <c r="D142" i="1"/>
  <c r="L23" i="14"/>
  <c r="I18" i="4" s="1"/>
  <c r="I17" i="3" l="1"/>
  <c r="I17" i="4"/>
  <c r="G16" i="27"/>
  <c r="D302" i="1" s="1"/>
  <c r="D149" i="1" s="1"/>
  <c r="I14" i="3"/>
  <c r="I14" i="4"/>
  <c r="G75" i="1"/>
  <c r="G16" i="1"/>
  <c r="G131" i="1"/>
  <c r="G49" i="1"/>
  <c r="I22" i="3"/>
  <c r="I22" i="4"/>
  <c r="G41" i="1"/>
  <c r="E215" i="1"/>
  <c r="G215" i="1" s="1"/>
  <c r="D139" i="1"/>
  <c r="D43" i="13"/>
  <c r="M3" i="10"/>
  <c r="D251" i="1"/>
  <c r="I15" i="3"/>
  <c r="H52" i="21"/>
  <c r="D19" i="21"/>
  <c r="G19" i="21" s="1"/>
  <c r="D252" i="1"/>
  <c r="I18" i="3"/>
  <c r="D19" i="20"/>
  <c r="G19" i="20" s="1"/>
  <c r="G18" i="19"/>
  <c r="G19" i="19"/>
  <c r="G17" i="19"/>
  <c r="G14" i="1"/>
  <c r="I14" i="1" s="1"/>
  <c r="D140" i="1"/>
  <c r="M41" i="6"/>
  <c r="D56" i="1"/>
  <c r="D59" i="1"/>
  <c r="I208" i="1"/>
  <c r="D58" i="1"/>
  <c r="D57" i="1"/>
  <c r="I209" i="1"/>
  <c r="G15" i="1"/>
  <c r="I15" i="1" s="1"/>
  <c r="D45" i="1"/>
  <c r="D60" i="1"/>
  <c r="E24" i="20"/>
  <c r="I31" i="3"/>
  <c r="D53" i="1"/>
  <c r="G33" i="10" l="1"/>
  <c r="G42" i="11" s="1"/>
  <c r="E6" i="10"/>
  <c r="D146" i="1"/>
  <c r="I41" i="1"/>
  <c r="D153" i="1"/>
  <c r="I45" i="4"/>
  <c r="I23" i="3"/>
  <c r="I23" i="4"/>
  <c r="I24" i="3"/>
  <c r="I24" i="4"/>
  <c r="I19" i="20"/>
  <c r="D20" i="20" s="1"/>
  <c r="G251" i="1"/>
  <c r="D61" i="1"/>
  <c r="G218" i="1"/>
  <c r="I218" i="1" s="1"/>
  <c r="I45" i="3"/>
  <c r="I210" i="1"/>
  <c r="I16" i="1"/>
  <c r="E25" i="20"/>
  <c r="I51" i="4" l="1"/>
  <c r="I51" i="3"/>
  <c r="I49" i="4"/>
  <c r="D160" i="1"/>
  <c r="G118" i="1"/>
  <c r="I118" i="1" s="1"/>
  <c r="G119" i="1"/>
  <c r="G20" i="20"/>
  <c r="I20" i="20" s="1"/>
  <c r="D21" i="20" s="1"/>
  <c r="G21" i="20" s="1"/>
  <c r="I21" i="20" s="1"/>
  <c r="D22" i="20" s="1"/>
  <c r="G22" i="20" s="1"/>
  <c r="D159" i="1"/>
  <c r="I56" i="4"/>
  <c r="D158" i="1"/>
  <c r="G124" i="1"/>
  <c r="I124" i="1" s="1"/>
  <c r="G120" i="1"/>
  <c r="I120" i="1" s="1"/>
  <c r="G121" i="1"/>
  <c r="I121" i="1" s="1"/>
  <c r="G132" i="1"/>
  <c r="G140" i="1"/>
  <c r="G51" i="1"/>
  <c r="G113" i="1"/>
  <c r="I113" i="1" s="1"/>
  <c r="G122" i="1"/>
  <c r="I122" i="1" s="1"/>
  <c r="I32" i="3"/>
  <c r="I32" i="4"/>
  <c r="E15" i="12"/>
  <c r="E16" i="12" s="1"/>
  <c r="E18" i="12" s="1"/>
  <c r="D125" i="1" s="1"/>
  <c r="G32" i="9"/>
  <c r="G28" i="9"/>
  <c r="G29" i="9"/>
  <c r="G30" i="9"/>
  <c r="G31" i="9"/>
  <c r="G43" i="1"/>
  <c r="I43" i="1" s="1"/>
  <c r="I223" i="1"/>
  <c r="K223" i="1" s="1"/>
  <c r="G139" i="1"/>
  <c r="I49" i="3"/>
  <c r="I19" i="21"/>
  <c r="D20" i="21" s="1"/>
  <c r="D253" i="1"/>
  <c r="G79" i="1"/>
  <c r="I79" i="1" s="1"/>
  <c r="G18" i="17"/>
  <c r="I49" i="1"/>
  <c r="E26" i="20"/>
  <c r="D128" i="1" l="1"/>
  <c r="D78" i="1" s="1"/>
  <c r="G20" i="21"/>
  <c r="I20" i="21" s="1"/>
  <c r="D21" i="21" s="1"/>
  <c r="G21" i="21" s="1"/>
  <c r="I21" i="21" s="1"/>
  <c r="D22" i="21" s="1"/>
  <c r="G22" i="21" s="1"/>
  <c r="G44" i="1"/>
  <c r="I44" i="1" s="1"/>
  <c r="I45" i="1" s="1"/>
  <c r="G126" i="1"/>
  <c r="G134" i="1"/>
  <c r="G52" i="1"/>
  <c r="I52" i="1" s="1"/>
  <c r="I123" i="1"/>
  <c r="I25" i="3"/>
  <c r="I25" i="4"/>
  <c r="I57" i="1"/>
  <c r="G19" i="17" s="1"/>
  <c r="I51" i="1"/>
  <c r="I59" i="1" s="1"/>
  <c r="I22" i="20"/>
  <c r="D23" i="20" s="1"/>
  <c r="G23" i="20" s="1"/>
  <c r="I56" i="3"/>
  <c r="E252" i="1"/>
  <c r="E251" i="1"/>
  <c r="I28" i="4" s="1"/>
  <c r="I36" i="4" s="1"/>
  <c r="E250" i="1"/>
  <c r="I27" i="4" s="1"/>
  <c r="I35" i="4" s="1"/>
  <c r="E27" i="20"/>
  <c r="I131" i="1"/>
  <c r="I75" i="1"/>
  <c r="D81" i="1" l="1"/>
  <c r="I38" i="4"/>
  <c r="I46" i="4" s="1"/>
  <c r="I252" i="1"/>
  <c r="I29" i="4"/>
  <c r="I37" i="4" s="1"/>
  <c r="I53" i="1"/>
  <c r="G45" i="1"/>
  <c r="I60" i="1"/>
  <c r="I61" i="1" s="1"/>
  <c r="I126" i="1"/>
  <c r="I22" i="21"/>
  <c r="D23" i="21" s="1"/>
  <c r="G23" i="21" s="1"/>
  <c r="I29" i="3"/>
  <c r="I37" i="3" s="1"/>
  <c r="I250" i="1"/>
  <c r="I27" i="3"/>
  <c r="I35" i="3" s="1"/>
  <c r="I251" i="1"/>
  <c r="I28" i="3"/>
  <c r="I36" i="3" s="1"/>
  <c r="I23" i="20"/>
  <c r="D24" i="20" s="1"/>
  <c r="G24" i="20" s="1"/>
  <c r="E28" i="20"/>
  <c r="G158" i="1" l="1"/>
  <c r="G145" i="1"/>
  <c r="G144" i="1"/>
  <c r="F31" i="9"/>
  <c r="H31" i="9" s="1"/>
  <c r="D13" i="9" s="1"/>
  <c r="E13" i="9" s="1"/>
  <c r="E15" i="8" s="1"/>
  <c r="F32" i="9"/>
  <c r="H32" i="9" s="1"/>
  <c r="D14" i="9" s="1"/>
  <c r="F30" i="9"/>
  <c r="H30" i="9" s="1"/>
  <c r="D12" i="9" s="1"/>
  <c r="F29" i="9"/>
  <c r="H29" i="9" s="1"/>
  <c r="D11" i="9" s="1"/>
  <c r="F28" i="9"/>
  <c r="H28" i="9" s="1"/>
  <c r="I134" i="1"/>
  <c r="I253" i="1"/>
  <c r="AA10" i="25" s="1"/>
  <c r="I38" i="3"/>
  <c r="I46" i="3" s="1"/>
  <c r="I24" i="20"/>
  <c r="D25" i="20" s="1"/>
  <c r="G25" i="20" s="1"/>
  <c r="E29" i="20"/>
  <c r="D150" i="1" l="1"/>
  <c r="AB10" i="25" s="1"/>
  <c r="AC10" i="25" s="1"/>
  <c r="D10" i="9"/>
  <c r="H33" i="9"/>
  <c r="I23" i="21"/>
  <c r="D24" i="21" s="1"/>
  <c r="G24" i="21" s="1"/>
  <c r="I24" i="21" s="1"/>
  <c r="D25" i="21" s="1"/>
  <c r="G25" i="21" s="1"/>
  <c r="I25" i="20"/>
  <c r="D26" i="20" s="1"/>
  <c r="G26" i="20" s="1"/>
  <c r="E30" i="20"/>
  <c r="E10" i="9" l="1"/>
  <c r="F15" i="8" s="1"/>
  <c r="D15" i="9"/>
  <c r="I25" i="21"/>
  <c r="D26" i="21" s="1"/>
  <c r="G26" i="21" s="1"/>
  <c r="I26" i="20"/>
  <c r="D27" i="20" s="1"/>
  <c r="G27" i="20" s="1"/>
  <c r="E34" i="20"/>
  <c r="E37" i="20"/>
  <c r="E41" i="10" l="1"/>
  <c r="H41" i="10" s="1"/>
  <c r="J41" i="10" s="1"/>
  <c r="K24" i="8" s="1"/>
  <c r="F10" i="8" s="1"/>
  <c r="I26" i="21"/>
  <c r="D27" i="21" s="1"/>
  <c r="G27" i="21" s="1"/>
  <c r="I27" i="20"/>
  <c r="D28" i="20" s="1"/>
  <c r="G28" i="20" s="1"/>
  <c r="E38" i="20"/>
  <c r="K41" i="10" l="1"/>
  <c r="I27" i="21"/>
  <c r="D28" i="21" s="1"/>
  <c r="G28" i="21" s="1"/>
  <c r="E39" i="20"/>
  <c r="I28" i="21" l="1"/>
  <c r="D29" i="21" s="1"/>
  <c r="G29" i="21" s="1"/>
  <c r="I28" i="20"/>
  <c r="D29" i="20" s="1"/>
  <c r="G29" i="20" s="1"/>
  <c r="I29" i="20" s="1"/>
  <c r="D30" i="20" s="1"/>
  <c r="E40" i="20"/>
  <c r="G30" i="20" l="1"/>
  <c r="I30" i="20" s="1"/>
  <c r="I31" i="20" s="1"/>
  <c r="D34" i="20" s="1"/>
  <c r="G34" i="20" s="1"/>
  <c r="I29" i="21"/>
  <c r="D30" i="21" s="1"/>
  <c r="G30" i="21" s="1"/>
  <c r="E41" i="20"/>
  <c r="G31" i="20" l="1"/>
  <c r="I34" i="20"/>
  <c r="I30" i="21"/>
  <c r="I31" i="21" s="1"/>
  <c r="D34" i="21" s="1"/>
  <c r="G34" i="21" s="1"/>
  <c r="G31" i="21"/>
  <c r="E42" i="20"/>
  <c r="H37" i="20" l="1"/>
  <c r="H38" i="20" s="1"/>
  <c r="H39" i="20" s="1"/>
  <c r="H40" i="20" s="1"/>
  <c r="H41" i="20" s="1"/>
  <c r="H42" i="20" s="1"/>
  <c r="H43" i="20" s="1"/>
  <c r="H44" i="20" s="1"/>
  <c r="H45" i="20" s="1"/>
  <c r="H46" i="20" s="1"/>
  <c r="H47" i="20" s="1"/>
  <c r="H48" i="20" s="1"/>
  <c r="D37" i="20"/>
  <c r="G37" i="20" s="1"/>
  <c r="I34" i="21"/>
  <c r="E43" i="20"/>
  <c r="I37" i="20" l="1"/>
  <c r="D38" i="20" s="1"/>
  <c r="I38" i="20" s="1"/>
  <c r="D39" i="20" s="1"/>
  <c r="H51" i="20"/>
  <c r="I20" i="1" s="1"/>
  <c r="D37" i="21"/>
  <c r="H37" i="21"/>
  <c r="E44" i="20"/>
  <c r="G38" i="20" l="1"/>
  <c r="H53" i="20"/>
  <c r="H38" i="21"/>
  <c r="H39" i="21" s="1"/>
  <c r="H40" i="21" s="1"/>
  <c r="H41" i="21" s="1"/>
  <c r="H42" i="21" s="1"/>
  <c r="H43" i="21" s="1"/>
  <c r="H44" i="21" s="1"/>
  <c r="H45" i="21" s="1"/>
  <c r="H46" i="21" s="1"/>
  <c r="H47" i="21" s="1"/>
  <c r="H48" i="21" s="1"/>
  <c r="I37" i="21"/>
  <c r="D38" i="21" s="1"/>
  <c r="G37" i="21"/>
  <c r="I39" i="20"/>
  <c r="D40" i="20" s="1"/>
  <c r="G39" i="20"/>
  <c r="E45" i="20"/>
  <c r="H51" i="21" l="1"/>
  <c r="H53" i="21" s="1"/>
  <c r="L36" i="19" s="1"/>
  <c r="I38" i="21"/>
  <c r="D39" i="21" s="1"/>
  <c r="G38" i="21"/>
  <c r="I40" i="20"/>
  <c r="D41" i="20" s="1"/>
  <c r="G40" i="20"/>
  <c r="E46" i="20"/>
  <c r="I39" i="21" l="1"/>
  <c r="D40" i="21" s="1"/>
  <c r="G39" i="21"/>
  <c r="K17" i="19"/>
  <c r="L17" i="19" s="1"/>
  <c r="L34" i="19" s="1"/>
  <c r="K19" i="19"/>
  <c r="L19" i="19" s="1"/>
  <c r="K18" i="19"/>
  <c r="L18" i="19" s="1"/>
  <c r="I41" i="20"/>
  <c r="D42" i="20" s="1"/>
  <c r="G41" i="20"/>
  <c r="E47" i="20"/>
  <c r="I40" i="21" l="1"/>
  <c r="D41" i="21" s="1"/>
  <c r="G40" i="21"/>
  <c r="I42" i="20"/>
  <c r="D43" i="20" s="1"/>
  <c r="G42" i="20"/>
  <c r="E48" i="20"/>
  <c r="I41" i="21" l="1"/>
  <c r="D42" i="21" s="1"/>
  <c r="G41" i="21"/>
  <c r="G43" i="20"/>
  <c r="I43" i="20"/>
  <c r="D44" i="20" s="1"/>
  <c r="I42" i="21" l="1"/>
  <c r="D43" i="21" s="1"/>
  <c r="G42" i="21"/>
  <c r="I44" i="20"/>
  <c r="D45" i="20" s="1"/>
  <c r="G44" i="20"/>
  <c r="I43" i="21" l="1"/>
  <c r="D44" i="21" s="1"/>
  <c r="G43" i="21"/>
  <c r="G45" i="20"/>
  <c r="I45" i="20"/>
  <c r="D46" i="20" s="1"/>
  <c r="I44" i="21" l="1"/>
  <c r="D45" i="21" s="1"/>
  <c r="G44" i="21"/>
  <c r="G46" i="20"/>
  <c r="I46" i="20"/>
  <c r="D47" i="20" s="1"/>
  <c r="I45" i="21" l="1"/>
  <c r="D46" i="21" s="1"/>
  <c r="G45" i="21"/>
  <c r="I47" i="20"/>
  <c r="D48" i="20" s="1"/>
  <c r="G47" i="20"/>
  <c r="I46" i="21" l="1"/>
  <c r="D47" i="21" s="1"/>
  <c r="G46" i="21"/>
  <c r="I48" i="20"/>
  <c r="G48" i="20"/>
  <c r="G49" i="20" s="1"/>
  <c r="I47" i="21" l="1"/>
  <c r="D48" i="21" s="1"/>
  <c r="G47" i="21"/>
  <c r="G66" i="1"/>
  <c r="G67" i="1" s="1"/>
  <c r="I132" i="1"/>
  <c r="I135" i="1" s="1"/>
  <c r="G26" i="17" l="1"/>
  <c r="G71" i="1"/>
  <c r="I71" i="1" s="1"/>
  <c r="G68" i="1"/>
  <c r="G69" i="1" s="1"/>
  <c r="I48" i="21"/>
  <c r="G48" i="21"/>
  <c r="G49" i="21" s="1"/>
  <c r="G27" i="17" l="1"/>
  <c r="I27" i="17" s="1"/>
  <c r="G70" i="1"/>
  <c r="I70" i="1" s="1"/>
  <c r="I69" i="1"/>
  <c r="G80" i="1"/>
  <c r="I80" i="1" s="1"/>
  <c r="G142" i="1"/>
  <c r="I119" i="1" l="1"/>
  <c r="I116" i="1"/>
  <c r="I145" i="1"/>
  <c r="I144" i="1"/>
  <c r="I142" i="1"/>
  <c r="I158" i="1"/>
  <c r="E10" i="8"/>
  <c r="D64" i="1" s="1"/>
  <c r="I159" i="1"/>
  <c r="I55" i="3" l="1"/>
  <c r="I55" i="4"/>
  <c r="I54" i="3"/>
  <c r="I54" i="4"/>
  <c r="G160" i="1"/>
  <c r="I160" i="1" s="1"/>
  <c r="I68" i="1" l="1"/>
  <c r="I125" i="1"/>
  <c r="I128" i="1" l="1"/>
  <c r="I78" i="1" s="1"/>
  <c r="I139" i="1"/>
  <c r="I140" i="1"/>
  <c r="I81" i="1" l="1"/>
  <c r="G22" i="17"/>
  <c r="G23" i="17" s="1"/>
  <c r="I23" i="17" s="1"/>
  <c r="I146" i="1"/>
  <c r="G30" i="17" l="1"/>
  <c r="G31" i="17" s="1"/>
  <c r="I31" i="17" s="1"/>
  <c r="I33" i="17" s="1"/>
  <c r="F62" i="17" s="1"/>
  <c r="G62" i="17" s="1"/>
  <c r="F63" i="17" l="1"/>
  <c r="G63" i="17" s="1"/>
  <c r="D65" i="1"/>
  <c r="I65" i="1" l="1"/>
  <c r="C12" i="9" l="1"/>
  <c r="E12" i="9" l="1"/>
  <c r="H15" i="8" s="1"/>
  <c r="C11" i="9"/>
  <c r="E11" i="9" l="1"/>
  <c r="E39" i="10"/>
  <c r="H39" i="10" l="1"/>
  <c r="G15" i="8"/>
  <c r="E43" i="10" l="1"/>
  <c r="J39" i="10"/>
  <c r="K39" i="10" l="1"/>
  <c r="K32" i="8"/>
  <c r="H10" i="8" s="1"/>
  <c r="H43" i="10"/>
  <c r="E45" i="10"/>
  <c r="D67" i="1" l="1"/>
  <c r="I67" i="1" s="1"/>
  <c r="J43" i="10"/>
  <c r="H45" i="10"/>
  <c r="K28" i="8" l="1"/>
  <c r="G10" i="8" s="1"/>
  <c r="K43" i="10"/>
  <c r="K45" i="10" s="1"/>
  <c r="J45" i="10"/>
  <c r="D66" i="1" l="1"/>
  <c r="L10" i="8"/>
  <c r="D73" i="1" l="1"/>
  <c r="D83" i="1" s="1"/>
  <c r="I66" i="1"/>
  <c r="I73" i="1" l="1"/>
  <c r="I83" i="1" s="1"/>
  <c r="D163" i="1"/>
  <c r="D157" i="1" s="1"/>
  <c r="D161" i="1" s="1"/>
  <c r="I8" i="3" l="1"/>
  <c r="I40" i="3" s="1"/>
  <c r="I53" i="3" s="1"/>
  <c r="I8" i="4"/>
  <c r="D166" i="1"/>
  <c r="I163" i="1"/>
  <c r="I231" i="1" s="1"/>
  <c r="I57" i="3" l="1"/>
  <c r="I61" i="3" s="1"/>
  <c r="G40" i="17"/>
  <c r="G41" i="17" s="1"/>
  <c r="I41" i="17" s="1"/>
  <c r="I63" i="3"/>
  <c r="I157" i="1"/>
  <c r="I161" i="1" s="1"/>
  <c r="I230" i="1" s="1"/>
  <c r="I232" i="1" s="1"/>
  <c r="I40" i="4"/>
  <c r="I236" i="1" s="1"/>
  <c r="I66" i="4"/>
  <c r="AK14" i="5" l="1"/>
  <c r="AK12" i="5"/>
  <c r="AK15" i="5"/>
  <c r="AK16" i="5"/>
  <c r="AK17" i="5"/>
  <c r="AK13" i="5"/>
  <c r="I64" i="3"/>
  <c r="G36" i="17"/>
  <c r="G37" i="17" s="1"/>
  <c r="I37" i="17" s="1"/>
  <c r="I43" i="17" s="1"/>
  <c r="I166" i="1"/>
  <c r="I63" i="4"/>
  <c r="I53" i="4"/>
  <c r="I57" i="4" s="1"/>
  <c r="I235" i="1" l="1"/>
  <c r="I237" i="1" s="1"/>
  <c r="I239" i="1" s="1"/>
  <c r="N62" i="17" s="1"/>
  <c r="I63" i="17"/>
  <c r="J63" i="17" s="1"/>
  <c r="L63" i="17" s="1"/>
  <c r="I62" i="17"/>
  <c r="J62" i="17" s="1"/>
  <c r="L62" i="17" s="1"/>
  <c r="I61" i="4"/>
  <c r="I64" i="4"/>
  <c r="N63" i="17" l="1"/>
  <c r="O63" i="17" s="1"/>
  <c r="Q63" i="17" s="1"/>
  <c r="AL14" i="5"/>
  <c r="AL13" i="5"/>
  <c r="AL16" i="5"/>
  <c r="AL12" i="5"/>
  <c r="AM12" i="5" s="1"/>
  <c r="AL17" i="5"/>
  <c r="AL15" i="5"/>
  <c r="I65" i="4"/>
  <c r="I67" i="4" s="1"/>
  <c r="O62" i="17" l="1"/>
  <c r="Q62" i="17" s="1"/>
  <c r="N83" i="17"/>
  <c r="D169" i="1" l="1"/>
  <c r="I169" i="1" s="1"/>
  <c r="O82" i="17"/>
  <c r="F217" i="9"/>
  <c r="C14" i="9" s="1"/>
  <c r="C217" i="9"/>
  <c r="D17" i="1" l="1"/>
  <c r="D18" i="1" s="1"/>
  <c r="E14" i="9"/>
  <c r="C15" i="9"/>
  <c r="I17" i="1" l="1"/>
  <c r="I18" i="1" s="1"/>
  <c r="AM13" i="5"/>
  <c r="AM14" i="5"/>
  <c r="AM15" i="5"/>
  <c r="AM16" i="5"/>
  <c r="AM17" i="5"/>
  <c r="E15" i="9"/>
  <c r="I15" i="8"/>
  <c r="L15" i="8" s="1"/>
  <c r="AM31" i="5" l="1"/>
  <c r="D168" i="1" l="1"/>
  <c r="D172" i="1" s="1"/>
  <c r="I168" i="1" l="1"/>
  <c r="I172" i="1" s="1"/>
  <c r="I11" i="1" s="1"/>
  <c r="I21" i="1" s="1"/>
  <c r="M12" i="25"/>
  <c r="K12" i="25"/>
  <c r="L12" i="25" s="1"/>
  <c r="L11" i="25"/>
  <c r="N12" i="25" l="1"/>
  <c r="O12" i="25" s="1"/>
  <c r="P12" i="25" s="1"/>
  <c r="Q12" i="25" s="1"/>
  <c r="R12" i="25" s="1"/>
  <c r="S12" i="25" s="1"/>
  <c r="T12" i="25" s="1"/>
  <c r="U12" i="25" s="1"/>
  <c r="V12" i="25" s="1"/>
  <c r="W12" i="25" s="1"/>
  <c r="X12" i="25" s="1"/>
  <c r="Y12" i="25" s="1"/>
  <c r="AA11" i="25"/>
  <c r="Z12" i="25" l="1"/>
  <c r="AA12" i="25" s="1"/>
  <c r="AB12" i="25" s="1"/>
  <c r="AC12" i="25" s="1"/>
  <c r="M13" i="25"/>
  <c r="K13" i="25"/>
  <c r="L13" i="25" s="1"/>
  <c r="AB11" i="25"/>
  <c r="AC11" i="25" s="1"/>
  <c r="N13" i="25" l="1"/>
  <c r="O13" i="25" s="1"/>
  <c r="P13" i="25" s="1"/>
  <c r="Q13" i="25" s="1"/>
  <c r="R13" i="25" s="1"/>
  <c r="S13" i="25" s="1"/>
  <c r="T13" i="25" s="1"/>
  <c r="U13" i="25" s="1"/>
  <c r="V13" i="25" s="1"/>
  <c r="W13" i="25" s="1"/>
  <c r="X13" i="25" s="1"/>
  <c r="Y13" i="25" s="1"/>
  <c r="Z13" i="25" l="1"/>
  <c r="K14" i="25" l="1"/>
  <c r="L14" i="25" s="1"/>
  <c r="M14" i="25"/>
  <c r="AA13" i="25"/>
  <c r="N14" i="25" l="1"/>
  <c r="AB13" i="25"/>
  <c r="AC13" i="25" s="1"/>
  <c r="O14" i="25" l="1"/>
  <c r="P14" i="25" s="1"/>
  <c r="M15" i="25"/>
  <c r="K15" i="25"/>
  <c r="L15" i="25" s="1"/>
  <c r="Q14" i="25" l="1"/>
  <c r="R14" i="25" s="1"/>
  <c r="S14" i="25" s="1"/>
  <c r="T14" i="25" s="1"/>
  <c r="U14" i="25" s="1"/>
  <c r="V14" i="25" s="1"/>
  <c r="W14" i="25" s="1"/>
  <c r="X14" i="25" s="1"/>
  <c r="Y14" i="25" s="1"/>
  <c r="N15" i="25"/>
  <c r="O15" i="25" s="1"/>
  <c r="P15" i="25" s="1"/>
  <c r="Q15" i="25" s="1"/>
  <c r="R15" i="25" s="1"/>
  <c r="S15" i="25" s="1"/>
  <c r="T15" i="25" s="1"/>
  <c r="U15" i="25" s="1"/>
  <c r="V15" i="25" s="1"/>
  <c r="W15" i="25" s="1"/>
  <c r="X15" i="25" s="1"/>
  <c r="Y15" i="25" s="1"/>
  <c r="Z14" i="25" l="1"/>
  <c r="AA14" i="25" s="1"/>
  <c r="AB14" i="25" s="1"/>
  <c r="AC14" i="25" s="1"/>
  <c r="M16" i="25"/>
  <c r="K16" i="25"/>
  <c r="L16" i="25" s="1"/>
  <c r="Z15" i="25"/>
  <c r="AA15" i="25" s="1"/>
  <c r="AB15" i="25" s="1"/>
  <c r="AC15" i="25" s="1"/>
  <c r="N16" i="25" l="1"/>
  <c r="O16" i="25" s="1"/>
  <c r="P16" i="25" s="1"/>
  <c r="Q16" i="25" s="1"/>
  <c r="R16" i="25" s="1"/>
  <c r="S16" i="25" s="1"/>
  <c r="T16" i="25" s="1"/>
  <c r="U16" i="25" s="1"/>
  <c r="V16" i="25" s="1"/>
  <c r="W16" i="25" s="1"/>
  <c r="X16" i="25" s="1"/>
  <c r="Y16" i="25" s="1"/>
  <c r="M17" i="25" l="1"/>
  <c r="K17" i="25"/>
  <c r="L17" i="25" s="1"/>
  <c r="Z16" i="25"/>
  <c r="AA16" i="25" s="1"/>
  <c r="AB16" i="25" s="1"/>
  <c r="AC16" i="25" s="1"/>
  <c r="N17" i="25" l="1"/>
  <c r="O17" i="25" s="1"/>
  <c r="P17" i="25" s="1"/>
  <c r="Q17" i="25" s="1"/>
  <c r="R17" i="25" s="1"/>
  <c r="S17" i="25" s="1"/>
  <c r="T17" i="25" s="1"/>
  <c r="U17" i="25" s="1"/>
  <c r="V17" i="25" s="1"/>
  <c r="W17" i="25" s="1"/>
  <c r="X17" i="25" s="1"/>
  <c r="Y17" i="25" s="1"/>
  <c r="M18" i="25" l="1"/>
  <c r="K18" i="25"/>
  <c r="L18" i="25" s="1"/>
  <c r="Z17" i="25"/>
  <c r="AA17" i="25" s="1"/>
  <c r="AB17" i="25" s="1"/>
  <c r="AC17" i="25" s="1"/>
  <c r="N18" i="25" l="1"/>
  <c r="O18" i="25" s="1"/>
  <c r="P18" i="25" s="1"/>
  <c r="Q18" i="25" s="1"/>
  <c r="R18" i="25" l="1"/>
  <c r="S18" i="25" s="1"/>
  <c r="M19" i="25"/>
  <c r="K19" i="25"/>
  <c r="L19" i="25" s="1"/>
  <c r="T18" i="25" l="1"/>
  <c r="U18" i="25" s="1"/>
  <c r="N19" i="25"/>
  <c r="O19" i="25" s="1"/>
  <c r="P19" i="25" s="1"/>
  <c r="Q19" i="25" s="1"/>
  <c r="R19" i="25" s="1"/>
  <c r="S19" i="25" s="1"/>
  <c r="T19" i="25" s="1"/>
  <c r="U19" i="25" s="1"/>
  <c r="V19" i="25" s="1"/>
  <c r="W19" i="25" s="1"/>
  <c r="X19" i="25" s="1"/>
  <c r="Y19" i="25" s="1"/>
  <c r="V18" i="25" l="1"/>
  <c r="W18" i="25" s="1"/>
  <c r="X18" i="25" s="1"/>
  <c r="Y18" i="25" s="1"/>
  <c r="M20" i="25"/>
  <c r="K20" i="25"/>
  <c r="L20" i="25" s="1"/>
  <c r="Z19" i="25"/>
  <c r="AA19" i="25" s="1"/>
  <c r="AB19" i="25" s="1"/>
  <c r="AC19" i="25" s="1"/>
  <c r="Z18" i="25" l="1"/>
  <c r="AA18" i="25" s="1"/>
  <c r="AB18" i="25" s="1"/>
  <c r="AC18" i="25" s="1"/>
  <c r="N20" i="25"/>
  <c r="O20" i="25" s="1"/>
  <c r="P20" i="25" s="1"/>
  <c r="Q20" i="25" l="1"/>
  <c r="R20" i="25" l="1"/>
  <c r="S20" i="25" s="1"/>
  <c r="T20" i="25" s="1"/>
  <c r="U20" i="25" l="1"/>
  <c r="V20" i="25" s="1"/>
  <c r="W20" i="25" s="1"/>
  <c r="X20" i="25" l="1"/>
  <c r="Y20" i="25" s="1"/>
  <c r="Z20" i="25" s="1"/>
  <c r="AA20" i="25" s="1"/>
  <c r="AB20" i="25" s="1"/>
  <c r="AC20" i="25" s="1"/>
  <c r="AC24" i="25" s="1"/>
</calcChain>
</file>

<file path=xl/sharedStrings.xml><?xml version="1.0" encoding="utf-8"?>
<sst xmlns="http://schemas.openxmlformats.org/spreadsheetml/2006/main" count="2559" uniqueCount="1313">
  <si>
    <t>page 1 of 5</t>
  </si>
  <si>
    <t xml:space="preserve">Formula Rate - Non-Levelized </t>
  </si>
  <si>
    <t xml:space="preserve">     Rate Formula Template</t>
  </si>
  <si>
    <t xml:space="preserve"> </t>
  </si>
  <si>
    <t xml:space="preserve"> Utilizing FERC Form 1 Data</t>
  </si>
  <si>
    <t>Line</t>
  </si>
  <si>
    <t>Allocated</t>
  </si>
  <si>
    <t>No.</t>
  </si>
  <si>
    <t>Amount</t>
  </si>
  <si>
    <t>(Note T)</t>
  </si>
  <si>
    <t>Total</t>
  </si>
  <si>
    <t>Allocator</t>
  </si>
  <si>
    <t xml:space="preserve">  Account No. 454</t>
  </si>
  <si>
    <t>TP</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</si>
  <si>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</si>
  <si>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</si>
  <si>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</si>
  <si>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</si>
  <si>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</si>
  <si>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</si>
  <si>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</si>
  <si>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</si>
  <si>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</si>
  <si>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</si>
  <si>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</si>
  <si>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</si>
  <si>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</si>
  <si>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</si>
  <si>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</si>
  <si>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</si>
  <si>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</si>
  <si>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</si>
  <si>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</si>
  <si>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</si>
  <si>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</si>
  <si>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</si>
  <si>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</si>
  <si>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</si>
  <si>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</si>
  <si>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GP=</t>
  </si>
  <si>
    <t>ACCUMULATED DEPRECIATION</t>
  </si>
  <si>
    <t>219.20-24.c</t>
  </si>
  <si>
    <t>219.26.c</t>
  </si>
  <si>
    <t>NET PLANT IN SERVICE</t>
  </si>
  <si>
    <t xml:space="preserve">  Account No. 281 (enter negative)</t>
  </si>
  <si>
    <t xml:space="preserve">  Account No. 282 (enter negative)</t>
  </si>
  <si>
    <t xml:space="preserve">  Account No. 283 (enter negative)</t>
  </si>
  <si>
    <t xml:space="preserve">  Account No. 190 </t>
  </si>
  <si>
    <t xml:space="preserve">  Account No. 255 (enter negative)</t>
  </si>
  <si>
    <t xml:space="preserve">LAND HELD FOR FUTURE USE </t>
  </si>
  <si>
    <t xml:space="preserve">  CWC  </t>
  </si>
  <si>
    <t>TE</t>
  </si>
  <si>
    <t xml:space="preserve">  Prepayments (Account 165)</t>
  </si>
  <si>
    <t>GP</t>
  </si>
  <si>
    <t xml:space="preserve">     Less Account 565</t>
  </si>
  <si>
    <t xml:space="preserve">     Less FERC Annual Fees</t>
  </si>
  <si>
    <t xml:space="preserve">  LABOR RELATED</t>
  </si>
  <si>
    <t xml:space="preserve">          Payroll</t>
  </si>
  <si>
    <t>263.i</t>
  </si>
  <si>
    <t xml:space="preserve">          Highway and vehicle</t>
  </si>
  <si>
    <t xml:space="preserve">  PLANT RELATED</t>
  </si>
  <si>
    <t xml:space="preserve">         Property</t>
  </si>
  <si>
    <t xml:space="preserve">         Other</t>
  </si>
  <si>
    <t xml:space="preserve">         Payments in lieu of taxes</t>
  </si>
  <si>
    <t xml:space="preserve">INCOME TAXES          </t>
  </si>
  <si>
    <t xml:space="preserve">     T=1 - {[(1 - SIT) * (1 - FIT)] / (1 - SIT * FIT * p)} =</t>
  </si>
  <si>
    <t xml:space="preserve">       and FIT, SIT &amp; p are as given in footnote K.</t>
  </si>
  <si>
    <t>Total Income Taxes</t>
  </si>
  <si>
    <t xml:space="preserve">RETURN </t>
  </si>
  <si>
    <t xml:space="preserve">                SUPPORTING CALCULATIONS AND NOTES</t>
  </si>
  <si>
    <t>TRANSMISSION PLANT INCLUDED IN ISO RATES</t>
  </si>
  <si>
    <t>TP=</t>
  </si>
  <si>
    <t xml:space="preserve">TRANSMISSION EXPENSES </t>
  </si>
  <si>
    <t>TE=</t>
  </si>
  <si>
    <t>WAGES &amp; SALARY ALLOCATOR   (W&amp;S)</t>
  </si>
  <si>
    <t>Form 1 Reference</t>
  </si>
  <si>
    <t>$</t>
  </si>
  <si>
    <t>Allocation</t>
  </si>
  <si>
    <t>W&amp;S Allocator</t>
  </si>
  <si>
    <t xml:space="preserve">  Other</t>
  </si>
  <si>
    <t>($ / Allocation)</t>
  </si>
  <si>
    <t>=</t>
  </si>
  <si>
    <t>% Electric</t>
  </si>
  <si>
    <t xml:space="preserve">  Electric</t>
  </si>
  <si>
    <t>200.3.c</t>
  </si>
  <si>
    <t xml:space="preserve">  Gas</t>
  </si>
  <si>
    <t>201.3.d</t>
  </si>
  <si>
    <t>*</t>
  </si>
  <si>
    <t xml:space="preserve">  Water</t>
  </si>
  <si>
    <t>201.3.e</t>
  </si>
  <si>
    <t>RETURN (R)</t>
  </si>
  <si>
    <t>Common Stock</t>
  </si>
  <si>
    <t>Cost</t>
  </si>
  <si>
    <t>%</t>
  </si>
  <si>
    <t>(Note P)</t>
  </si>
  <si>
    <t>Weighted</t>
  </si>
  <si>
    <t>=WCLTD</t>
  </si>
  <si>
    <t>=R</t>
  </si>
  <si>
    <t>REVENUE CREDITS</t>
  </si>
  <si>
    <t>ACCOUNT 447 (SALES FOR RESALE)</t>
  </si>
  <si>
    <t>(310-311)</t>
  </si>
  <si>
    <t>(Note Q)</t>
  </si>
  <si>
    <t xml:space="preserve">  Total of (a)-(b)</t>
  </si>
  <si>
    <t>(330.x.n)</t>
  </si>
  <si>
    <t>page 5 of 5</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</si>
  <si>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</si>
  <si>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</si>
  <si>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</si>
  <si>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</si>
  <si>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</si>
  <si>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</si>
  <si>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</si>
  <si>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</si>
  <si>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</si>
  <si>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</si>
  <si>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</si>
  <si>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</si>
  <si>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</si>
  <si>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</si>
  <si>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</si>
  <si>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</si>
  <si>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</si>
  <si>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</si>
  <si>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</si>
  <si>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</si>
  <si>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</si>
  <si>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</si>
  <si>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</si>
  <si>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Q</t>
  </si>
  <si>
    <t>R</t>
  </si>
  <si>
    <t>Includes income related only to transmission facilities, such as pole attachments, rentals and special use.</t>
  </si>
  <si>
    <t>S</t>
  </si>
  <si>
    <t>T</t>
  </si>
  <si>
    <t>U</t>
  </si>
  <si>
    <t>V</t>
  </si>
  <si>
    <t>W</t>
  </si>
  <si>
    <t>205.46.g</t>
  </si>
  <si>
    <t>207.75.g</t>
  </si>
  <si>
    <t>354.20.b</t>
  </si>
  <si>
    <t>354.21.b</t>
  </si>
  <si>
    <t>354.23.b</t>
  </si>
  <si>
    <t>X</t>
  </si>
  <si>
    <t>Y</t>
  </si>
  <si>
    <t>page 3 of 5</t>
  </si>
  <si>
    <t>page 4 of 5</t>
  </si>
  <si>
    <t>Account Nos. 561.4, 561.8, and 575.7 consist of RTO expenses billed to load-serving entities and are not included in Transmission Owner revenue requirements.</t>
  </si>
  <si>
    <t>(Note E)</t>
  </si>
  <si>
    <t>(Note K)</t>
  </si>
  <si>
    <t>COMMON PLANT ALLOCATOR  (CE)  (Note O)</t>
  </si>
  <si>
    <t>= WS</t>
  </si>
  <si>
    <t>Preferred Dividends  (118.29c) (positive number)</t>
  </si>
  <si>
    <t>Inputs Required:</t>
  </si>
  <si>
    <t>Revenue Credits for Sched 1A  - Note A</t>
  </si>
  <si>
    <t>Net Schedule 1A Expenses (Line 1 - Line 2)</t>
  </si>
  <si>
    <t>Note:</t>
  </si>
  <si>
    <t>Project 1</t>
  </si>
  <si>
    <t>Project 2</t>
  </si>
  <si>
    <t>Project 3</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</si>
  <si>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</si>
  <si>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</si>
  <si>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</si>
  <si>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</si>
  <si>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</si>
  <si>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</si>
  <si>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</si>
  <si>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</si>
  <si>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</si>
  <si>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</si>
  <si>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</si>
  <si>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</si>
  <si>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</si>
  <si>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</si>
  <si>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</si>
  <si>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</si>
  <si>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</si>
  <si>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</si>
  <si>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</si>
  <si>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</si>
  <si>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</si>
  <si>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</si>
  <si>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</si>
  <si>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</si>
  <si>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</si>
  <si>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</si>
  <si>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</si>
  <si>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</si>
  <si>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</si>
  <si>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</si>
  <si>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</si>
  <si>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</si>
  <si>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</si>
  <si>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</si>
  <si>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</si>
  <si>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</si>
  <si>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</si>
  <si>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</si>
  <si>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</si>
  <si>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</si>
  <si>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</si>
  <si>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</si>
  <si>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</si>
  <si>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</si>
  <si>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</si>
  <si>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</si>
  <si>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</si>
  <si>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</si>
  <si>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</si>
  <si>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</si>
  <si>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</si>
  <si>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</si>
  <si>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</si>
  <si>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</si>
  <si>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</si>
  <si>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</si>
  <si>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</si>
  <si>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</si>
  <si>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</si>
  <si>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</si>
  <si>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</si>
  <si>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</si>
  <si>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</si>
  <si>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</si>
  <si>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</si>
  <si>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</si>
  <si>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</si>
  <si>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</si>
  <si>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</si>
  <si>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</si>
  <si>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</si>
  <si>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</si>
  <si>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</si>
  <si>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</si>
  <si>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</si>
  <si>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</si>
  <si>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</si>
  <si>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</si>
  <si>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Begin/End Average</t>
  </si>
  <si>
    <t>December 31</t>
  </si>
  <si>
    <t>(enter negative)</t>
  </si>
  <si>
    <t>[B]</t>
  </si>
  <si>
    <t>Property Taxes</t>
  </si>
  <si>
    <t>Highway and Vehicle Taxes</t>
  </si>
  <si>
    <t>Payroll Taxes</t>
  </si>
  <si>
    <t>Other Taxes</t>
  </si>
  <si>
    <t>Payroll Taxes Total</t>
  </si>
  <si>
    <t>Payments in lieu of taxes</t>
  </si>
  <si>
    <t>Proprietary</t>
  </si>
  <si>
    <t>Capital</t>
  </si>
  <si>
    <t>Preferred Stock</t>
  </si>
  <si>
    <t>Account 216.1</t>
  </si>
  <si>
    <t>Long Term Debt</t>
  </si>
  <si>
    <t>112.16.c</t>
  </si>
  <si>
    <t>112.12.c</t>
  </si>
  <si>
    <t>207.57.g</t>
  </si>
  <si>
    <t>True-up Adjustment</t>
  </si>
  <si>
    <t>Projected Annual Revenue Requirement</t>
  </si>
  <si>
    <t>Actual Annual Revenue Requirement</t>
  </si>
  <si>
    <t>Subtotal</t>
  </si>
  <si>
    <t>(a)</t>
  </si>
  <si>
    <t>(b)</t>
  </si>
  <si>
    <t xml:space="preserve">(c) </t>
  </si>
  <si>
    <t>(d)</t>
  </si>
  <si>
    <t>(e)</t>
  </si>
  <si>
    <t>(f)</t>
  </si>
  <si>
    <t>(g)</t>
  </si>
  <si>
    <t>(h)</t>
  </si>
  <si>
    <t>(i)</t>
  </si>
  <si>
    <t>(j)</t>
  </si>
  <si>
    <t>NOTE</t>
  </si>
  <si>
    <t xml:space="preserve">     Plus Transmission Related Reg. Comm.  Exp.  (Note I)</t>
  </si>
  <si>
    <t>Amortized Investment Tax Credit (266.8.f) (enter negative)</t>
  </si>
  <si>
    <t>Less transmission plant excluded from ISO rates  (Note M)</t>
  </si>
  <si>
    <t>Less transmission plant included in OATT Ancillary Services  (Note N )</t>
  </si>
  <si>
    <t xml:space="preserve">  a. Bundled Non-RQ Sales for Resale (311.x.h)</t>
  </si>
  <si>
    <t>ACCOUNT 454 (RENT FROM ELECTRIC PROPERTY)  (Note R)</t>
  </si>
  <si>
    <t>(State Income Tax Rate or Composite SIT)</t>
  </si>
  <si>
    <t>(percent of federal income tax deductible for state purposes)</t>
  </si>
  <si>
    <t>Calculate using average of beginning and end of year balance.</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</si>
  <si>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</si>
  <si>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</si>
  <si>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</si>
  <si>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</si>
  <si>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</si>
  <si>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</si>
  <si>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</si>
  <si>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</si>
  <si>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</si>
  <si>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  through December</t>
  </si>
  <si>
    <t>Over (Under) Recovery Plus Interest Amortized and Recovered Over 12 Months</t>
  </si>
  <si>
    <t>Less Over (Under) Recovery</t>
  </si>
  <si>
    <t>Total Interest</t>
  </si>
  <si>
    <t>True-Up with Interest</t>
  </si>
  <si>
    <t>Project Gross Plant</t>
  </si>
  <si>
    <t>336.7.b (Note U)</t>
  </si>
  <si>
    <t>336.1.f &amp; 336.10.f (Note U)</t>
  </si>
  <si>
    <t>336.11.b (Note U)</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</si>
  <si>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</si>
  <si>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</si>
  <si>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</si>
  <si>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</si>
  <si>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</si>
  <si>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FERC Account</t>
  </si>
  <si>
    <t>ACCOUNT 451 (MISCELLANEOUS SERVICE REVENUE) (Note S)</t>
  </si>
  <si>
    <t>(300.17.b)</t>
  </si>
  <si>
    <t>(300.19.b)</t>
  </si>
  <si>
    <t>Excludes revenues unrelated to transmission services.</t>
  </si>
  <si>
    <t>FAS 143 - ARO</t>
  </si>
  <si>
    <t>FAS 106</t>
  </si>
  <si>
    <t>FAS 109</t>
  </si>
  <si>
    <t>FERC Account No. 283  is adjusted for the following items.</t>
  </si>
  <si>
    <t>[D]</t>
  </si>
  <si>
    <t>[E]</t>
  </si>
  <si>
    <t>FERC Account No. 282 is adjusted for the following items.</t>
  </si>
  <si>
    <t>Section VIII.A</t>
  </si>
  <si>
    <t>Nominal Federal Income Tax Rate</t>
  </si>
  <si>
    <t>Nominal State Income Tax Rate</t>
  </si>
  <si>
    <t>Times Apportionment Percentage</t>
  </si>
  <si>
    <t>Combined State Income Tax Rate</t>
  </si>
  <si>
    <t>State Income Tax Rate</t>
  </si>
  <si>
    <t>Federal Income Tax Rate</t>
  </si>
  <si>
    <t>Combined Rate</t>
  </si>
  <si>
    <t>Return Calculation</t>
  </si>
  <si>
    <t>Income Tax Rates</t>
  </si>
  <si>
    <t>Source</t>
  </si>
  <si>
    <t xml:space="preserve">  CWIP</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</si>
  <si>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</si>
  <si>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</si>
  <si>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</si>
  <si>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</si>
  <si>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</si>
  <si>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</si>
  <si>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</si>
  <si>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</si>
  <si>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</si>
  <si>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</si>
  <si>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Calculation of PBOP Expenses</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</si>
  <si>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</si>
  <si>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</si>
  <si>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</si>
  <si>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</si>
  <si>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</si>
  <si>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</si>
  <si>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 xml:space="preserve">     PBOP Expense Adjustment in Year</t>
  </si>
  <si>
    <t>DA</t>
  </si>
  <si>
    <t>company records</t>
  </si>
  <si>
    <t>(Line 12 * Line 15)</t>
  </si>
  <si>
    <t>(Line 13 * Line 16)</t>
  </si>
  <si>
    <t>(Line 14 * Line 17)</t>
  </si>
  <si>
    <t>Sum lines 29 to 32</t>
  </si>
  <si>
    <t>(line 22 * line 24)</t>
  </si>
  <si>
    <t>(Line 22 + Line 33)</t>
  </si>
  <si>
    <t>Line 1</t>
  </si>
  <si>
    <t xml:space="preserve">Rate Base </t>
  </si>
  <si>
    <t>(Note G)</t>
  </si>
  <si>
    <t>Retail</t>
  </si>
  <si>
    <t xml:space="preserve">Plant </t>
  </si>
  <si>
    <t>Labor</t>
  </si>
  <si>
    <t>Related</t>
  </si>
  <si>
    <t>ADIT</t>
  </si>
  <si>
    <t>ADIT-283 From Account Total Below</t>
  </si>
  <si>
    <t>ADIT-190 From Account Total Below</t>
  </si>
  <si>
    <t>ADIT-190</t>
  </si>
  <si>
    <t xml:space="preserve">End of Year  </t>
  </si>
  <si>
    <t>Gas, Prod</t>
  </si>
  <si>
    <t>Only</t>
  </si>
  <si>
    <t>Balance</t>
  </si>
  <si>
    <t>Or Other</t>
  </si>
  <si>
    <t>p234.18.c</t>
  </si>
  <si>
    <t>JUSTIFICATION</t>
  </si>
  <si>
    <t>Instructions for Account 190:</t>
  </si>
  <si>
    <t xml:space="preserve"> 1.  ADIT items related only to Retail Related Operations are directly assigned to Column C.</t>
  </si>
  <si>
    <t xml:space="preserve"> 2.  ADIT items related only to Non-Electric Operations (e.g., Gas, Water, Sewer) or Production are directly assigned to Column D.</t>
  </si>
  <si>
    <t>3.  ADIT items related only to Transmission are directly assigned to Column E.</t>
  </si>
  <si>
    <t>4.  ADIT items related to Plant and not in Columns C, D &amp; E are directly assigned to Column F.</t>
  </si>
  <si>
    <t>5.  ADIT items related to labor and not in Columns C, D, E &amp; F are directly assigned to Column G.</t>
  </si>
  <si>
    <t xml:space="preserve"> 6. Deferred income taxes arise when items are included in taxable income in different periods than they are included in rates.  Therefore, if the item giving rise to the ADIT is not included in the formula, the associated ADIT amount shall be excluded.</t>
  </si>
  <si>
    <t>p275.9.k</t>
  </si>
  <si>
    <t>Instructions for Account 282:</t>
  </si>
  <si>
    <t>ADIT-283</t>
  </si>
  <si>
    <t>p277.19.k</t>
  </si>
  <si>
    <t>Instructions for Account 283:</t>
  </si>
  <si>
    <t>ADIT-281</t>
  </si>
  <si>
    <t>p273.8.k</t>
  </si>
  <si>
    <t>ADIT-281 From Account Total Below</t>
  </si>
  <si>
    <t>ADIT-255 From Account Total Below</t>
  </si>
  <si>
    <t>Instructions for Account 281:</t>
  </si>
  <si>
    <t>ADIT-255</t>
  </si>
  <si>
    <t>Instructions for Account 255:</t>
  </si>
  <si>
    <t>p267.h</t>
  </si>
  <si>
    <t>Accumulated Depreciation</t>
  </si>
  <si>
    <t>Project Net Plant</t>
  </si>
  <si>
    <t>Net Plant Detail</t>
  </si>
  <si>
    <t>Based on a 13-month average</t>
  </si>
  <si>
    <t>(line 12 divided by line 2, col. 3)</t>
  </si>
  <si>
    <t xml:space="preserve">Gross Plant </t>
  </si>
  <si>
    <t>Plant &amp; Labor</t>
  </si>
  <si>
    <t>Wages &amp; Salary</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</si>
  <si>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</si>
  <si>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</si>
  <si>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</si>
  <si>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</si>
  <si>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</si>
  <si>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</si>
  <si>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</si>
  <si>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</si>
  <si>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</si>
  <si>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</si>
  <si>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</si>
  <si>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</si>
  <si>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</si>
  <si>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</si>
  <si>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</si>
  <si>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</si>
  <si>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</si>
  <si>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</si>
  <si>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</si>
  <si>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</si>
  <si>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</si>
  <si>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</si>
  <si>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</si>
  <si>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</si>
  <si>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</si>
  <si>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</si>
  <si>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t = time</t>
  </si>
  <si>
    <t>The current portion of long term debt is included in the Net Amount Outstanding at t = N in these calculations.</t>
  </si>
  <si>
    <t>The outstanding amount (column (e)) for debt retired during the year is the outstanding amount at the last month it was outstanding.</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</si>
  <si>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</si>
  <si>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</si>
  <si>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</si>
  <si>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</si>
  <si>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</si>
  <si>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</si>
  <si>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</si>
  <si>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</si>
  <si>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</si>
  <si>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</si>
  <si>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</si>
  <si>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</si>
  <si>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(kk)</t>
  </si>
  <si>
    <t>(ll)</t>
  </si>
  <si>
    <t>(Discount)</t>
  </si>
  <si>
    <t xml:space="preserve">Loss/Gain on </t>
  </si>
  <si>
    <t>Less Related</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</si>
  <si>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</si>
  <si>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</si>
  <si>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</si>
  <si>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</si>
  <si>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</si>
  <si>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</si>
  <si>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</si>
  <si>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</si>
  <si>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</si>
  <si>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</si>
  <si>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</si>
  <si>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</si>
  <si>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</si>
  <si>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</si>
  <si>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</si>
  <si>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</si>
  <si>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</si>
  <si>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</si>
  <si>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</si>
  <si>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</si>
  <si>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</si>
  <si>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TOTALS</t>
  </si>
  <si>
    <t>* YTM at issuance calculated from an acceptable bond table or from YTM = Internal Rate of Return (IRR) calculation</t>
  </si>
  <si>
    <t>112.15.c</t>
  </si>
  <si>
    <t>Account 219</t>
  </si>
  <si>
    <t>(Table 2, Col. ll)</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</si>
  <si>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t>
  </si>
  <si>
    <t xml:space="preserve">  Account No. 451</t>
  </si>
  <si>
    <t xml:space="preserve">DA </t>
  </si>
  <si>
    <t>Total Annual Revenue Requirement</t>
  </si>
  <si>
    <t>Net Revenue Requirement
with True-up</t>
  </si>
  <si>
    <t>Pro-rated Q1</t>
  </si>
  <si>
    <t>Pro-rated Q2</t>
  </si>
  <si>
    <t>Pro-rated Q3</t>
  </si>
  <si>
    <t>Pro-rated Q4</t>
  </si>
  <si>
    <t>Amount included in revenues reported on pages 328-330 of FERC Form 1.</t>
  </si>
  <si>
    <t>% of Total Revenue Requirement</t>
  </si>
  <si>
    <t>Revenue Received</t>
  </si>
  <si>
    <t>Col c, line 1 * Col e</t>
  </si>
  <si>
    <t>2a</t>
  </si>
  <si>
    <t>2b</t>
  </si>
  <si>
    <t>2c</t>
  </si>
  <si>
    <t>GROSS REV. REQUIREMENT (WITHOUT INCENTIVE)</t>
  </si>
  <si>
    <t>NET REVENUE REQUIREMENT</t>
  </si>
  <si>
    <t>True-up Adjustment with Interest</t>
  </si>
  <si>
    <t>Actual RTEP Credit Revenues for true-up year</t>
  </si>
  <si>
    <t>4a</t>
  </si>
  <si>
    <t xml:space="preserve">Col. h + Col. i </t>
  </si>
  <si>
    <t>Sum of line 4, 6, &amp; 8</t>
  </si>
  <si>
    <t>Sum of line 11 and 13</t>
  </si>
  <si>
    <t>(Note B &amp; C)</t>
  </si>
  <si>
    <t xml:space="preserve">  TEC Revenue </t>
  </si>
  <si>
    <t>Goodwill</t>
  </si>
  <si>
    <t>233.5.f</t>
  </si>
  <si>
    <t>(Page 1, line 9)</t>
  </si>
  <si>
    <t>Page 1, line 14</t>
  </si>
  <si>
    <t>(Note C &amp; H)</t>
  </si>
  <si>
    <t>(Note D &amp; H)</t>
  </si>
  <si>
    <t>Additional Incentive Annual Allocation Factor for Return (Note F)</t>
  </si>
  <si>
    <t xml:space="preserve">ADIT- 282 </t>
  </si>
  <si>
    <t>End Plant</t>
  </si>
  <si>
    <t>End Labor</t>
  </si>
  <si>
    <t xml:space="preserve">End Plant &amp; Labor Related </t>
  </si>
  <si>
    <t xml:space="preserve">  Account No. 456</t>
  </si>
  <si>
    <t>ACCOUNT 456 (OTHER ELECTRIC REVENUE)  (Note V)</t>
  </si>
  <si>
    <t>[1]</t>
  </si>
  <si>
    <t>[2]</t>
  </si>
  <si>
    <t>[3]</t>
  </si>
  <si>
    <t>[4]</t>
  </si>
  <si>
    <t>[5]</t>
  </si>
  <si>
    <t>[6]</t>
  </si>
  <si>
    <t>[7]</t>
  </si>
  <si>
    <t>Attachment 3, Line 14, Col. 1 (Notes U &amp; X)</t>
  </si>
  <si>
    <t>Attachment 3, Line 14, Col. 3 (Notes U &amp; X)</t>
  </si>
  <si>
    <t>Attachment 4, Line 14, Col. 1 (Notes U &amp; X)</t>
  </si>
  <si>
    <t>Attachment 4, Line 14, Col. 3 (Notes U &amp; X)</t>
  </si>
  <si>
    <t>1a</t>
  </si>
  <si>
    <t>1b</t>
  </si>
  <si>
    <t>1c</t>
  </si>
  <si>
    <t>2</t>
  </si>
  <si>
    <t>3b</t>
  </si>
  <si>
    <t>3c</t>
  </si>
  <si>
    <t>5a</t>
  </si>
  <si>
    <t>5b</t>
  </si>
  <si>
    <t>5c</t>
  </si>
  <si>
    <t>1z</t>
  </si>
  <si>
    <t>2z</t>
  </si>
  <si>
    <t>3z</t>
  </si>
  <si>
    <t>4z</t>
  </si>
  <si>
    <t>5z</t>
  </si>
  <si>
    <t>6z</t>
  </si>
  <si>
    <t>Total other than income taxes (sum lines 1z, 2z, 3z, 4z, 5z, 6z) 
[tie to 114.14c]</t>
  </si>
  <si>
    <t>Z</t>
  </si>
  <si>
    <t xml:space="preserve">Includes only CWIP authorized by the Commission for inclusion in rate base.  </t>
  </si>
  <si>
    <t>AA</t>
  </si>
  <si>
    <t>BB</t>
  </si>
  <si>
    <t xml:space="preserve">  Unfunded Reserve Plant-related (enter negative) </t>
  </si>
  <si>
    <t xml:space="preserve">  Unfunded Reserve Labor-related (enter negative) </t>
  </si>
  <si>
    <t>Rate Base</t>
  </si>
  <si>
    <t>Preferred Dividends</t>
  </si>
  <si>
    <t xml:space="preserve"> enter positive</t>
  </si>
  <si>
    <t>Proprietary Capital</t>
  </si>
  <si>
    <t>Capitalization</t>
  </si>
  <si>
    <t>Debt %</t>
  </si>
  <si>
    <t>Preferred %</t>
  </si>
  <si>
    <t>Common %</t>
  </si>
  <si>
    <t>Preferred Cost</t>
  </si>
  <si>
    <t>Common Cost</t>
  </si>
  <si>
    <t>Weighted Cost of Debt</t>
  </si>
  <si>
    <t>Weighted Cost of Preferred</t>
  </si>
  <si>
    <t>Weighted Cost of Common</t>
  </si>
  <si>
    <t>Investment Return = Rate Base * Rate of Return</t>
  </si>
  <si>
    <t>Incentive ROE Calculation</t>
  </si>
  <si>
    <t>Gross Plant Calculation</t>
  </si>
  <si>
    <t>Accumulated Depreciation Calculation</t>
  </si>
  <si>
    <t>Taxes Other than Income Calculation</t>
  </si>
  <si>
    <t>Capital Structure Calculation</t>
  </si>
  <si>
    <t>Stated Value Inputs</t>
  </si>
  <si>
    <t>Debt Cost Calculation</t>
  </si>
  <si>
    <t>To be completed after Attachment 11 for the True-up Year is updated using actual data</t>
  </si>
  <si>
    <t>Utilizing a 13-month average.              [C] Taken to Attachment 11, Page 2, Col. 6</t>
  </si>
  <si>
    <t>Other Rate Base Items</t>
  </si>
  <si>
    <t>Attachment 8, Line 14, Col. 1</t>
  </si>
  <si>
    <t>Attachment 8, Line 14, Col. 6</t>
  </si>
  <si>
    <t>3a</t>
  </si>
  <si>
    <t>Net Revenue Requirement True-up with Interest</t>
  </si>
  <si>
    <t>Actual Revenues for Attachment 11</t>
  </si>
  <si>
    <t>Transmission-related only</t>
  </si>
  <si>
    <t>3d</t>
  </si>
  <si>
    <t>1d</t>
  </si>
  <si>
    <t>5d</t>
  </si>
  <si>
    <t>112.3.c</t>
  </si>
  <si>
    <t>207.98.g</t>
  </si>
  <si>
    <t>[G]</t>
  </si>
  <si>
    <t>CIAC</t>
  </si>
  <si>
    <t>Incremental Return and incomes taxes for increase in ROE</t>
  </si>
  <si>
    <t>Incremental Return and incomes taxes for increase in ROE divided by rate base</t>
  </si>
  <si>
    <t>page 1 of 6</t>
  </si>
  <si>
    <t>page 6 of 6</t>
  </si>
  <si>
    <t>page 5 of 6</t>
  </si>
  <si>
    <t>page 4 of 6</t>
  </si>
  <si>
    <t>page 3 of 6</t>
  </si>
  <si>
    <t>Prepayments shall exclude prepayments of income taxes.</t>
  </si>
  <si>
    <t xml:space="preserve">ADJUSTMENTS TO RATE BASE  </t>
  </si>
  <si>
    <t>(table 2, col. cc)</t>
  </si>
  <si>
    <t>(table 2, col. hh)</t>
  </si>
  <si>
    <t>(col. g/col. g total)</t>
  </si>
  <si>
    <t>((col e. * col. F)/12)</t>
  </si>
  <si>
    <t>(col. cc * col. jj)</t>
  </si>
  <si>
    <t>(line 10 divided by line 2, col. 3)</t>
  </si>
  <si>
    <t>[A] [C]</t>
  </si>
  <si>
    <t>Asset Retirement Costs</t>
  </si>
  <si>
    <t>cost per labor dollar (line 3 / line 4)</t>
  </si>
  <si>
    <t>PBOP Expense for current year (line 5 * line 6)</t>
  </si>
  <si>
    <t xml:space="preserve"> Transmission Ending</t>
  </si>
  <si>
    <t>ADIT-283 From Account Subtotal Below</t>
  </si>
  <si>
    <t>ADIT-190 From Account Subtotal Below</t>
  </si>
  <si>
    <t>ADIT-281 From Account Subtotal Below</t>
  </si>
  <si>
    <t>ADIT-255 From Account Subtotal Below</t>
  </si>
  <si>
    <t>Total Transmission Ending</t>
  </si>
  <si>
    <t>From column F (beginning on page 2)</t>
  </si>
  <si>
    <t>From column G (beginning on page 2)</t>
  </si>
  <si>
    <t>(Note F)</t>
  </si>
  <si>
    <t>Total (sum rows 1-5)</t>
  </si>
  <si>
    <t>ADIT Transmission Total (including Plant &amp; Labor Related Transmission ADITs and applicable transmission adjustments from notes below)</t>
  </si>
  <si>
    <t>TEC Revenue Requirement True-up with Interest</t>
  </si>
  <si>
    <t>True-up Adjustment Principal
Over/(Under)</t>
  </si>
  <si>
    <t>Applicable Interest Rate on 
Over/(Under)</t>
  </si>
  <si>
    <t xml:space="preserve">Total FirstEnergy PBOP expenses </t>
  </si>
  <si>
    <t>Labor dollars (FirstEnergy)</t>
  </si>
  <si>
    <t>Total Interest (Sourced from Attachment 13a, line 30)</t>
  </si>
  <si>
    <t>Company Records</t>
  </si>
  <si>
    <t>207.74.g</t>
  </si>
  <si>
    <t xml:space="preserve">GROSS REV. REQUIREMENT </t>
  </si>
  <si>
    <t>Reserve for Depreciation of Asset Retirement Costs</t>
  </si>
  <si>
    <t>Balance excludes Asset Retirements Costs</t>
  </si>
  <si>
    <t>Balance excludes reserve for depreciation of asset retirement costs</t>
  </si>
  <si>
    <t>From column E (beginning on page 2) by account</t>
  </si>
  <si>
    <t>page 2 of 6</t>
  </si>
  <si>
    <t>Beginning 283 Including adjustments)</t>
  </si>
  <si>
    <t>Q1 Activity</t>
  </si>
  <si>
    <t>Ending Q1</t>
  </si>
  <si>
    <t>Q2 Activity</t>
  </si>
  <si>
    <t xml:space="preserve">Ending Q2 </t>
  </si>
  <si>
    <t>Q3 Activity</t>
  </si>
  <si>
    <t xml:space="preserve">Ending Q3 </t>
  </si>
  <si>
    <t>Q4 Activity</t>
  </si>
  <si>
    <t>Ending Q4</t>
  </si>
  <si>
    <r>
      <t>Effective Cost Rate of Individual Debenture (YTM at issuance):  the t=0 Cashflow C</t>
    </r>
    <r>
      <rPr>
        <vertAlign val="subscript"/>
        <sz val="10"/>
        <rFont val="Arial"/>
        <family val="2"/>
      </rPr>
      <t xml:space="preserve">o </t>
    </r>
    <r>
      <rPr>
        <sz val="10"/>
        <rFont val="Arial"/>
        <family val="2"/>
      </rPr>
      <t>equals Net Proceeds column (gg); Semi-annual (or other) interest cashflows (C</t>
    </r>
    <r>
      <rPr>
        <vertAlign val="subscript"/>
        <sz val="10"/>
        <rFont val="Arial"/>
        <family val="2"/>
      </rPr>
      <t>t=1</t>
    </r>
    <r>
      <rPr>
        <sz val="10"/>
        <rFont val="Arial"/>
        <family val="2"/>
      </rPr>
      <t>, C</t>
    </r>
    <r>
      <rPr>
        <vertAlign val="subscript"/>
        <sz val="10"/>
        <rFont val="Arial"/>
        <family val="2"/>
      </rPr>
      <t>t=2</t>
    </r>
    <r>
      <rPr>
        <sz val="10"/>
        <rFont val="Arial"/>
        <family val="2"/>
      </rPr>
      <t>, etc.).</t>
    </r>
  </si>
  <si>
    <t>Transmission Enhancement Charge (TEC) Worksheet</t>
  </si>
  <si>
    <t>TEC Worksheet Support</t>
  </si>
  <si>
    <t>TEC - True-up</t>
  </si>
  <si>
    <t>205.44.g</t>
  </si>
  <si>
    <t>[D] Company records</t>
  </si>
  <si>
    <t>Removes transmission plant determined by Commission order to be state-jurisdictional according to the seven-factor test (until Form 1 balances are adjusted to reflect application of seven-factor test).</t>
  </si>
  <si>
    <t>Col d, line 2 / Col. d, line 3</t>
  </si>
  <si>
    <r>
      <t xml:space="preserve">Interest Rate on Amount of Refunds or Surcharges </t>
    </r>
    <r>
      <rPr>
        <vertAlign val="superscript"/>
        <sz val="12"/>
        <rFont val="Arial Narrow"/>
        <family val="2"/>
      </rPr>
      <t>[A]</t>
    </r>
  </si>
  <si>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</si>
  <si>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(Attachment 13, Line 28) enter negative</t>
  </si>
  <si>
    <t>Lines 3-4 cannot change absent a Section 205 or 206 filing approved or accepted by FERC in a separate proceeding</t>
  </si>
  <si>
    <t>COLUMN A</t>
  </si>
  <si>
    <t>COLUMN B</t>
  </si>
  <si>
    <t>COLUMN C</t>
  </si>
  <si>
    <t>COLUMN D</t>
  </si>
  <si>
    <t>COLUMN E</t>
  </si>
  <si>
    <t>COLUMN F</t>
  </si>
  <si>
    <t>Description</t>
  </si>
  <si>
    <r>
      <t xml:space="preserve">(col. cc + col. dd </t>
    </r>
    <r>
      <rPr>
        <sz val="12"/>
        <color rgb="FFFF0000"/>
        <rFont val="Arial"/>
        <family val="2"/>
      </rPr>
      <t>-</t>
    </r>
    <r>
      <rPr>
        <sz val="12"/>
        <rFont val="Arial"/>
        <family val="2"/>
      </rPr>
      <t xml:space="preserve"> col. ee </t>
    </r>
    <r>
      <rPr>
        <sz val="12"/>
        <color rgb="FFFF0000"/>
        <rFont val="Arial"/>
        <family val="2"/>
      </rPr>
      <t>-</t>
    </r>
    <r>
      <rPr>
        <sz val="12"/>
        <rFont val="Arial"/>
        <family val="2"/>
      </rPr>
      <t xml:space="preserve"> col. ff)</t>
    </r>
  </si>
  <si>
    <t>ARAM</t>
  </si>
  <si>
    <t>Protected (P)  Non-Protected (N)</t>
  </si>
  <si>
    <t>PTRR</t>
  </si>
  <si>
    <t>Page 1, B+D+F+H</t>
  </si>
  <si>
    <t>Page 1, row 3,7,11 Column A+B+D+F+H</t>
  </si>
  <si>
    <t>A-C</t>
  </si>
  <si>
    <t>D-E</t>
  </si>
  <si>
    <t>Account</t>
  </si>
  <si>
    <t xml:space="preserve">Projected Activity </t>
  </si>
  <si>
    <t>Prorated Ending Balance</t>
  </si>
  <si>
    <t>Prorated - Estimated End (Before Adjustments)</t>
  </si>
  <si>
    <t>Sum of end ADIT Adjustments</t>
  </si>
  <si>
    <t>Total Account 190</t>
  </si>
  <si>
    <t>Total Account 282</t>
  </si>
  <si>
    <t>Total Account 283</t>
  </si>
  <si>
    <t>Total ADIT Subject to Normalization</t>
  </si>
  <si>
    <t xml:space="preserve"> Notes:</t>
  </si>
  <si>
    <t>ATRR</t>
  </si>
  <si>
    <t>Page 1, row 4,8,12 column   A+B+D+F+H</t>
  </si>
  <si>
    <t>H-J</t>
  </si>
  <si>
    <t>D-K</t>
  </si>
  <si>
    <t>E-M</t>
  </si>
  <si>
    <t>K+L-M-N</t>
  </si>
  <si>
    <t>Actual Activity</t>
  </si>
  <si>
    <t>Prorated - Actual End (Before Adjustments)</t>
  </si>
  <si>
    <t>Prorated Activity  Not Projected</t>
  </si>
  <si>
    <t>ADIT Adjustments not projected</t>
  </si>
  <si>
    <t>1. Attachment 5c will only be populated within the ATRR</t>
  </si>
  <si>
    <t>Land Held for</t>
  </si>
  <si>
    <t>Materials &amp;</t>
  </si>
  <si>
    <t>Prepayments</t>
  </si>
  <si>
    <t>Future Use</t>
  </si>
  <si>
    <t>Supplies</t>
  </si>
  <si>
    <t>(Account 165)</t>
  </si>
  <si>
    <t>214.x.d</t>
  </si>
  <si>
    <t>227.8.c &amp; .16.c</t>
  </si>
  <si>
    <t>Unfunded Reserve - Plant Related</t>
  </si>
  <si>
    <t>FERC Acct No.</t>
  </si>
  <si>
    <t>112.27.c</t>
  </si>
  <si>
    <t>112.28.c</t>
  </si>
  <si>
    <t>112.29.c</t>
  </si>
  <si>
    <t>112.30.c</t>
  </si>
  <si>
    <t>113.48.c</t>
  </si>
  <si>
    <t>Unfunded Reserve - Labor Related</t>
  </si>
  <si>
    <t xml:space="preserve">Reference for December balances as would be reported in FERC Form 1.  </t>
  </si>
  <si>
    <t>Includes transmission-related balance only</t>
  </si>
  <si>
    <t>Attachment 14, Line 6, Col. 6 (Notes C &amp; Y)</t>
  </si>
  <si>
    <t>Attachment 14, Line 9, Col. 6 (Notes C &amp; Y)</t>
  </si>
  <si>
    <t>227.8.c &amp; .16.c (Attachment 14, Line 3, Col. 2) (Note Y)</t>
  </si>
  <si>
    <t>111.57.c (Attachment 14, Line 3, Col. 3) (Notes B &amp; Y)</t>
  </si>
  <si>
    <t>214.x.d (Attachment 14, Line 3, Col. 1) (Notes G &amp; Y)</t>
  </si>
  <si>
    <t>Page 1, row 2,4,6 Column A+B+D+F+H</t>
  </si>
  <si>
    <t>J-L</t>
  </si>
  <si>
    <t>M-N</t>
  </si>
  <si>
    <t>Line 7= J-N-O                               Lines 8-9= -J+N+O</t>
  </si>
  <si>
    <t>Beginning 190 (including adjustments)</t>
  </si>
  <si>
    <t xml:space="preserve">Beginning 282 (including adjustments) </t>
  </si>
  <si>
    <t xml:space="preserve">Beginning 283 Including adjustments) </t>
  </si>
  <si>
    <t xml:space="preserve">Beginning 190 (including adjustments) </t>
  </si>
  <si>
    <t>((col. hh / col. cc)*100)</t>
  </si>
  <si>
    <t>Summary of Transmission ADIT (Prior to adjusted items)</t>
  </si>
  <si>
    <t>(page 1, Col. K)</t>
  </si>
  <si>
    <t>(col. 2 + col. 3) (Note E)</t>
  </si>
  <si>
    <t>Total Transmission Ending taken to Attachment 5, line 2</t>
  </si>
  <si>
    <t>Years Remaining at Year End</t>
  </si>
  <si>
    <t xml:space="preserve">labor (labor not capitalized) current year, transmission only </t>
  </si>
  <si>
    <t>Total FirstEnergy PBOP expenses</t>
  </si>
  <si>
    <t>PBOP expense in Account 926 for current year, total company</t>
  </si>
  <si>
    <t xml:space="preserve">W&amp;S Labor Allocator </t>
  </si>
  <si>
    <t>Allocated Transmission PBOP (line 8 * line 9)</t>
  </si>
  <si>
    <t>Attachment 6, Line 11 (Note C)</t>
  </si>
  <si>
    <t>1. Attachment 5b will only be populated within the PTRR</t>
  </si>
  <si>
    <t>354.24, 354.25, 354.26.b</t>
  </si>
  <si>
    <t>Normalization [F]</t>
  </si>
  <si>
    <t>[F]</t>
  </si>
  <si>
    <t>Sourced from Attachment 5b, page 1, col. O for PTRR &amp; Attachment 5C, page 2, col. O for ATRR</t>
  </si>
  <si>
    <t>Attachment 5, Line 1, Col. 1 (Notes C, F)</t>
  </si>
  <si>
    <t>Attachment 5, Line 1, Col. 3 (Notes C, F)</t>
  </si>
  <si>
    <t>Attachment 5, Line 1, Col. 4 (Notes C, F)</t>
  </si>
  <si>
    <t>Attachment 5, Line 1, Col. 5 (Notes C, F)</t>
  </si>
  <si>
    <t>Col. A + Col. B</t>
  </si>
  <si>
    <t xml:space="preserve">(Col. A * Col. D) + (Col. B * Col. E) </t>
  </si>
  <si>
    <t>Line 1= A-E-F                               Lines 2-3= -A+E+F</t>
  </si>
  <si>
    <t>Line 5= H-M-O                               Lines 6-7= -H+M+O</t>
  </si>
  <si>
    <t xml:space="preserve">Upon enactment of changes in tax law, income tax rates (including changes in apportionment)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t>
  </si>
  <si>
    <t xml:space="preserve">113.48.c </t>
  </si>
  <si>
    <t>111.57.c [B]</t>
  </si>
  <si>
    <t>An over or under collection will be recovered prorata over 20XX, held for 20XX and returned prorate over 20XX</t>
  </si>
  <si>
    <t>20XX Revenue Requirement Collected by PJM Based on Forecast filed on Oct 31, 20XX</t>
  </si>
  <si>
    <t>TEC 20XX Revenue Requirement Collected by PJM Based on Forecast filed on Oct 31, 20XX</t>
  </si>
  <si>
    <t>Operation and Maintenance Expenses</t>
  </si>
  <si>
    <t>Account Reference</t>
  </si>
  <si>
    <t>Operation</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</si>
  <si>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</si>
  <si>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</si>
  <si>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</si>
  <si>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</si>
  <si>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</si>
  <si>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</si>
  <si>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</si>
  <si>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</si>
  <si>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</si>
  <si>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</si>
  <si>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</si>
  <si>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</si>
  <si>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Transmission of Electricity by Others</t>
  </si>
  <si>
    <t>Miscellaneous Transmission Expense</t>
  </si>
  <si>
    <t>Rents</t>
  </si>
  <si>
    <t>TOTAL Operation (Enter Total of Lines 83 thru 98)</t>
  </si>
  <si>
    <t>Maintenance</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</si>
  <si>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</si>
  <si>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</si>
  <si>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</si>
  <si>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</si>
  <si>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</si>
  <si>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</si>
  <si>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</si>
  <si>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</si>
  <si>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</si>
  <si>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</si>
  <si>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TOTAL Maintenance (Total of lines 101 thru 110)</t>
  </si>
  <si>
    <t>December balances as would be reported in FERC Form 1</t>
  </si>
  <si>
    <t>Administrative and General (A&amp;G) Expenses</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</si>
  <si>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</si>
  <si>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</si>
  <si>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</si>
  <si>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</si>
  <si>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</si>
  <si>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</si>
  <si>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</si>
  <si>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</si>
  <si>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</si>
  <si>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</si>
  <si>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</si>
  <si>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</si>
  <si>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</si>
  <si>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</si>
  <si>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Total Operation (Enter Total of lines 181 thru 193)</t>
  </si>
  <si>
    <t>Maintenance of General Plant</t>
  </si>
  <si>
    <t>Note: (1)</t>
  </si>
  <si>
    <t>TOTAL Transmission Expenses (Total of lines 99 and 111)</t>
  </si>
  <si>
    <t>TOTAL A&amp;G Expenses (Total of lines 194 and 196)</t>
  </si>
  <si>
    <t xml:space="preserve">cost per labor dollar </t>
  </si>
  <si>
    <t>Account 303 amortization period is 7 years.  </t>
  </si>
  <si>
    <t>FF1 Page 321 Line No.</t>
  </si>
  <si>
    <t>Account Balance [A]</t>
  </si>
  <si>
    <t xml:space="preserve">FF1 Page 323 Line No. </t>
  </si>
  <si>
    <t>Account Balance [B]</t>
  </si>
  <si>
    <t>Ending ADIT Balance Included in Formula Rate</t>
  </si>
  <si>
    <t>Normalization</t>
  </si>
  <si>
    <t>Other: [H]</t>
  </si>
  <si>
    <t>[H]</t>
  </si>
  <si>
    <t>Include any additional adjustments to ADIT items as may be recognized in the future to be proper for PTRR/ATRR calculation purposes.</t>
  </si>
  <si>
    <t>112.18-21.c</t>
  </si>
  <si>
    <t>Surcharge (Refund)</t>
  </si>
  <si>
    <t>(A)</t>
  </si>
  <si>
    <t>PJM Bill</t>
  </si>
  <si>
    <t>Month</t>
  </si>
  <si>
    <t>-</t>
  </si>
  <si>
    <t>Other</t>
  </si>
  <si>
    <t>Attachment 13b line 26, col E</t>
  </si>
  <si>
    <t>Annual, Compounded Monthly</t>
  </si>
  <si>
    <t>Return with incentive adder</t>
  </si>
  <si>
    <t>Income Tax with incentive adder</t>
  </si>
  <si>
    <t>Line 22</t>
  </si>
  <si>
    <t>Line 33</t>
  </si>
  <si>
    <t>Return and income taxes without adder</t>
  </si>
  <si>
    <t>Excess and Deficient ADIT</t>
  </si>
  <si>
    <t>Income Tax Adjustments Worksheet</t>
  </si>
  <si>
    <t>COLUMN G</t>
  </si>
  <si>
    <t>COLUMN H</t>
  </si>
  <si>
    <t>(Excess)/Deficient ADIT Transmission - Beg Balance of Year
(Note B)</t>
  </si>
  <si>
    <t>Current Period Other Activity
(Note C)</t>
  </si>
  <si>
    <t>Amortization Period 
(Note D)</t>
  </si>
  <si>
    <t>Amortization
(Note E)</t>
  </si>
  <si>
    <t>(Excess)/Deficient ADIT Transmission - Ending Balance of Year
(Note F)
(Col. B + Col. C) - Col. F</t>
  </si>
  <si>
    <t>Non-property (Note A):</t>
  </si>
  <si>
    <t>Account 190</t>
  </si>
  <si>
    <t>Account 282</t>
  </si>
  <si>
    <t>Account 283</t>
  </si>
  <si>
    <t>Non-property gross up for Taxes</t>
  </si>
  <si>
    <t xml:space="preserve">Total Non-Property </t>
  </si>
  <si>
    <t>(Excess)/Deficient ADIT Transmission - Beginning Balance of Year
(Note B)</t>
  </si>
  <si>
    <t>Property (Note A):</t>
  </si>
  <si>
    <t>Property Book-Tax Timing Difference - Account 190</t>
  </si>
  <si>
    <t>Property Book-Tax Timing Difference - Account 282</t>
  </si>
  <si>
    <t>Property Book-Tax Timing Difference - Account 283</t>
  </si>
  <si>
    <t xml:space="preserve">Property Gross up for Taxes </t>
  </si>
  <si>
    <t>Total Property (Total of lines 6 thru 9)</t>
  </si>
  <si>
    <t>Amortized Excess/Deficient ADITs  (Note C)</t>
  </si>
  <si>
    <t>Total Non-Property &amp; Property Amortization, excluding gross up for taxes (Total of lines 1-3,6-8 and 11) (Note G)</t>
  </si>
  <si>
    <t>Upon a tax rate change (federal, state and/or, if applicable, state apportionments), the Company remeasures its deferred tax assets and liabilities to account for the new applicable corporate tax rate.  For schedule M items not directly taken to the P&amp;L, the result of this remeasurement is a change to the net deferred tax assets/liabilities recorded in accounts 190, 282, and 283 with a corresponding change in regulatory assets (account 182.3) and regulatory liabilities (account 254) to reflect the return of/collection from excess/deficient deferred taxes to/from customers.  The remeasurement is effectuated within PowerTax and Tax Provision, which maintain both the timing difference and APB11 deferred tax balance (the historical ADIT based on the timing difference and the rate in effect when the timing difference occurred).  The difference in the two results is reclassified from ADIT to regulatory assets/liabilities for deficient/excess ADIT.  Within the FERC Form 1, deficient and excess ADITs in Account 182.3 and Account 254, respectively are presented grossed-up for tax purposes.  For ratemaking purposes, these grossed-up balances are treated as FAS109 and subsequently removed from rate base, thereby ensuring rate base neutrality for tax rate changes.  The Company would follow the process described above to remeasure ADIT balances (increase or decrease) due to any future income tax rate change.</t>
  </si>
  <si>
    <t>Beginning balance of year is the end of the prior year balance as reflected on FERC Form No. 1, pages 232 (Account 182.3) and 278 (Account 254)</t>
  </si>
  <si>
    <t>In the event the Company populates the data enterable fields, it will support the data entered as just and reasonable in its annual update</t>
  </si>
  <si>
    <t>The amortization periods shall be consistent with the following:</t>
  </si>
  <si>
    <t>Protected Property &amp; Non-Protected Property:</t>
  </si>
  <si>
    <t>ARAM, or directly assigned based on average remaining life of assets for property items not in PowerTax</t>
  </si>
  <si>
    <t>Protected Non-Property &amp; Non-Protected Non-Property will be directly assigned and presented in the table above</t>
  </si>
  <si>
    <t>Ending balance of year is the end of current year balance, as reflected on FERC Form No. 1, pages 232 (Account 182.3) and 278 (Account 254)</t>
  </si>
  <si>
    <t>Ln.</t>
  </si>
  <si>
    <t>Project ID</t>
  </si>
  <si>
    <t>Text Description</t>
  </si>
  <si>
    <t>January 31</t>
  </si>
  <si>
    <t>February 28/29</t>
  </si>
  <si>
    <t>March 31</t>
  </si>
  <si>
    <t>April 30</t>
  </si>
  <si>
    <t>May 31</t>
  </si>
  <si>
    <t>June 30</t>
  </si>
  <si>
    <t>July 31</t>
  </si>
  <si>
    <t>August 31</t>
  </si>
  <si>
    <t>September 30</t>
  </si>
  <si>
    <t>October 31</t>
  </si>
  <si>
    <t>November 30</t>
  </si>
  <si>
    <t>Average (a)</t>
  </si>
  <si>
    <t>[Placeholder 1]</t>
  </si>
  <si>
    <t>[Placeholder 2]</t>
  </si>
  <si>
    <t>Total CWIP in Rate Base</t>
  </si>
  <si>
    <t>Incentive ROE NITS Worksheet Support</t>
  </si>
  <si>
    <t>Additional Annual Allocation Factor for Income Taxes and Return</t>
  </si>
  <si>
    <t>Return and income taxes with ROE adder</t>
  </si>
  <si>
    <t>Plus any increased ROE adder incentive NITS</t>
  </si>
  <si>
    <t>Plus any increased ROE adder incentive TEC</t>
  </si>
  <si>
    <t>Sub-transmission balance from company records</t>
  </si>
  <si>
    <t xml:space="preserve">  Sub-Transmission</t>
  </si>
  <si>
    <t>ROE Basis Pts adder</t>
  </si>
  <si>
    <t>Sub-Transmission [D]</t>
  </si>
  <si>
    <t>Incremental return and income taxes</t>
  </si>
  <si>
    <t>Attach 2a Line 33 / Page 2, Line 14, Col. 5</t>
  </si>
  <si>
    <t>Attach 2a Line 22 / Page 2, Line 14, Col. 5</t>
  </si>
  <si>
    <t xml:space="preserve">  Unamortized Regulatory asset</t>
  </si>
  <si>
    <t xml:space="preserve">Sub-Transmission A&amp;G reduction percent </t>
  </si>
  <si>
    <t xml:space="preserve">Less Sub-Transmission A&amp;G </t>
  </si>
  <si>
    <r>
      <t xml:space="preserve">Tax Effect of Permanent Differences and AFUDC Equity </t>
    </r>
    <r>
      <rPr>
        <strike/>
        <sz val="12"/>
        <rFont val="Times New Roman"/>
        <family val="1"/>
      </rPr>
      <t xml:space="preserve"> </t>
    </r>
  </si>
  <si>
    <t xml:space="preserve">(Excess)/Deficient Deferred Income Taxes </t>
  </si>
  <si>
    <t>Line 37 / Line 38</t>
  </si>
  <si>
    <t>[8]</t>
  </si>
  <si>
    <t>Projected
Attachment 11
p 2 of 2, col. 15</t>
  </si>
  <si>
    <t>Actual
Attachment 11
p 2 of 2, col. 15</t>
  </si>
  <si>
    <t>Year 2021</t>
  </si>
  <si>
    <t>Year 2020</t>
  </si>
  <si>
    <t>Year 2019</t>
  </si>
  <si>
    <t>Attachment 11, Page 2, Line 3, Col. 13</t>
  </si>
  <si>
    <t>Attachment 3, Line 14, Col. 4 (Notes U &amp; X)</t>
  </si>
  <si>
    <t>Attachment 3, Line 14, Col. 5 &amp; 6 (Notes U &amp; X)</t>
  </si>
  <si>
    <t>Attachment 3, Line 14, Col. 7 (Notes U &amp; X)</t>
  </si>
  <si>
    <t>Attachment 4, Line 14, Col. 4 (Notes U &amp; X)</t>
  </si>
  <si>
    <t>Attachment 4, Line 14, Col. 5 &amp; 6 (Notes U &amp; X)</t>
  </si>
  <si>
    <t>Attachment 4, Line 14, Col. 7 (Notes U &amp; X)</t>
  </si>
  <si>
    <t>1e</t>
  </si>
  <si>
    <t>1f</t>
  </si>
  <si>
    <t>ANNUAL ALLOCATION FACTOR CALCULATION (Note A)</t>
  </si>
  <si>
    <t>(Sum Col. 10 &amp; 12)</t>
  </si>
  <si>
    <t xml:space="preserve">(Sum Col. 13 &amp; 14) </t>
  </si>
  <si>
    <t>ROE Basis Pts Adder for Incentive Projects</t>
  </si>
  <si>
    <t>Total True-up Adjustment with Interest
Over/(Under)</t>
  </si>
  <si>
    <t xml:space="preserve">[A] [C] </t>
  </si>
  <si>
    <t>Monthly Amort. Expense</t>
  </si>
  <si>
    <t>Yearly Amort. Expense</t>
  </si>
  <si>
    <t>Beginning of Amortization Period</t>
  </si>
  <si>
    <t>Amortization Period (months)</t>
  </si>
  <si>
    <t>Project Name (A)</t>
  </si>
  <si>
    <t>Amortization Amount (B)</t>
  </si>
  <si>
    <t>Average (D)</t>
  </si>
  <si>
    <t>Return (E)</t>
  </si>
  <si>
    <t>Income Tax on Return (F)</t>
  </si>
  <si>
    <t>Revenue Requirement (G) (H)</t>
  </si>
  <si>
    <t>Year (C)</t>
  </si>
  <si>
    <t>Months Remaining at year beginning</t>
  </si>
  <si>
    <t>CC</t>
  </si>
  <si>
    <t>DD</t>
  </si>
  <si>
    <t>ROE Calculation</t>
  </si>
  <si>
    <t>Return and Taxes</t>
  </si>
  <si>
    <t>Return and Income taxes with ROE</t>
  </si>
  <si>
    <t>Annual Allocation Factor for Income taxes and Return (ROE)</t>
  </si>
  <si>
    <t>Incremental Return and Taxes</t>
  </si>
  <si>
    <t>Transmission [E]</t>
  </si>
  <si>
    <t>Distribution [F]</t>
  </si>
  <si>
    <t>Distribution amount includes sub-transmission</t>
  </si>
  <si>
    <t>Construction Work in Progress (b)</t>
  </si>
  <si>
    <t>(b) CWIP will not be included unless authorized by the Commission</t>
  </si>
  <si>
    <t>Project Gross Plant is the total capital investment for the project, including subsequent capital investments required to maintain the project in-service.  Utilizes a 13-month average.</t>
  </si>
  <si>
    <t>Transmission amount excludes sub-transmission</t>
  </si>
  <si>
    <t>Plant in Service, Accumulated Depreciation, and Depreciation Expense amounts exclude Asset Retirement Obligation amounts unless authorized by FERC</t>
  </si>
  <si>
    <t>FirstEnergy 2019 Actuarial Study</t>
  </si>
  <si>
    <t>FirstEnergy 2019 Actual: Company Records</t>
  </si>
  <si>
    <t>(Company records, Note CC)</t>
  </si>
  <si>
    <t>(Company records, Note DD)</t>
  </si>
  <si>
    <t>Source (B)</t>
  </si>
  <si>
    <t>Amortization Amount (C)</t>
  </si>
  <si>
    <t>Year (D)</t>
  </si>
  <si>
    <t>Yearly Amort. Expense (E)</t>
  </si>
  <si>
    <t>Average (F)</t>
  </si>
  <si>
    <t>(E)</t>
  </si>
  <si>
    <t>Cumulative Months Amortized by end of year</t>
  </si>
  <si>
    <t>Regulatory Asset Name (A)</t>
  </si>
  <si>
    <t>(B) Regulatory asset references to be noted based on FERC Page. Row. Col.#</t>
  </si>
  <si>
    <t>(C) Amortization Amount to be entered at year 0. For all future years, the beginning amount will be the ending balance from the previous year</t>
  </si>
  <si>
    <t>Attachment 17, Line 3, Col P 216.b (Notes X &amp; Z)</t>
  </si>
  <si>
    <t>(Company records, Note BB)</t>
  </si>
  <si>
    <t>Annual MWh in AP Zone - Note B</t>
  </si>
  <si>
    <t>(B)</t>
  </si>
  <si>
    <t>(C)</t>
  </si>
  <si>
    <t>(D)</t>
  </si>
  <si>
    <t>NOTES</t>
  </si>
  <si>
    <t>Col. f - Col. g</t>
  </si>
  <si>
    <t>Col. h line 2x / Col. h line 3  * Col. j line 4</t>
  </si>
  <si>
    <t>Less transmission expenses included in OATT Ancillary Services  (Attachment 20, Line 85 plus Line 86 and Line 87) (Note L)</t>
  </si>
  <si>
    <t>Attachment 5, Line 1, Col. 2 (Notes C, F)</t>
  </si>
  <si>
    <t xml:space="preserve">Sourced from Attachment 5a, page 1, Lines 1-5, col. 4 </t>
  </si>
  <si>
    <t xml:space="preserve">     CIT=(T/(1-T)) * (1-(WCLTD/R)) =</t>
  </si>
  <si>
    <t xml:space="preserve">      1 / (1 - T) </t>
  </si>
  <si>
    <t>Company records</t>
  </si>
  <si>
    <t>FERC Account No. 190 is adjusted for the following items.</t>
  </si>
  <si>
    <t>NITS Charge Code (A)</t>
  </si>
  <si>
    <t>TEC Charge Code (A)</t>
  </si>
  <si>
    <t>True-up (B)</t>
  </si>
  <si>
    <t>Return with ROE</t>
  </si>
  <si>
    <t>Income Tax with ROE</t>
  </si>
  <si>
    <t>[C] Company records</t>
  </si>
  <si>
    <t>(A) Amounts represent a subset of the total PJM bill for the entire AP Zone</t>
  </si>
  <si>
    <t>The amortization of the tax reg asset/liability will occur through FERC income statement Accounts 410.1. and 411.1 for property and 410.1 for non-property</t>
  </si>
  <si>
    <t>Total Annual Allocation Factor for Income Taxes and Return (ROE)</t>
  </si>
  <si>
    <t>TOTAL GROSS PLANT (sum Lines 1-5)</t>
  </si>
  <si>
    <t>(Line 1- Line 7)</t>
  </si>
  <si>
    <t>(Line 2- Line 8)</t>
  </si>
  <si>
    <t>(Line 3 - Line 9)</t>
  </si>
  <si>
    <t>(Line 4 - Line 10)</t>
  </si>
  <si>
    <t>(Line 5 - Line 11)</t>
  </si>
  <si>
    <t>TOTAL NET PLANT (sum Lines 13-17)</t>
  </si>
  <si>
    <t>321.112.b (Attachment 20, page 1, Line 112)</t>
  </si>
  <si>
    <t>321.96.b (Attachment 20, page 1, Line 96)</t>
  </si>
  <si>
    <t>323.197.b (Attachment 20, page 2, Line 197)</t>
  </si>
  <si>
    <t>263.i (Attachment 7, Line 1z)</t>
  </si>
  <si>
    <t>263.i (Attachment 7, Line 2z)</t>
  </si>
  <si>
    <t>263.i (Attachment 7, Line 3z)</t>
  </si>
  <si>
    <t>263.i (Attachment 7, Line 4z)</t>
  </si>
  <si>
    <t>263.i (Attachment 7, Line 5z)</t>
  </si>
  <si>
    <t>Attachment 7, Line 6z</t>
  </si>
  <si>
    <t>Attachment 2b, Line 2 (Note AA)</t>
  </si>
  <si>
    <t>Attachment 11, Line 4, col 12 (Note AA)</t>
  </si>
  <si>
    <t>Total transmission plant  (page 2, Line 2, column 3)</t>
  </si>
  <si>
    <t>Transmission plant included in ISO rates  (Line 1 less Lines 2 &amp; 3)</t>
  </si>
  <si>
    <t>Percentage of transmission plant included in ISO Rates  (Line 4 divided by Line 1)</t>
  </si>
  <si>
    <t>Total transmission expenses  (page 3, Line 1, column 3)</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</si>
  <si>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</si>
  <si>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</si>
  <si>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</si>
  <si>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</si>
  <si>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 xml:space="preserve">  Total  (sum Lines 12-15)</t>
  </si>
  <si>
    <t>(Line 17 / Line 20)</t>
  </si>
  <si>
    <t>(Line 16, col. 6)</t>
  </si>
  <si>
    <t xml:space="preserve">  Total  (sum Lines 17 - 19)</t>
  </si>
  <si>
    <t>General Note:  References to pages in this formulary rate are indicated as:  (page#, Line#, col.#)</t>
  </si>
  <si>
    <t>References to data from FERC Form 1 are indicated as:   #.y.x  (page, Line, column)</t>
  </si>
  <si>
    <t>Line 34 minus Attachment 2 Line 34</t>
  </si>
  <si>
    <t>Annual Allocation Factor for Income taxes and Return (scaled basis points adder)</t>
  </si>
  <si>
    <t>Total Annual Allocation Factor for Income Taxes and Return (scaled basis points adder)</t>
  </si>
  <si>
    <t>A&amp;G adjustment to address specific assignment to distribution or transmission</t>
  </si>
  <si>
    <t>(page 4, Line 38)</t>
  </si>
  <si>
    <t>(page 4, Line 39)</t>
  </si>
  <si>
    <t>(page 4, Line 40)</t>
  </si>
  <si>
    <t>Return and Income taxes with scaled basis pts adder</t>
  </si>
  <si>
    <t>(Line 1 - Line 6 + Line 7)</t>
  </si>
  <si>
    <t xml:space="preserve">       where WCLTD=(page 4, Line 31) and R= (page 4, Line 34)</t>
  </si>
  <si>
    <t xml:space="preserve">  Rate Base (page 2, Line 35) * Rate of Return (page 4, Line 34, col. 6)</t>
  </si>
  <si>
    <t>Page 3, Line 41, Col. 5 / Page 2, Line 14, Col. 5</t>
  </si>
  <si>
    <t>Line 22 + Line 23</t>
  </si>
  <si>
    <t>Line 26 + Line 27</t>
  </si>
  <si>
    <t>Line 28 - Line 24</t>
  </si>
  <si>
    <t>Total  (sum Lines 31-33)</t>
  </si>
  <si>
    <t xml:space="preserve">  Less Sub-Transmission O&amp;M</t>
  </si>
  <si>
    <t xml:space="preserve">  Less Vegetation Management Surcharge Rider</t>
  </si>
  <si>
    <t xml:space="preserve">  Less A&amp;G specific</t>
  </si>
  <si>
    <t>Gross Receipts</t>
  </si>
  <si>
    <t>4b</t>
  </si>
  <si>
    <t>4c</t>
  </si>
  <si>
    <t>4d</t>
  </si>
  <si>
    <t>Taxes Non-Functionalized to Transmission [B]</t>
  </si>
  <si>
    <t>Includes items that are not functionalized to transmission</t>
  </si>
  <si>
    <t xml:space="preserve">Gross Receipts and Taxes Non-Functionalized to Transmission </t>
  </si>
  <si>
    <t xml:space="preserve">        Gross Receipts and Taxes Non-Functionalized to Transmission </t>
  </si>
  <si>
    <t>Amortization of Regulatory Assets</t>
  </si>
  <si>
    <t>Amortization Account</t>
  </si>
  <si>
    <t>Attachment 19, Line 2, Col. K</t>
  </si>
  <si>
    <t>Attachment 19, Line 2, Col. Y (Note X)</t>
  </si>
  <si>
    <t>GROSS REVENUE REQUIREMENT [page 3, Line 45, col 5]</t>
  </si>
  <si>
    <t>1/8*(Page 3, Line 16 minus Page 3, Line 15)</t>
  </si>
  <si>
    <t>Line 4 / Line 1</t>
  </si>
  <si>
    <t>Line 11 * (Line 6 minus Line 7)</t>
  </si>
  <si>
    <t xml:space="preserve">      1 / (1 - T)  (from Line 30)</t>
  </si>
  <si>
    <t>Income Tax Calculation = Line 31 * Line 41</t>
  </si>
  <si>
    <t>ITC adjustment (Line 32 * Line 33)</t>
  </si>
  <si>
    <t>Permanent Differences and AFUDC Equity Tax Adjustment (Line 32 * Line 34)</t>
  </si>
  <si>
    <t>(Excess)/Deficient Deferred Income Tax Adjustment (Line 32 * Line 35)</t>
  </si>
  <si>
    <t>sum Lines 36 through 39</t>
  </si>
  <si>
    <t xml:space="preserve">  (sum Lines 16, 21, 29, 40, 41)</t>
  </si>
  <si>
    <t>(sum Lines 42, 43, 44)</t>
  </si>
  <si>
    <t>Page 3, Line 40, Col. 5 / Page 2, Line 14, Col. 5</t>
  </si>
  <si>
    <t>Cash Working Capital assigned to transmission is one-eighth of O&amp;M allocated to transmission at page 3, Line 16, column 5 minus amortization of regulatory assets (page 3, Line 15, col. 5).  Prepayments are the electric related prepayments booked to Account No. 165 and reported on Page 111, Line 57 in the Form 1.</t>
  </si>
  <si>
    <t xml:space="preserve">Line 9 - EPRI Annual Membership Dues listed in Form 1 at 353.f, all Regulatory Commission Expenses itemized at 351.h, and non-safety related advertising included in Account 930.1.  Line 10 - Regulatory Commission Expenses directly related to transmission service, ISO filings, or transmission siting itemized at 351.h. </t>
  </si>
  <si>
    <t>Interest rate equal to the interest rate determined by 18 C.F.R. 35.19.</t>
  </si>
  <si>
    <t>Annual allocation Factor is utilized to calculate the incremental income tax and return for a scaled basis points adder to the ROE and will be utilized only in the instance there exists Commission approved ROE incentive projects; else there will exist no incremental income tax and return.</t>
  </si>
  <si>
    <t>Utilize only in the instance there exists Commission approved ROE incentive projects</t>
  </si>
  <si>
    <t>ADIT Total Transmission-related only, including Plant &amp; Labor Related Transmission ADITs (prior to adjustments from notes below)</t>
  </si>
  <si>
    <t xml:space="preserve">                                      page 1 of 1</t>
  </si>
  <si>
    <t>(A) Only projects approved by the commission will be included</t>
  </si>
  <si>
    <t>(C) Enter the year of amortization starting with 1 for the year the amortization begins and increment by 1 for every subsequent year until the amortization period ends</t>
  </si>
  <si>
    <t>(B) Amortization Amount will be entered at year 0, although the actual amortization will only begin after Commission accepts or approves recovery of the cost of abandoned plant. For all subsequent years, the beginning amount will be the ending balance from the previous year</t>
  </si>
  <si>
    <t>(H) Revenue Requirement will not be billed until the year the amortization begins. Once a project is fully amortized, it will be removed from this attachment and will have no revenue requirement</t>
  </si>
  <si>
    <t>(A) Only Regulatory Assets approved by the commission will be included</t>
  </si>
  <si>
    <t>(D) Enter the year of amortization starting with 0 and increment by 1 for every subsequent year until the amortization period ends</t>
  </si>
  <si>
    <t>O&amp;M and A&amp;G</t>
  </si>
  <si>
    <t>Transmission O&amp;M Expense</t>
  </si>
  <si>
    <t>A&amp;G Expense</t>
  </si>
  <si>
    <t>Attachment H-11A, Page 4, Line 7</t>
  </si>
  <si>
    <t>Attachment H-11A, page 2, Line 35, Col. 5</t>
  </si>
  <si>
    <t>Attachment H-11A, page 4, Line 30, Col. 6</t>
  </si>
  <si>
    <t>Attachment H-11A, page 4, Line 31, Col. 3</t>
  </si>
  <si>
    <t>Attachment H-11A, page 4, Line 32, Col. 3</t>
  </si>
  <si>
    <t>Attachment H-11A, page 4, Line 33, Col. 3</t>
  </si>
  <si>
    <t>Attachment H-11A, page 4, Line 34, Col. 3</t>
  </si>
  <si>
    <t>Attachment H-11A, page 4, Line 31, Col. 4</t>
  </si>
  <si>
    <t>Attachment H-11A, page 4, Line 32, Col. 4</t>
  </si>
  <si>
    <t>Attachment H-11A, page 4, Line 33, Col. 4</t>
  </si>
  <si>
    <t>Attachment H-11A, page 4, Line 31, Col. 5</t>
  </si>
  <si>
    <t>Attachment H-11A, page 4, Line 32, Col. 5</t>
  </si>
  <si>
    <t>Attachment H-11A, page 4, Line 33, Col. 5</t>
  </si>
  <si>
    <t>Attachment H-11A, page 3, Line 33, Col. 3</t>
  </si>
  <si>
    <t>Attachment H-11A, page 3, Line 34, Col. 3</t>
  </si>
  <si>
    <t>Attachment H-11A, page 3, Line 35, Col. 3</t>
  </si>
  <si>
    <t>Attachment H-11A, page 3, Line 38, Col. 5</t>
  </si>
  <si>
    <t>Attachment H-11A, page 3, Line 39, Col. 5</t>
  </si>
  <si>
    <t>Attachment H-11A, Page 3, Line 41, Col. 5</t>
  </si>
  <si>
    <t>Line 17 will reflect the ROE, as reflected on Attachment H-11A, Page 4, Line 33, Col. 5</t>
  </si>
  <si>
    <t>Attachment H-11A, page 4, Line 33, Col. 5 plus 100 bps (Note A)</t>
  </si>
  <si>
    <t>Attachment H-11A, page 3, Line 30, Col. 3</t>
  </si>
  <si>
    <t>Attachment H-11A, page 3, Line 32, Col. 3</t>
  </si>
  <si>
    <t>Attachment H-11A, page 3, Line 37, Col. 5</t>
  </si>
  <si>
    <t>Col. A*((Attachment H-11A, Page 4, Line 29, Col. 6) * Col. B/100+Attachment H-11A, Page 4, Line 24, Col. 6)</t>
  </si>
  <si>
    <t>Taken to Attachment H-11A, page 2, Lines 1-5, Col. 3</t>
  </si>
  <si>
    <t>Taken to Attachment H-11A, page 2, Lines 7-11, Col. 3</t>
  </si>
  <si>
    <t>Year-end balance with adjustments for FAS143, FAS106, FAS109, CIACs and normalization to populate Attachment H-11A, page 2, Lines 19-23, col. 3 for accounts 281, 282, 283, 190, and 255, respectively</t>
  </si>
  <si>
    <t>See Attachment H-11A, page 5, note K; A utility that elected to utilize amortization of tax credits against taxable income, rather than book tax credits to Account No. 255 and reduce rate base, must reduce its income tax expense by the amount of the Amortized Investment Tax Credit (Form 1, 266.8.f).</t>
  </si>
  <si>
    <t>** This Total Weighted Average Debt Cost will be shown on page 4, line 31, column 5 of formula rate Attachment H-11A</t>
  </si>
  <si>
    <t>Attach. H-11A, p. 2, line 2, col. 5 (Note A)</t>
  </si>
  <si>
    <t>Attach. H-11A, p. 2, line 14, col. 5 (Note B)</t>
  </si>
  <si>
    <t>Attach. H-11A, p. 3, line 16, col. 5</t>
  </si>
  <si>
    <t>Attach. H-11A, p. 3, lines 18 &amp; 20, col. 5</t>
  </si>
  <si>
    <t>Attach. H-11A, p. 3, line 29, col. 5</t>
  </si>
  <si>
    <t>Attach. H-11A, p. 3, line 40, col. 5</t>
  </si>
  <si>
    <t>Attach. H-11A, p. 3, line 41, col. 5</t>
  </si>
  <si>
    <t>To be completed in conjunction with Attachment H-11A</t>
  </si>
  <si>
    <t>Page 2 Col. 6 *(Attachment H-11A, Page 4, line 29 *(Page 2, Col. 11/100))</t>
  </si>
  <si>
    <t xml:space="preserve">Gross Transmission Plant is that identified on page 2 line 2 of Attachment H-11A. </t>
  </si>
  <si>
    <t>Net Transmission Plant is that identified on page 2 line 14 of Attachment H-11A.</t>
  </si>
  <si>
    <t>Project Depreciation Expense is the actual value booked for the project and included in the Depreciation Expense in Attachment H-11A, page 3, line 17.</t>
  </si>
  <si>
    <t>The amortization gross-up for taxes occurs on Attachment H-11A, page 3, line 39, Col. 3</t>
  </si>
  <si>
    <t>(entered on Attachment H-11A,
page 5 of 5, Note K)</t>
  </si>
  <si>
    <t>PBOP Adjustment for Attachment H-11A, page 3, line 13 (line 7 - line 10)</t>
  </si>
  <si>
    <t>Debt cost rate = Attachment 10, Column (j) total.  Preferred cost rate = preferred dividends (Line 30) / preferred outstanding (Line 32).  ROE will be supported in the original filing and no change in ROE may be made absent a filing with FERC.</t>
  </si>
  <si>
    <t>Attachment H-11A, Page 3, Line 40, Col. 5</t>
  </si>
  <si>
    <t>Refers to Attachment H-11A, page 2, line 6, col. 4</t>
  </si>
  <si>
    <t>Refers to Attachment H-11A, page 4, line 16, col.6</t>
  </si>
  <si>
    <r>
      <t xml:space="preserve">(D) Average calculated as [Sum of Columns (B) through (N)] </t>
    </r>
    <r>
      <rPr>
        <sz val="12"/>
        <rFont val="Calibri"/>
        <family val="2"/>
      </rPr>
      <t>÷</t>
    </r>
    <r>
      <rPr>
        <sz val="12"/>
        <rFont val="Times New Roman"/>
        <family val="1"/>
      </rPr>
      <t xml:space="preserve"> 13</t>
    </r>
  </si>
  <si>
    <t>(E) Column O * Attachment H-11A, page 4, line 34, col. 6</t>
  </si>
  <si>
    <t>(F) Column P * Attachment H-11A, page 3, line 31, col 3</t>
  </si>
  <si>
    <t>(G) Column A + Column P + Column Q</t>
  </si>
  <si>
    <r>
      <t xml:space="preserve">(a) Average calculated as [Sum of Columns (C) through (O)] </t>
    </r>
    <r>
      <rPr>
        <sz val="12"/>
        <rFont val="Calibri"/>
        <family val="2"/>
      </rPr>
      <t>÷</t>
    </r>
    <r>
      <rPr>
        <sz val="12"/>
        <rFont val="Times New Roman"/>
        <family val="1"/>
      </rPr>
      <t xml:space="preserve"> 13.</t>
    </r>
  </si>
  <si>
    <t>(E) Total Yearly amortization expense from Col. (K) line 2 will be taken to Attachment H-11A, page 3, line 15, Col.3 when the amortization begins. Until such time, Attachment H-11A, page 3, line 15, Col.3 will be 0</t>
  </si>
  <si>
    <r>
      <t xml:space="preserve">(F) Average calculated as [Sum of Columns (L) through (X)] </t>
    </r>
    <r>
      <rPr>
        <sz val="12"/>
        <rFont val="Calibri"/>
        <family val="2"/>
      </rPr>
      <t>÷</t>
    </r>
    <r>
      <rPr>
        <sz val="12"/>
        <rFont val="Times New Roman"/>
        <family val="1"/>
      </rPr>
      <t xml:space="preserve"> 13. Total from Col (Y) line 2 will be taken to Attachment H-11A, page 2, line 27, Col.3 when the amortization begins. Until such time, Attachment H-11A, page 2, line 27, Col.3 will be 0</t>
    </r>
  </si>
  <si>
    <t>The balances in accounts 190 281, 282, and 283 shall be adjusted for items as listed on Attachment 5.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K. Account 281 is not allocated.</t>
  </si>
  <si>
    <t>TOTAL REVENUE CREDITS (sum Lines 2-5)</t>
  </si>
  <si>
    <t>Additional TEC Incentive Revenue taken to Attachment H-11A, Page 3, Line 44, Col. 3</t>
  </si>
  <si>
    <t>Transmission Enhancement Credit taken to Attachment H-11A, Page 1, Line 5, Col. 3</t>
  </si>
  <si>
    <t>True-up adjustment is calculated on the project true-up schedule, attachment 12 column J. Enter values in Col. 14 as negative</t>
  </si>
  <si>
    <t>Abandoned Plant</t>
  </si>
  <si>
    <t>Construction Work in Progress</t>
  </si>
  <si>
    <t>*  z = Average of monthly balances for months outstanding during the year (average of the balances for the 12 months of the year, with zero in months that the issuance is not outstanding in a month.).</t>
  </si>
  <si>
    <t>EE</t>
  </si>
  <si>
    <t>Sub-transmission includes assets below 100 kV, but which reside in transmission FERC accounts</t>
  </si>
  <si>
    <t>(Note EE)</t>
  </si>
  <si>
    <t>Enter Commission approved project specific ROE incentive basis points adder, which is a scaled factor against a 100 to derive the approved percentage adder</t>
  </si>
  <si>
    <t>Proration (Note EE)</t>
  </si>
  <si>
    <t xml:space="preserve">  b. Bundled Sales for Resale</t>
  </si>
  <si>
    <t>Line 37 must equal zero since all short-term power sales must be unbundled and the transmission component reflected in Account No. 456.1 and all other uses are to be included in the divisor.</t>
  </si>
  <si>
    <t>Regulatory Assets</t>
  </si>
  <si>
    <t>(Note H)</t>
  </si>
  <si>
    <t>Col. A * Attachment H-11A, Page 4, Line 24, Col. 6</t>
  </si>
  <si>
    <t>Taken to Attachment H-11A, Page 3, Line 43, Col. 3</t>
  </si>
  <si>
    <t xml:space="preserve">Utilizes a 13-month average.   </t>
  </si>
  <si>
    <t>AGC Investment</t>
  </si>
  <si>
    <t>[9]</t>
  </si>
  <si>
    <r>
      <t xml:space="preserve">Equity Adj </t>
    </r>
    <r>
      <rPr>
        <sz val="12"/>
        <rFont val="Calibri"/>
        <family val="2"/>
        <scheme val="minor"/>
      </rPr>
      <t>[B]</t>
    </r>
  </si>
  <si>
    <r>
      <t xml:space="preserve">Renaissance Adj </t>
    </r>
    <r>
      <rPr>
        <sz val="12"/>
        <rFont val="Calibri"/>
        <family val="2"/>
        <scheme val="minor"/>
      </rPr>
      <t>[C]</t>
    </r>
  </si>
  <si>
    <t>(1) - (2) - (3) - (4) - (5) - (6) - (7)</t>
  </si>
  <si>
    <t xml:space="preserve">  Long Term Debt  (112.24.c) (Attachment 8, Line 14, Col. 9) (Note X) </t>
  </si>
  <si>
    <t xml:space="preserve">  Preferred Stock  (112.3d) (Attachment 8, Line 14, Col. 3) (Note X)</t>
  </si>
  <si>
    <t xml:space="preserve">  Common Stock Attachment 8, Line 14, Col. 8) (Note X)</t>
  </si>
  <si>
    <t>AGC’s capital structure adjustment per FERC Docket No. ER84-504-000</t>
  </si>
  <si>
    <t>Renaissance issued securitized debt in 2007and the proceeds were distributed up to Mon Power in the form of a dividend.  The balance in account 216.1 related to Renaissance does not require exclusion as there is an offsetting amount in account 216 and therefore no impact on total equity.</t>
  </si>
  <si>
    <t>Load expressed in MWh consistent with load used for billing under Schedule 1A for the AP Zone.  Data from RTO settlement systems for the calendar year prior to the rate year.</t>
  </si>
  <si>
    <t>Attachment 8, Line 14, Col. 3</t>
  </si>
  <si>
    <t xml:space="preserve">       Less Account 216.1, Renaissance Adj, AGC adj &amp; Goodwill</t>
  </si>
  <si>
    <t>Attachment 8, Line 14, Col. 2, 4, 5 &amp; 7</t>
  </si>
  <si>
    <t>Attachment 8, Line 14, Col. 8</t>
  </si>
  <si>
    <t>Includes only FICA, unemployment, highway, property, gross receipts, and other assessments charged in the current year.  Taxes related to income are excluded.  Gross receipts and taxes non-functionalized to Transmission are not included in transmission revenue requirement in the Rate Formula Template, since they are recovered elsewhere.</t>
  </si>
  <si>
    <t>Any actual ROE incentive must be approved by the Commission; therefore, Line will remain zero until a project(s) is granted a ROE incentive adder.</t>
  </si>
  <si>
    <t>On Page 4, Line 40, enter revenues from RTO settlements that are associated with NITS and firm Point-to-Point Service for which the load is not included in the divisor to derive AP Zonal rates.  Exclude non-firm Point-to-Point revenues and revenues related to RTEP projects.</t>
  </si>
  <si>
    <t>The revenues credited on page 1, Lines 2-4 do not include revenues associated with FERC annual charges, gross receipts taxes, ancillary services, or facilities not included in this template (e.g., direct assignment facilities and GSUs) which are not recovered under this Rate Formula Template.  The revenue on Line 5 is supported by its own reference.</t>
  </si>
  <si>
    <t>3. Depreciation Rates (1)</t>
  </si>
  <si>
    <t>Attachment H -11A</t>
  </si>
  <si>
    <t>Revenues received pursuant to PJM Schedule 1A revenue allocation procedures for transmission service outside of the AP Zone during the year used to calculate rates under Attachment H-11A</t>
  </si>
  <si>
    <t>(Notes C &amp; D)</t>
  </si>
  <si>
    <t>(Attachment 15, Line 12, Col. F) (Notes C &amp; E)</t>
  </si>
  <si>
    <t xml:space="preserve">(B) The PJM NITS &amp; TEC charges will include a true-up for the over/under recovery from a prior rate period. The total without true-up for NITS and TEC will be taken to Attachment 12 and Attachment 13 respectively. </t>
  </si>
  <si>
    <t>Vegetation Management Surcharge rider specific to West Virginia</t>
  </si>
  <si>
    <t xml:space="preserve">SFC's ROE is set to: </t>
  </si>
  <si>
    <t>MP-Depr % (WV)</t>
  </si>
  <si>
    <t>390.1 (2)</t>
  </si>
  <si>
    <t>390.2 (2)</t>
  </si>
  <si>
    <t>.08% to 14.29%</t>
  </si>
  <si>
    <t>Accounts 390.1 and 390.2 contain asset-specific depreciation rates; these rates are within the range listed</t>
  </si>
  <si>
    <t>TOTAL ACCUM. DEPRECIATION (sum Lines 7-11)</t>
  </si>
  <si>
    <t>TOTAL ADJUSTMENTS (sum Lines 19-27)</t>
  </si>
  <si>
    <t>WORKING CAPITAL (Note H)</t>
  </si>
  <si>
    <t xml:space="preserve">  Materials &amp; Supplies (Note G)</t>
  </si>
  <si>
    <t>TOTAL WORKING CAPITAL (sum Lines 31 - 33)</t>
  </si>
  <si>
    <t>RATE BASE (sum Lines 18, 28, 29, &amp; 34)</t>
  </si>
  <si>
    <t xml:space="preserve">     Less LSE Expenses Included in Transmission O&amp;M Accounts (Note W)</t>
  </si>
  <si>
    <t xml:space="preserve">     Less EPRI &amp; Reg. Comm. Exp. &amp; Non-safety Ad.  (Note I)</t>
  </si>
  <si>
    <t>TOTAL O&amp;M and A&amp;G (sum Lines 1, 6, 10, 13, 14, 15 less 2, 3, 4, 5,7, 8, 9, 12)</t>
  </si>
  <si>
    <t>TOTAL DEPRECIATION (sum Lines 17, 18, 20 less 19)</t>
  </si>
  <si>
    <t>TAXES OTHER THAN INCOME TAXES (Note J)</t>
  </si>
  <si>
    <t>TOTAL OTHER TAXES (sum Lines 22 - 28)</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</si>
  <si>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32).</t>
  </si>
  <si>
    <t>Calculate using a 13-month average balance.</t>
  </si>
  <si>
    <t>Source Reference</t>
  </si>
  <si>
    <t>Total Capitalization</t>
  </si>
  <si>
    <t>Line 17 - ROE adder is a scaling factor to calculate the incremental return and income taxes, which will be utilized to calculate additional revenue requirement only in the instance there exists Commission approved ROE incentive projects.</t>
  </si>
  <si>
    <t>Rate of Return on Rate Base (ROR)</t>
  </si>
  <si>
    <t>Total Long-Term Debt</t>
  </si>
  <si>
    <t>Total Long-Term Debt (WCLTD)</t>
  </si>
  <si>
    <t>End Plant &amp; Labor Related Allocated to Transmission</t>
  </si>
  <si>
    <t>ADIT- 282 From Account Total Below</t>
  </si>
  <si>
    <t>ADIT- 282 From Account Subtotal Below</t>
  </si>
  <si>
    <t>Estimated Ending Balance (Before Adjustments)</t>
  </si>
  <si>
    <t>Actual Ending Balance (Before Adjustments)</t>
  </si>
  <si>
    <t>1.56% to 8.83%</t>
  </si>
  <si>
    <t>*sometimes referred to as Other Post-Employment Benefits, or "OPEB"</t>
  </si>
  <si>
    <t>To the extent transmission assets are transferred to KATCo, a proration factor will be applied on a percent of the transmission gross plant transferred</t>
  </si>
  <si>
    <t>MON POWER</t>
  </si>
  <si>
    <t>MON POWER Labor: Company Records</t>
  </si>
  <si>
    <t>MON POWER Account 926: Company Records</t>
  </si>
  <si>
    <t>Reconciliation Revenue Requirement For Year 20XX Available June 15, 20XX</t>
  </si>
  <si>
    <t>TEC Reconciliation Revenue Requirement For Year 20XX Available June 15, 20XX</t>
  </si>
  <si>
    <t>For the 12 months ended 12/31/2022</t>
  </si>
  <si>
    <t>FICA</t>
  </si>
  <si>
    <t>Federal Unemployment Tax</t>
  </si>
  <si>
    <t>Ohio Unemployment Tax</t>
  </si>
  <si>
    <t>Federal Heavy Vehicle Use</t>
  </si>
  <si>
    <t>OH Property Tax</t>
  </si>
  <si>
    <t>WV Local Property Tax</t>
  </si>
  <si>
    <t>Gross Receipts Tax</t>
  </si>
  <si>
    <t>Sales &amp; Use Tax</t>
  </si>
  <si>
    <t>Federal Excise Tax</t>
  </si>
  <si>
    <t>PA Local</t>
  </si>
  <si>
    <t>4.10%, Senior Unsecured Note</t>
  </si>
  <si>
    <t>5.40%, Senior Unsecured Note</t>
  </si>
  <si>
    <t>3.55%, Senior Unsecured Note</t>
  </si>
  <si>
    <t>3.23%, Senior Unsecured Note</t>
  </si>
  <si>
    <t>3.93%, Senior Unsecured Note</t>
  </si>
  <si>
    <t>Replace Fort Martin 500 kV breaker 'FL-1'</t>
  </si>
  <si>
    <t>b0577</t>
  </si>
  <si>
    <t>Terminate the Powell Mountain and Goff Run lines into the new Chloe substation and perform any associated relay upgrades or modifications required at Powell Mountain and Goff run to accommodate new substation</t>
  </si>
  <si>
    <t>b2609.5</t>
  </si>
  <si>
    <t>West Virginia</t>
  </si>
  <si>
    <t>Accrued Taxes: FICA on Vacation Accrual</t>
  </si>
  <si>
    <t>Accum Prov For Inj and Damage-Workers Comp</t>
  </si>
  <si>
    <t>Accum Prov: Asbestos Accrual</t>
  </si>
  <si>
    <t>Allowance Regul Liab WV</t>
  </si>
  <si>
    <t>Current Liab: Line Protection Dfd Revenue</t>
  </si>
  <si>
    <t>Customer Advances for Construction Refundable</t>
  </si>
  <si>
    <t>1g</t>
  </si>
  <si>
    <t>Deferred Compensation Expense</t>
  </si>
  <si>
    <t>1h</t>
  </si>
  <si>
    <t>ECC Normalization ST</t>
  </si>
  <si>
    <t>1i</t>
  </si>
  <si>
    <t>Environmental Control Property</t>
  </si>
  <si>
    <t>1j</t>
  </si>
  <si>
    <t>FAS 112 - Medical Benefit Accrual</t>
  </si>
  <si>
    <t>1k</t>
  </si>
  <si>
    <t>FE Service Timing Allocation</t>
  </si>
  <si>
    <t>1l</t>
  </si>
  <si>
    <t>Federal Long Term NOL - Unprotected</t>
  </si>
  <si>
    <t>1m</t>
  </si>
  <si>
    <t>Federal Long Term NOL - Protected</t>
  </si>
  <si>
    <t>1n</t>
  </si>
  <si>
    <t>Incentive Compensation</t>
  </si>
  <si>
    <t>1o</t>
  </si>
  <si>
    <t>NOL Deferred Tax Asset - LT PA</t>
  </si>
  <si>
    <t>1p</t>
  </si>
  <si>
    <t>NOL Deferred Tax Asset - LT WV</t>
  </si>
  <si>
    <t>1q</t>
  </si>
  <si>
    <t>Pension EDCP-SERP Payments</t>
  </si>
  <si>
    <t>1r</t>
  </si>
  <si>
    <t>Pension/OPEB : Other Def Cr. or Dr.</t>
  </si>
  <si>
    <t>1s</t>
  </si>
  <si>
    <t>Pensions Expense</t>
  </si>
  <si>
    <t>1t</t>
  </si>
  <si>
    <t>State Income Tax Deductible</t>
  </si>
  <si>
    <t>1u</t>
  </si>
  <si>
    <t>Vacation Pay Accrual</t>
  </si>
  <si>
    <t>1v</t>
  </si>
  <si>
    <t>WV STIP</t>
  </si>
  <si>
    <t>Accum Prov For Inj and Damage-Gen Liability</t>
  </si>
  <si>
    <t>Customer Acquisition Fees - Surge Protection</t>
  </si>
  <si>
    <t>Deferred Charge-EIB</t>
  </si>
  <si>
    <t>ECC Deferred Cost Recovery</t>
  </si>
  <si>
    <t>3e</t>
  </si>
  <si>
    <t>SC01 Timing Allocation</t>
  </si>
  <si>
    <t>3f</t>
  </si>
  <si>
    <t>Storm Damage</t>
  </si>
  <si>
    <t>3g</t>
  </si>
  <si>
    <t>Valuation Allowance NOL WV</t>
  </si>
  <si>
    <t>3h</t>
  </si>
  <si>
    <t>Vegetation Management</t>
  </si>
  <si>
    <t>3i</t>
  </si>
  <si>
    <t>WV Energy Efficiency Pgm-LT</t>
  </si>
  <si>
    <t>N &amp; P</t>
  </si>
  <si>
    <t>Accrued Taxes</t>
  </si>
  <si>
    <t>Accum. Prov. For Injuries and Damages</t>
  </si>
  <si>
    <t>Employee Compensation</t>
  </si>
  <si>
    <t>FAS 123R Employee Compensation</t>
  </si>
  <si>
    <t>FAS 158 Pension/OPEB</t>
  </si>
  <si>
    <t>Federal Long Term</t>
  </si>
  <si>
    <t>General Business Credit Carryforward</t>
  </si>
  <si>
    <t>Inventory</t>
  </si>
  <si>
    <t>Other liability</t>
  </si>
  <si>
    <t>Pension/OPEB</t>
  </si>
  <si>
    <t>Post Retirement Benefits FAS 106</t>
  </si>
  <si>
    <t>Vacation Accrual</t>
  </si>
  <si>
    <t>Captial gain/loss</t>
  </si>
  <si>
    <t>Lease ROU</t>
  </si>
  <si>
    <t>Service Company Timing</t>
  </si>
  <si>
    <t>Capitalized Interest</t>
  </si>
  <si>
    <t>Property FAS109</t>
  </si>
  <si>
    <t>A&amp;G Expenses</t>
  </si>
  <si>
    <t>Accelerated Tax Depr</t>
  </si>
  <si>
    <t>AFUDC Debt</t>
  </si>
  <si>
    <t>ARO</t>
  </si>
  <si>
    <t>Capital Vertical Tree Trimming</t>
  </si>
  <si>
    <t>Capitalized Pension</t>
  </si>
  <si>
    <t>Casualty Loss</t>
  </si>
  <si>
    <t>FAS123R Items</t>
  </si>
  <si>
    <t>Highway Relocations</t>
  </si>
  <si>
    <t>Life Insurance</t>
  </si>
  <si>
    <t>Meters and Transformers</t>
  </si>
  <si>
    <t>OPEB</t>
  </si>
  <si>
    <t>Other Basis Differences</t>
  </si>
  <si>
    <t>R&amp;D Cost</t>
  </si>
  <si>
    <t>Tax Repairs</t>
  </si>
  <si>
    <t>Property FAS109 Gross-up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</si>
</sst>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0_);\(0\)"/>
    <numFmt numFmtId="175" formatCode="#,##0.0000000"/>
    <numFmt numFmtId="176" formatCode="_(* #,##0_);_(* \(#,##0\);_(* &quot;-&quot;??_);_(@_)"/>
    <numFmt numFmtId="177" formatCode="0.000000%"/>
    <numFmt numFmtId="178" formatCode="_(&quot;$&quot;* #,##0.0000_);_(&quot;$&quot;* \(#,##0.0000\);_(&quot;$&quot;* &quot;-&quot;??_);_(@_)"/>
    <numFmt numFmtId="179" formatCode="0.00000_);\(0.00000\)"/>
    <numFmt numFmtId="180" formatCode="0.0000%"/>
    <numFmt numFmtId="181" formatCode="_(* #,##0.0000_);_(* \(#,##0.0000\);_(* &quot;-&quot;??_);_(@_)"/>
    <numFmt numFmtId="182" formatCode="0.00000%"/>
    <numFmt numFmtId="183" formatCode="&quot;$&quot;#,##0.0000"/>
    <numFmt numFmtId="184" formatCode="_(* #,##0.00000_);_(* \(#,##0.00000\);_(* &quot;-&quot;??_);_(@_)"/>
    <numFmt numFmtId="185" formatCode="0.0000000"/>
    <numFmt numFmtId="186" formatCode="_(&quot;$&quot;* #,##0.000_);_(&quot;$&quot;* \(#,##0.000\);_(&quot;$&quot;* &quot;-&quot;_);_(@_)"/>
    <numFmt numFmtId="187" formatCode="0.0"/>
    <numFmt numFmtId="188" formatCode="[$-409]mmmm\ d\,\ yyyy;@"/>
    <numFmt numFmtId="189" formatCode="_(* #,##0.00000_);_(* \(#,##0.00000\);_(* &quot;-&quot;?????_);_(@_)"/>
  </numFmts>
  <fonts count="149">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b/>
      <u/>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0"/>
      <color indexed="10"/>
      <name val="Arial"/>
      <family val="2"/>
    </font>
    <font>
      <b/>
      <sz val="14"/>
      <name val="Arial Narrow"/>
      <family val="2"/>
    </font>
    <font>
      <b/>
      <sz val="12"/>
      <color indexed="10"/>
      <name val="Arial"/>
      <family val="2"/>
    </font>
    <font>
      <b/>
      <sz val="12"/>
      <color indexed="13"/>
      <name val="Helvetica"/>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sz val="14"/>
      <name val="Arial"/>
      <family val="2"/>
    </font>
    <font>
      <b/>
      <sz val="10"/>
      <name val="Arial Narrow"/>
      <family val="2"/>
    </font>
    <font>
      <sz val="10"/>
      <color indexed="10"/>
      <name val="Arial"/>
      <family val="2"/>
    </font>
    <font>
      <b/>
      <sz val="10"/>
      <color indexed="10"/>
      <name val="Arial Narrow"/>
      <family val="2"/>
    </font>
    <font>
      <b/>
      <sz val="10"/>
      <color indexed="10"/>
      <name val="Helv"/>
    </font>
    <font>
      <sz val="10"/>
      <color indexed="48"/>
      <name val="Arial"/>
      <family val="2"/>
    </font>
    <font>
      <sz val="10"/>
      <color rgb="FFFF0000"/>
      <name val="Arial"/>
      <family val="2"/>
    </font>
    <font>
      <u/>
      <sz val="12"/>
      <name val="Arial"/>
      <family val="2"/>
    </font>
    <font>
      <u val="singleAccounting"/>
      <sz val="10"/>
      <name val="Arial"/>
      <family val="2"/>
    </font>
    <font>
      <sz val="10"/>
      <name val="Arial"/>
      <family val="2"/>
    </font>
    <font>
      <b/>
      <u/>
      <sz val="12"/>
      <name val="Arial"/>
      <family val="2"/>
    </font>
    <font>
      <b/>
      <sz val="11"/>
      <color theme="1"/>
      <name val="Calibri"/>
      <family val="2"/>
      <scheme val="minor"/>
    </font>
    <font>
      <sz val="12"/>
      <color indexed="10"/>
      <name val="Arial"/>
      <family val="2"/>
    </font>
    <font>
      <sz val="11"/>
      <color theme="1"/>
      <name val="Calibri"/>
      <family val="2"/>
    </font>
    <font>
      <u/>
      <sz val="10"/>
      <color theme="1"/>
      <name val="Arial"/>
      <family val="2"/>
    </font>
    <font>
      <sz val="12"/>
      <color indexed="56"/>
      <name val="Arial"/>
      <family val="2"/>
    </font>
    <font>
      <u val="singleAccounting"/>
      <sz val="12"/>
      <name val="Arial"/>
      <family val="2"/>
    </font>
    <font>
      <strike/>
      <vertAlign val="superscript"/>
      <sz val="12"/>
      <name val="Arial"/>
      <family val="2"/>
    </font>
    <font>
      <vertAlign val="subscript"/>
      <sz val="10"/>
      <name val="Arial"/>
      <family val="2"/>
    </font>
    <font>
      <vertAlign val="superscript"/>
      <sz val="12"/>
      <name val="Arial Narrow"/>
      <family val="2"/>
    </font>
    <font>
      <sz val="12"/>
      <name val="Times New Roman"/>
      <family val="1"/>
    </font>
    <font>
      <b/>
      <sz val="12"/>
      <name val="Times New Roman"/>
      <family val="1"/>
    </font>
    <font>
      <strike/>
      <sz val="12"/>
      <name val="Times New Roman"/>
      <family val="1"/>
    </font>
    <font>
      <sz val="10"/>
      <name val="Times New Roman"/>
      <family val="1"/>
    </font>
    <font>
      <b/>
      <sz val="10"/>
      <name val="Times New Roman"/>
      <family val="1"/>
    </font>
    <font>
      <sz val="10"/>
      <name val="Arial MT"/>
    </font>
    <font>
      <strike/>
      <sz val="10"/>
      <name val="Arial MT"/>
    </font>
    <font>
      <sz val="12"/>
      <color rgb="FFFF0000"/>
      <name val="Times New Roman"/>
      <family val="1"/>
    </font>
    <font>
      <sz val="12"/>
      <color rgb="FFFF0000"/>
      <name val="Arial"/>
      <family val="2"/>
    </font>
    <font>
      <sz val="11"/>
      <name val="Calibri"/>
      <family val="2"/>
      <scheme val="minor"/>
    </font>
    <font>
      <b/>
      <sz val="12"/>
      <name val="Arial MT"/>
    </font>
    <font>
      <u/>
      <sz val="10"/>
      <name val="Arial"/>
      <family val="2"/>
    </font>
    <font>
      <b/>
      <u/>
      <sz val="12"/>
      <name val="Times New Roman"/>
      <family val="1"/>
    </font>
    <font>
      <b/>
      <i/>
      <sz val="12"/>
      <name val="Times New Roman"/>
      <family val="1"/>
    </font>
    <font>
      <b/>
      <sz val="10"/>
      <color rgb="FFFF0000"/>
      <name val="Arial"/>
      <family val="2"/>
    </font>
    <font>
      <b/>
      <sz val="10"/>
      <color indexed="10"/>
      <name val="Times New Roman"/>
      <family val="1"/>
    </font>
    <font>
      <b/>
      <sz val="12"/>
      <color rgb="FF0070C0"/>
      <name val="Times New Roman"/>
      <family val="1"/>
    </font>
    <font>
      <sz val="10"/>
      <color theme="1"/>
      <name val="Courier New"/>
      <family val="2"/>
    </font>
    <font>
      <b/>
      <u/>
      <sz val="12"/>
      <color theme="1"/>
      <name val="Times New Roman"/>
      <family val="1"/>
    </font>
    <font>
      <sz val="12"/>
      <color theme="1"/>
      <name val="Times New Roman"/>
      <family val="1"/>
    </font>
    <font>
      <strike/>
      <sz val="12"/>
      <name val="Arial"/>
      <family val="2"/>
    </font>
    <font>
      <b/>
      <sz val="12"/>
      <color theme="1"/>
      <name val="Calibri"/>
      <family val="2"/>
      <scheme val="minor"/>
    </font>
    <font>
      <sz val="10"/>
      <color theme="1"/>
      <name val="Calibri"/>
      <family val="2"/>
      <scheme val="minor"/>
    </font>
    <font>
      <sz val="12"/>
      <color theme="1"/>
      <name val="Calibri"/>
      <family val="2"/>
      <scheme val="minor"/>
    </font>
    <font>
      <u/>
      <sz val="10"/>
      <color theme="1"/>
      <name val="Calibri"/>
      <family val="2"/>
      <scheme val="minor"/>
    </font>
    <font>
      <sz val="10"/>
      <color rgb="FFFF0000"/>
      <name val="Calibri"/>
      <family val="2"/>
      <scheme val="minor"/>
    </font>
    <font>
      <b/>
      <sz val="10"/>
      <color theme="1"/>
      <name val="Calibri"/>
      <family val="2"/>
      <scheme val="minor"/>
    </font>
    <font>
      <b/>
      <sz val="12"/>
      <name val="Courier New"/>
      <family val="3"/>
    </font>
    <font>
      <sz val="12"/>
      <name val="Calibri"/>
      <family val="2"/>
    </font>
    <font>
      <b/>
      <strike/>
      <sz val="12"/>
      <name val="Arial"/>
      <family val="2"/>
    </font>
    <font>
      <sz val="12"/>
      <color theme="1"/>
      <name val="Calibri Light"/>
      <family val="2"/>
    </font>
    <font>
      <sz val="8"/>
      <name val="Segoe UI"/>
      <family val="2"/>
    </font>
    <font>
      <b/>
      <sz val="14"/>
      <name val="Times New Roman"/>
      <family val="1"/>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indexed="8"/>
        <bgColor indexed="64"/>
      </patternFill>
    </fill>
  </fills>
  <borders count="42">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63">
    <xf numFmtId="172" fontId="0" fillId="0" borderId="0" applyProtection="0"/>
    <xf numFmtId="0" fontId="52" fillId="2" borderId="0" applyNumberFormat="0" applyBorder="0" applyAlignment="0" applyProtection="0"/>
    <xf numFmtId="0" fontId="52" fillId="3" borderId="0" applyNumberFormat="0" applyBorder="0" applyAlignment="0" applyProtection="0"/>
    <xf numFmtId="0" fontId="52" fillId="4" borderId="0" applyNumberFormat="0" applyBorder="0" applyAlignment="0" applyProtection="0"/>
    <xf numFmtId="0" fontId="52" fillId="5" borderId="0" applyNumberFormat="0" applyBorder="0" applyAlignment="0" applyProtection="0"/>
    <xf numFmtId="0" fontId="52" fillId="6" borderId="0" applyNumberFormat="0" applyBorder="0" applyAlignment="0" applyProtection="0"/>
    <xf numFmtId="0" fontId="52" fillId="4" borderId="0" applyNumberFormat="0" applyBorder="0" applyAlignment="0" applyProtection="0"/>
    <xf numFmtId="0" fontId="52" fillId="6" borderId="0" applyNumberFormat="0" applyBorder="0" applyAlignment="0" applyProtection="0"/>
    <xf numFmtId="0" fontId="52" fillId="3" borderId="0" applyNumberFormat="0" applyBorder="0" applyAlignment="0" applyProtection="0"/>
    <xf numFmtId="0" fontId="52" fillId="7" borderId="0" applyNumberFormat="0" applyBorder="0" applyAlignment="0" applyProtection="0"/>
    <xf numFmtId="0" fontId="52" fillId="8" borderId="0" applyNumberFormat="0" applyBorder="0" applyAlignment="0" applyProtection="0"/>
    <xf numFmtId="0" fontId="52" fillId="6" borderId="0" applyNumberFormat="0" applyBorder="0" applyAlignment="0" applyProtection="0"/>
    <xf numFmtId="0" fontId="52" fillId="4" borderId="0" applyNumberFormat="0" applyBorder="0" applyAlignment="0" applyProtection="0"/>
    <xf numFmtId="0" fontId="53" fillId="6"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8" borderId="0" applyNumberFormat="0" applyBorder="0" applyAlignment="0" applyProtection="0"/>
    <xf numFmtId="0" fontId="53" fillId="6" borderId="0" applyNumberFormat="0" applyBorder="0" applyAlignment="0" applyProtection="0"/>
    <xf numFmtId="0" fontId="53" fillId="3" borderId="0" applyNumberFormat="0" applyBorder="0" applyAlignment="0" applyProtection="0"/>
    <xf numFmtId="0" fontId="53" fillId="11"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2"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4" fillId="15" borderId="0" applyNumberFormat="0" applyBorder="0" applyAlignment="0" applyProtection="0"/>
    <xf numFmtId="172" fontId="15" fillId="0" borderId="0" applyFill="0"/>
    <xf numFmtId="172" fontId="15" fillId="0" borderId="0">
      <alignment horizontal="center"/>
    </xf>
    <xf numFmtId="0" fontId="15" fillId="0" borderId="0" applyFill="0">
      <alignment horizontal="center"/>
    </xf>
    <xf numFmtId="172" fontId="16" fillId="0" borderId="1" applyFill="0"/>
    <xf numFmtId="0" fontId="17" fillId="0" borderId="0" applyFont="0" applyAlignment="0"/>
    <xf numFmtId="0" fontId="18" fillId="0" borderId="0" applyFill="0">
      <alignment vertical="top"/>
    </xf>
    <xf numFmtId="0" fontId="16" fillId="0" borderId="0" applyFill="0">
      <alignment horizontal="left" vertical="top"/>
    </xf>
    <xf numFmtId="172" fontId="19" fillId="0" borderId="2"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2"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2"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2"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172"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2"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0" fontId="55" fillId="16" borderId="3" applyNumberFormat="0" applyAlignment="0" applyProtection="0"/>
    <xf numFmtId="0" fontId="56" fillId="17" borderId="4" applyNumberFormat="0" applyAlignment="0" applyProtection="0"/>
    <xf numFmtId="43" fontId="17" fillId="0" borderId="0" applyFont="0" applyFill="0" applyBorder="0" applyAlignment="0" applyProtection="0"/>
    <xf numFmtId="43" fontId="65" fillId="0" borderId="0" applyFont="0" applyFill="0" applyBorder="0" applyAlignment="0" applyProtection="0"/>
    <xf numFmtId="43" fontId="27" fillId="0" borderId="0" applyFont="0" applyFill="0" applyBorder="0" applyAlignment="0" applyProtection="0"/>
    <xf numFmtId="3" fontId="17" fillId="0" borderId="0" applyFont="0" applyFill="0" applyBorder="0" applyAlignment="0" applyProtection="0"/>
    <xf numFmtId="44" fontId="17" fillId="0" borderId="0" applyFont="0" applyFill="0" applyBorder="0" applyAlignment="0" applyProtection="0"/>
    <xf numFmtId="5" fontId="17" fillId="0" borderId="0" applyFont="0" applyFill="0" applyBorder="0" applyAlignment="0" applyProtection="0"/>
    <xf numFmtId="14" fontId="17" fillId="0" borderId="0" applyFont="0" applyFill="0" applyBorder="0" applyAlignment="0" applyProtection="0"/>
    <xf numFmtId="0" fontId="58" fillId="0" borderId="0" applyNumberFormat="0" applyFill="0" applyBorder="0" applyAlignment="0" applyProtection="0"/>
    <xf numFmtId="2" fontId="17" fillId="0" borderId="0" applyFont="0" applyFill="0" applyBorder="0" applyAlignment="0" applyProtection="0"/>
    <xf numFmtId="0" fontId="59" fillId="6" borderId="0" applyNumberFormat="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60" fillId="0" borderId="5" applyNumberFormat="0" applyFill="0" applyAlignment="0" applyProtection="0"/>
    <xf numFmtId="0" fontId="60" fillId="0" borderId="0" applyNumberFormat="0" applyFill="0" applyBorder="0" applyAlignment="0" applyProtection="0"/>
    <xf numFmtId="0" fontId="35" fillId="0" borderId="6"/>
    <xf numFmtId="0" fontId="36" fillId="0" borderId="0"/>
    <xf numFmtId="0" fontId="61" fillId="7" borderId="3" applyNumberFormat="0" applyAlignment="0" applyProtection="0"/>
    <xf numFmtId="0" fontId="62" fillId="0" borderId="7" applyNumberFormat="0" applyFill="0" applyAlignment="0" applyProtection="0"/>
    <xf numFmtId="0" fontId="63" fillId="7" borderId="0" applyNumberFormat="0" applyBorder="0" applyAlignment="0" applyProtection="0"/>
    <xf numFmtId="0" fontId="67" fillId="0" borderId="0">
      <alignment vertical="top"/>
    </xf>
    <xf numFmtId="0" fontId="27" fillId="0" borderId="0"/>
    <xf numFmtId="0" fontId="27" fillId="0" borderId="0"/>
    <xf numFmtId="0" fontId="27" fillId="0" borderId="0"/>
    <xf numFmtId="0" fontId="17" fillId="0" borderId="0"/>
    <xf numFmtId="0" fontId="57" fillId="4" borderId="8" applyNumberFormat="0" applyFont="0" applyAlignment="0" applyProtection="0"/>
    <xf numFmtId="0" fontId="64" fillId="16" borderId="9" applyNumberFormat="0" applyAlignment="0" applyProtection="0"/>
    <xf numFmtId="9" fontId="17" fillId="0" borderId="0" applyFont="0" applyFill="0" applyBorder="0" applyAlignment="0" applyProtection="0"/>
    <xf numFmtId="9" fontId="27" fillId="0" borderId="0" applyFont="0" applyFill="0" applyBorder="0" applyAlignment="0" applyProtection="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3" fontId="17" fillId="0" borderId="0">
      <alignment horizontal="left" vertical="top"/>
    </xf>
    <xf numFmtId="0" fontId="38" fillId="0" borderId="6">
      <alignment horizontal="center"/>
    </xf>
    <xf numFmtId="3" fontId="37" fillId="0" borderId="0" applyFont="0" applyFill="0" applyBorder="0" applyAlignment="0" applyProtection="0"/>
    <xf numFmtId="0" fontId="37" fillId="18" borderId="0" applyNumberFormat="0" applyFont="0" applyBorder="0" applyAlignment="0" applyProtection="0"/>
    <xf numFmtId="3" fontId="17" fillId="0" borderId="0">
      <alignment horizontal="right" vertical="top"/>
    </xf>
    <xf numFmtId="41" fontId="24" fillId="19" borderId="10" applyFill="0"/>
    <xf numFmtId="0" fontId="39" fillId="0" borderId="0">
      <alignment horizontal="left" indent="7"/>
    </xf>
    <xf numFmtId="41" fontId="24" fillId="0" borderId="10" applyFill="0">
      <alignment horizontal="left" indent="2"/>
    </xf>
    <xf numFmtId="172" fontId="40" fillId="0" borderId="11" applyFill="0">
      <alignment horizontal="right"/>
    </xf>
    <xf numFmtId="0" fontId="41" fillId="0" borderId="12" applyNumberFormat="0" applyFont="0" applyBorder="0">
      <alignment horizontal="right"/>
    </xf>
    <xf numFmtId="0" fontId="42" fillId="0" borderId="0" applyFill="0"/>
    <xf numFmtId="0" fontId="19" fillId="0" borderId="0" applyFill="0"/>
    <xf numFmtId="4" fontId="40" fillId="0" borderId="11" applyFill="0"/>
    <xf numFmtId="0" fontId="17" fillId="0" borderId="0" applyNumberFormat="0" applyFont="0" applyBorder="0" applyAlignment="0"/>
    <xf numFmtId="0" fontId="22" fillId="0" borderId="0" applyFill="0">
      <alignment horizontal="left" indent="1"/>
    </xf>
    <xf numFmtId="0" fontId="43"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4" fillId="0" borderId="0">
      <alignment horizontal="left" indent="3"/>
    </xf>
    <xf numFmtId="0" fontId="45"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0" applyNumberFormat="0" applyFill="0" applyBorder="0" applyAlignment="0" applyProtection="0"/>
    <xf numFmtId="0" fontId="17" fillId="0" borderId="0" applyFont="0" applyFill="0" applyBorder="0" applyAlignment="0" applyProtection="0"/>
    <xf numFmtId="0" fontId="62" fillId="0" borderId="0" applyNumberFormat="0" applyFill="0" applyBorder="0" applyAlignment="0" applyProtection="0"/>
    <xf numFmtId="0" fontId="14" fillId="0" borderId="0"/>
    <xf numFmtId="9" fontId="14" fillId="0" borderId="0" applyFont="0" applyFill="0" applyBorder="0" applyAlignment="0" applyProtection="0"/>
    <xf numFmtId="44" fontId="17" fillId="0" borderId="0" applyFont="0" applyFill="0" applyBorder="0" applyAlignment="0" applyProtection="0"/>
    <xf numFmtId="0" fontId="17" fillId="0" borderId="0"/>
    <xf numFmtId="43" fontId="17" fillId="0" borderId="0" applyFont="0" applyFill="0" applyBorder="0" applyAlignment="0" applyProtection="0"/>
    <xf numFmtId="9" fontId="17" fillId="0" borderId="0" applyFont="0" applyFill="0" applyBorder="0" applyAlignment="0" applyProtection="0"/>
    <xf numFmtId="0" fontId="57" fillId="0" borderId="0" applyProtection="0"/>
    <xf numFmtId="43" fontId="17" fillId="0" borderId="0" applyFont="0" applyFill="0" applyBorder="0" applyAlignment="0" applyProtection="0"/>
    <xf numFmtId="0" fontId="105" fillId="0" borderId="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44" fontId="17" fillId="0" borderId="0" applyFont="0" applyFill="0" applyBorder="0" applyAlignment="0" applyProtection="0"/>
    <xf numFmtId="172" fontId="57" fillId="0" borderId="0" applyProtection="0"/>
    <xf numFmtId="0" fontId="17" fillId="0" borderId="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2" fillId="0" borderId="0"/>
    <xf numFmtId="43" fontId="12" fillId="0" borderId="0" applyFont="0" applyFill="0" applyBorder="0" applyAlignment="0" applyProtection="0"/>
    <xf numFmtId="0" fontId="109" fillId="0" borderId="0"/>
    <xf numFmtId="43" fontId="109" fillId="0" borderId="0" applyFont="0" applyFill="0" applyBorder="0" applyAlignment="0" applyProtection="0"/>
    <xf numFmtId="0" fontId="17" fillId="0" borderId="0"/>
    <xf numFmtId="9" fontId="57" fillId="0" borderId="0" applyFont="0" applyFill="0" applyBorder="0" applyAlignment="0" applyProtection="0"/>
    <xf numFmtId="0" fontId="11" fillId="0" borderId="0"/>
    <xf numFmtId="43" fontId="11" fillId="0" borderId="0" applyFont="0" applyFill="0" applyBorder="0" applyAlignment="0" applyProtection="0"/>
    <xf numFmtId="0" fontId="17" fillId="0" borderId="0"/>
    <xf numFmtId="43" fontId="6" fillId="0" borderId="0" applyFont="0" applyFill="0" applyBorder="0" applyAlignment="0" applyProtection="0"/>
    <xf numFmtId="0" fontId="17" fillId="0" borderId="0"/>
    <xf numFmtId="0" fontId="133" fillId="0" borderId="0"/>
    <xf numFmtId="43" fontId="133" fillId="0" borderId="0" applyFont="0" applyFill="0" applyBorder="0" applyAlignment="0" applyProtection="0"/>
    <xf numFmtId="41" fontId="5" fillId="0" borderId="0" applyFont="0" applyFill="0" applyBorder="0" applyAlignment="0" applyProtection="0"/>
    <xf numFmtId="0" fontId="3" fillId="0" borderId="0"/>
  </cellStyleXfs>
  <cellXfs count="1378">
    <xf numFmtId="172" fontId="0" fillId="0" borderId="0" xfId="0" applyAlignment="1"/>
    <xf numFmtId="172" fontId="46" fillId="0" borderId="0" xfId="0" applyFont="1" applyAlignment="1"/>
    <xf numFmtId="172" fontId="46" fillId="0" borderId="0" xfId="0" applyFont="1" applyFill="1" applyAlignment="1"/>
    <xf numFmtId="0" fontId="46" fillId="0" borderId="0" xfId="0" applyNumberFormat="1" applyFont="1"/>
    <xf numFmtId="0" fontId="46" fillId="0" borderId="0" xfId="0" applyNumberFormat="1" applyFont="1" applyAlignment="1">
      <alignment horizontal="right"/>
    </xf>
    <xf numFmtId="0" fontId="46" fillId="0" borderId="0" xfId="0" applyNumberFormat="1" applyFont="1" applyFill="1"/>
    <xf numFmtId="0" fontId="46" fillId="0" borderId="0" xfId="0" applyNumberFormat="1" applyFont="1" applyFill="1" applyAlignment="1">
      <alignment horizontal="right"/>
    </xf>
    <xf numFmtId="0" fontId="46" fillId="0" borderId="0" xfId="0" applyNumberFormat="1" applyFont="1" applyFill="1" applyBorder="1"/>
    <xf numFmtId="172" fontId="46" fillId="0" borderId="0" xfId="0" applyFont="1" applyFill="1" applyBorder="1" applyAlignment="1"/>
    <xf numFmtId="3" fontId="46" fillId="0" borderId="0" xfId="82" applyNumberFormat="1" applyFont="1" applyAlignment="1"/>
    <xf numFmtId="0" fontId="17" fillId="0" borderId="0" xfId="82"/>
    <xf numFmtId="0" fontId="48" fillId="0" borderId="0" xfId="82" applyFont="1" applyAlignment="1"/>
    <xf numFmtId="3" fontId="48" fillId="0" borderId="0" xfId="82" applyNumberFormat="1" applyFont="1" applyAlignment="1"/>
    <xf numFmtId="3" fontId="46" fillId="0" borderId="0" xfId="82" applyNumberFormat="1" applyFont="1" applyBorder="1" applyAlignment="1"/>
    <xf numFmtId="0" fontId="46" fillId="0" borderId="0" xfId="82" applyFont="1" applyBorder="1" applyAlignment="1"/>
    <xf numFmtId="3" fontId="46" fillId="0" borderId="0" xfId="82" applyNumberFormat="1" applyFont="1" applyFill="1" applyBorder="1" applyAlignment="1"/>
    <xf numFmtId="173" fontId="46" fillId="0" borderId="0" xfId="63" applyNumberFormat="1" applyFont="1" applyFill="1" applyBorder="1" applyAlignment="1"/>
    <xf numFmtId="0" fontId="46" fillId="0" borderId="0" xfId="82" applyNumberFormat="1" applyFont="1" applyBorder="1" applyAlignment="1"/>
    <xf numFmtId="0" fontId="50" fillId="0" borderId="0" xfId="82" applyFont="1" applyBorder="1"/>
    <xf numFmtId="0" fontId="46" fillId="0" borderId="0" xfId="82" applyFont="1" applyBorder="1"/>
    <xf numFmtId="173" fontId="46" fillId="0" borderId="0" xfId="63" applyNumberFormat="1" applyFont="1" applyBorder="1" applyAlignment="1"/>
    <xf numFmtId="0" fontId="46" fillId="0" borderId="0" xfId="82" applyFont="1"/>
    <xf numFmtId="178" fontId="46" fillId="0" borderId="0" xfId="63" applyNumberFormat="1" applyFont="1" applyBorder="1"/>
    <xf numFmtId="0" fontId="46" fillId="0" borderId="0" xfId="82" applyFont="1" applyAlignment="1">
      <alignment horizontal="left" wrapText="1"/>
    </xf>
    <xf numFmtId="0" fontId="46" fillId="0" borderId="0" xfId="82" applyFont="1" applyAlignment="1">
      <alignment horizontal="left"/>
    </xf>
    <xf numFmtId="0" fontId="50" fillId="0" borderId="0" xfId="82" applyFont="1" applyAlignment="1">
      <alignment horizontal="center"/>
    </xf>
    <xf numFmtId="172" fontId="46" fillId="0" borderId="0" xfId="0" applyFont="1" applyFill="1" applyBorder="1" applyAlignment="1">
      <alignment horizontal="right"/>
    </xf>
    <xf numFmtId="172" fontId="46" fillId="0" borderId="0" xfId="0" applyFont="1" applyFill="1" applyBorder="1" applyAlignment="1">
      <alignment horizontal="center"/>
    </xf>
    <xf numFmtId="172" fontId="47" fillId="0" borderId="0" xfId="0" applyFont="1" applyFill="1" applyBorder="1" applyAlignment="1"/>
    <xf numFmtId="172" fontId="47" fillId="0" borderId="13" xfId="0" applyFont="1" applyFill="1" applyBorder="1" applyAlignment="1">
      <alignment horizontal="center" wrapText="1"/>
    </xf>
    <xf numFmtId="172" fontId="47" fillId="0" borderId="14" xfId="0" applyFont="1" applyFill="1" applyBorder="1" applyAlignment="1"/>
    <xf numFmtId="172" fontId="47" fillId="0" borderId="14" xfId="0" applyFont="1" applyFill="1" applyBorder="1" applyAlignment="1">
      <alignment horizontal="center" wrapText="1"/>
    </xf>
    <xf numFmtId="0" fontId="47" fillId="0" borderId="14" xfId="0" applyNumberFormat="1" applyFont="1" applyFill="1" applyBorder="1" applyAlignment="1">
      <alignment horizontal="center" wrapText="1"/>
    </xf>
    <xf numFmtId="0" fontId="46" fillId="0" borderId="13" xfId="0" applyNumberFormat="1" applyFont="1" applyFill="1" applyBorder="1"/>
    <xf numFmtId="0" fontId="46" fillId="0" borderId="14" xfId="0" applyNumberFormat="1" applyFont="1" applyFill="1" applyBorder="1"/>
    <xf numFmtId="0" fontId="46" fillId="0" borderId="14" xfId="0" applyNumberFormat="1" applyFont="1" applyFill="1" applyBorder="1" applyAlignment="1">
      <alignment horizontal="center"/>
    </xf>
    <xf numFmtId="0" fontId="46" fillId="0" borderId="16" xfId="0" applyNumberFormat="1" applyFont="1" applyFill="1" applyBorder="1"/>
    <xf numFmtId="1" fontId="46" fillId="0" borderId="0" xfId="0" applyNumberFormat="1" applyFont="1" applyFill="1" applyBorder="1" applyAlignment="1">
      <alignment horizontal="center"/>
    </xf>
    <xf numFmtId="172" fontId="48" fillId="0" borderId="0" xfId="0" applyFont="1" applyFill="1" applyBorder="1" applyAlignment="1"/>
    <xf numFmtId="172" fontId="50" fillId="0" borderId="0" xfId="0" applyFont="1" applyFill="1" applyBorder="1" applyAlignment="1"/>
    <xf numFmtId="172" fontId="47" fillId="0" borderId="14" xfId="0" applyFont="1" applyFill="1" applyBorder="1" applyAlignment="1">
      <alignment horizontal="center"/>
    </xf>
    <xf numFmtId="0" fontId="46" fillId="0" borderId="0" xfId="82" applyFont="1" applyAlignment="1">
      <alignment horizontal="center" vertical="top"/>
    </xf>
    <xf numFmtId="0" fontId="46" fillId="20" borderId="0" xfId="0" applyNumberFormat="1" applyFont="1" applyFill="1" applyAlignment="1">
      <alignment horizontal="right"/>
    </xf>
    <xf numFmtId="172" fontId="68" fillId="0" borderId="0" xfId="0" applyFont="1" applyAlignment="1">
      <alignment vertical="center"/>
    </xf>
    <xf numFmtId="43" fontId="68" fillId="0" borderId="0" xfId="59" applyFont="1" applyAlignment="1">
      <alignment vertical="center"/>
    </xf>
    <xf numFmtId="0" fontId="68" fillId="0" borderId="0" xfId="0" applyNumberFormat="1" applyFont="1" applyAlignment="1">
      <alignment vertical="center"/>
    </xf>
    <xf numFmtId="0" fontId="68" fillId="20" borderId="0" xfId="0" applyNumberFormat="1" applyFont="1" applyFill="1" applyAlignment="1">
      <alignment vertical="center"/>
    </xf>
    <xf numFmtId="172" fontId="69" fillId="0" borderId="0" xfId="0" applyFont="1" applyAlignment="1">
      <alignment horizontal="right" vertical="center"/>
    </xf>
    <xf numFmtId="172" fontId="69" fillId="0" borderId="0" xfId="0" applyFont="1" applyAlignment="1">
      <alignment vertical="center"/>
    </xf>
    <xf numFmtId="172" fontId="68" fillId="0" borderId="0" xfId="0" applyFont="1" applyAlignment="1">
      <alignment horizontal="center" vertical="center"/>
    </xf>
    <xf numFmtId="172" fontId="69" fillId="0" borderId="0" xfId="0" applyFont="1" applyAlignment="1">
      <alignment horizontal="center" vertical="center"/>
    </xf>
    <xf numFmtId="172" fontId="70" fillId="0" borderId="0" xfId="0" applyFont="1" applyAlignment="1">
      <alignment horizontal="center" vertical="center"/>
    </xf>
    <xf numFmtId="172" fontId="72" fillId="0" borderId="0" xfId="0" applyFont="1" applyAlignment="1">
      <alignment horizontal="left" vertical="center"/>
    </xf>
    <xf numFmtId="0" fontId="69" fillId="0" borderId="0" xfId="0" applyNumberFormat="1" applyFont="1" applyAlignment="1">
      <alignment horizontal="center" vertical="center"/>
    </xf>
    <xf numFmtId="172" fontId="70" fillId="0" borderId="0" xfId="0" applyFont="1" applyAlignment="1">
      <alignment vertical="center"/>
    </xf>
    <xf numFmtId="43" fontId="68" fillId="0" borderId="0" xfId="59" applyFont="1" applyAlignment="1">
      <alignment horizontal="center" vertical="center"/>
    </xf>
    <xf numFmtId="49" fontId="68" fillId="0" borderId="0" xfId="0" applyNumberFormat="1" applyFont="1" applyAlignment="1">
      <alignment vertical="center"/>
    </xf>
    <xf numFmtId="172" fontId="71" fillId="0" borderId="0" xfId="0" applyFont="1" applyAlignment="1">
      <alignment horizontal="center" vertical="center"/>
    </xf>
    <xf numFmtId="172" fontId="68" fillId="0" borderId="0" xfId="0" applyFont="1" applyFill="1" applyAlignment="1">
      <alignment horizontal="center" vertical="center"/>
    </xf>
    <xf numFmtId="172" fontId="70" fillId="0" borderId="0" xfId="0" applyFont="1" applyFill="1" applyAlignment="1">
      <alignment horizontal="center" vertical="center"/>
    </xf>
    <xf numFmtId="172" fontId="69" fillId="0" borderId="0" xfId="0" applyFont="1" applyAlignment="1">
      <alignment horizontal="left" vertical="center"/>
    </xf>
    <xf numFmtId="172" fontId="71" fillId="0" borderId="0" xfId="0" applyFont="1" applyAlignment="1">
      <alignment horizontal="right" vertical="center"/>
    </xf>
    <xf numFmtId="49" fontId="68" fillId="0" borderId="0" xfId="0" applyNumberFormat="1" applyFont="1" applyAlignment="1">
      <alignment horizontal="center" vertical="center"/>
    </xf>
    <xf numFmtId="49" fontId="69" fillId="0" borderId="0" xfId="0" applyNumberFormat="1" applyFont="1" applyAlignment="1">
      <alignment horizontal="center" vertical="center"/>
    </xf>
    <xf numFmtId="164" fontId="68" fillId="0" borderId="0" xfId="85" applyNumberFormat="1" applyFont="1" applyAlignment="1">
      <alignment horizontal="center" vertical="center"/>
    </xf>
    <xf numFmtId="172" fontId="74" fillId="21" borderId="15" xfId="0" applyFont="1" applyFill="1" applyBorder="1" applyAlignment="1">
      <alignment vertical="center"/>
    </xf>
    <xf numFmtId="172" fontId="75" fillId="21" borderId="2" xfId="0" applyFont="1" applyFill="1" applyBorder="1" applyAlignment="1">
      <alignment vertical="center"/>
    </xf>
    <xf numFmtId="172" fontId="75" fillId="21" borderId="2" xfId="0" applyFont="1" applyFill="1" applyBorder="1" applyAlignment="1">
      <alignment horizontal="center" vertical="center"/>
    </xf>
    <xf numFmtId="172" fontId="75" fillId="21" borderId="20" xfId="0" applyFont="1" applyFill="1" applyBorder="1" applyAlignment="1">
      <alignment vertical="center"/>
    </xf>
    <xf numFmtId="172" fontId="68" fillId="0" borderId="16" xfId="0" applyFont="1" applyBorder="1" applyAlignment="1">
      <alignment vertical="center"/>
    </xf>
    <xf numFmtId="172" fontId="68" fillId="0" borderId="0" xfId="0" applyFont="1" applyBorder="1" applyAlignment="1">
      <alignment vertical="center"/>
    </xf>
    <xf numFmtId="172" fontId="70" fillId="0" borderId="0" xfId="0" applyFont="1" applyBorder="1" applyAlignment="1">
      <alignment horizontal="center" vertical="center"/>
    </xf>
    <xf numFmtId="172" fontId="68" fillId="0" borderId="21" xfId="0" applyFont="1" applyBorder="1" applyAlignment="1">
      <alignment vertical="center"/>
    </xf>
    <xf numFmtId="172" fontId="69" fillId="0" borderId="0" xfId="0" applyFont="1" applyBorder="1" applyAlignment="1">
      <alignment horizontal="right" vertical="center"/>
    </xf>
    <xf numFmtId="172" fontId="69" fillId="0" borderId="0" xfId="0" applyFont="1" applyBorder="1" applyAlignment="1">
      <alignment horizontal="center" vertical="center"/>
    </xf>
    <xf numFmtId="0" fontId="68" fillId="0" borderId="0" xfId="0" applyNumberFormat="1" applyFont="1" applyBorder="1" applyAlignment="1">
      <alignment vertical="center"/>
    </xf>
    <xf numFmtId="172" fontId="68" fillId="0" borderId="17" xfId="0" applyFont="1" applyBorder="1" applyAlignment="1">
      <alignment vertical="center"/>
    </xf>
    <xf numFmtId="172" fontId="68" fillId="0" borderId="11" xfId="0" applyFont="1" applyBorder="1" applyAlignment="1">
      <alignment vertical="center"/>
    </xf>
    <xf numFmtId="173" fontId="46" fillId="20" borderId="0" xfId="63" applyNumberFormat="1" applyFont="1" applyFill="1" applyBorder="1" applyAlignment="1"/>
    <xf numFmtId="0" fontId="46" fillId="0" borderId="23" xfId="0" applyNumberFormat="1" applyFont="1" applyFill="1" applyBorder="1" applyAlignment="1">
      <alignment horizontal="center"/>
    </xf>
    <xf numFmtId="172" fontId="73" fillId="0" borderId="0" xfId="0" applyFont="1" applyAlignment="1">
      <alignment horizontal="left" vertical="center"/>
    </xf>
    <xf numFmtId="172" fontId="46" fillId="0" borderId="0" xfId="0" applyFont="1" applyAlignment="1">
      <alignment vertical="center"/>
    </xf>
    <xf numFmtId="172" fontId="46" fillId="0" borderId="0" xfId="0" applyFont="1" applyAlignment="1">
      <alignment horizontal="right" vertical="center"/>
    </xf>
    <xf numFmtId="172" fontId="46" fillId="0" borderId="0" xfId="0" applyFont="1" applyAlignment="1">
      <alignment horizontal="center" vertical="center"/>
    </xf>
    <xf numFmtId="172" fontId="76" fillId="0" borderId="0" xfId="0" applyFont="1" applyFill="1" applyProtection="1">
      <protection locked="0"/>
    </xf>
    <xf numFmtId="172" fontId="24" fillId="0" borderId="0" xfId="0" applyFont="1" applyFill="1" applyProtection="1">
      <protection locked="0"/>
    </xf>
    <xf numFmtId="172" fontId="76" fillId="0" borderId="25" xfId="0" applyFont="1" applyFill="1" applyBorder="1" applyAlignment="1" applyProtection="1">
      <alignment horizontal="center" wrapText="1"/>
      <protection locked="0"/>
    </xf>
    <xf numFmtId="172" fontId="76" fillId="0" borderId="25" xfId="0" applyFont="1" applyFill="1" applyBorder="1" applyProtection="1">
      <protection locked="0"/>
    </xf>
    <xf numFmtId="172" fontId="76" fillId="0" borderId="0" xfId="0" applyFont="1" applyFill="1" applyAlignment="1" applyProtection="1">
      <alignment horizontal="center"/>
      <protection locked="0"/>
    </xf>
    <xf numFmtId="176" fontId="76" fillId="0" borderId="0" xfId="0" applyNumberFormat="1" applyFont="1" applyFill="1" applyProtection="1">
      <protection locked="0"/>
    </xf>
    <xf numFmtId="172" fontId="77" fillId="0" borderId="0" xfId="0" applyFont="1" applyFill="1" applyAlignment="1" applyProtection="1">
      <alignment horizontal="center"/>
      <protection locked="0"/>
    </xf>
    <xf numFmtId="5" fontId="76" fillId="0" borderId="26" xfId="0" applyNumberFormat="1" applyFont="1" applyFill="1" applyBorder="1" applyAlignment="1" applyProtection="1">
      <alignment horizontal="center"/>
      <protection locked="0"/>
    </xf>
    <xf numFmtId="176" fontId="76" fillId="0" borderId="6" xfId="0" applyNumberFormat="1" applyFont="1" applyFill="1" applyBorder="1" applyProtection="1">
      <protection locked="0"/>
    </xf>
    <xf numFmtId="172" fontId="76" fillId="0" borderId="6" xfId="0" applyFont="1" applyFill="1" applyBorder="1" applyAlignment="1" applyProtection="1">
      <alignment horizontal="center"/>
      <protection locked="0"/>
    </xf>
    <xf numFmtId="172" fontId="24" fillId="0" borderId="6" xfId="0" applyFont="1" applyFill="1" applyBorder="1" applyProtection="1">
      <protection locked="0"/>
    </xf>
    <xf numFmtId="176" fontId="76" fillId="0" borderId="0" xfId="0" applyNumberFormat="1" applyFont="1" applyFill="1" applyAlignment="1" applyProtection="1">
      <alignment horizontal="left"/>
      <protection locked="0"/>
    </xf>
    <xf numFmtId="0" fontId="77" fillId="0" borderId="0" xfId="0" applyNumberFormat="1" applyFont="1" applyFill="1" applyAlignment="1" applyProtection="1">
      <alignment horizontal="left"/>
      <protection locked="0"/>
    </xf>
    <xf numFmtId="172" fontId="77" fillId="0" borderId="0" xfId="0" applyFont="1" applyFill="1" applyAlignment="1" applyProtection="1">
      <alignment horizontal="center" wrapText="1"/>
      <protection locked="0"/>
    </xf>
    <xf numFmtId="176" fontId="77" fillId="0" borderId="0" xfId="0" applyNumberFormat="1" applyFont="1" applyFill="1" applyAlignment="1" applyProtection="1">
      <alignment horizontal="center" wrapText="1"/>
      <protection locked="0"/>
    </xf>
    <xf numFmtId="180" fontId="76" fillId="0" borderId="0" xfId="85" applyNumberFormat="1" applyFont="1" applyFill="1" applyProtection="1">
      <protection locked="0"/>
    </xf>
    <xf numFmtId="176" fontId="76" fillId="0" borderId="0" xfId="0" applyNumberFormat="1" applyFont="1" applyFill="1" applyAlignment="1" applyProtection="1">
      <alignment horizontal="center"/>
      <protection locked="0"/>
    </xf>
    <xf numFmtId="176" fontId="76" fillId="0" borderId="0" xfId="59" applyNumberFormat="1" applyFont="1" applyFill="1" applyProtection="1">
      <protection locked="0"/>
    </xf>
    <xf numFmtId="180" fontId="76" fillId="0" borderId="0" xfId="0" applyNumberFormat="1" applyFont="1" applyFill="1" applyProtection="1">
      <protection locked="0"/>
    </xf>
    <xf numFmtId="0" fontId="76" fillId="0" borderId="0" xfId="0" applyNumberFormat="1" applyFont="1" applyFill="1" applyProtection="1">
      <protection locked="0"/>
    </xf>
    <xf numFmtId="0" fontId="76" fillId="0" borderId="0" xfId="0" applyNumberFormat="1" applyFont="1" applyFill="1"/>
    <xf numFmtId="176" fontId="76" fillId="0" borderId="11" xfId="59" applyNumberFormat="1" applyFont="1" applyFill="1" applyBorder="1" applyProtection="1">
      <protection locked="0"/>
    </xf>
    <xf numFmtId="176" fontId="77" fillId="0" borderId="0" xfId="59" applyNumberFormat="1" applyFont="1" applyFill="1" applyProtection="1">
      <protection locked="0"/>
    </xf>
    <xf numFmtId="172" fontId="24" fillId="0" borderId="0" xfId="0" applyFont="1" applyFill="1"/>
    <xf numFmtId="176" fontId="77" fillId="0" borderId="0" xfId="59" applyNumberFormat="1" applyFont="1" applyFill="1" applyAlignment="1" applyProtection="1">
      <alignment horizontal="center"/>
      <protection locked="0"/>
    </xf>
    <xf numFmtId="172" fontId="78" fillId="0" borderId="0" xfId="0" applyFont="1" applyFill="1" applyProtection="1">
      <protection locked="0"/>
    </xf>
    <xf numFmtId="176" fontId="77" fillId="0" borderId="0" xfId="0" applyNumberFormat="1" applyFont="1" applyFill="1" applyProtection="1">
      <protection locked="0"/>
    </xf>
    <xf numFmtId="173" fontId="24" fillId="0" borderId="0" xfId="63" applyNumberFormat="1" applyFont="1" applyFill="1"/>
    <xf numFmtId="172" fontId="24" fillId="0" borderId="0" xfId="0" applyFont="1" applyFill="1" applyAlignment="1" applyProtection="1">
      <alignment wrapText="1"/>
      <protection locked="0"/>
    </xf>
    <xf numFmtId="172" fontId="46" fillId="0" borderId="0" xfId="0" applyFont="1" applyAlignment="1">
      <alignment vertical="center" wrapText="1"/>
    </xf>
    <xf numFmtId="172" fontId="76" fillId="0" borderId="24" xfId="0" applyFont="1" applyFill="1" applyBorder="1" applyAlignment="1" applyProtection="1">
      <alignment horizontal="center" vertical="center" wrapText="1"/>
      <protection locked="0"/>
    </xf>
    <xf numFmtId="172" fontId="76" fillId="0" borderId="0" xfId="0" applyFont="1" applyFill="1" applyAlignment="1" applyProtection="1">
      <alignment horizontal="center" vertical="center" wrapText="1"/>
      <protection locked="0"/>
    </xf>
    <xf numFmtId="172" fontId="78" fillId="0" borderId="0" xfId="0" applyFont="1" applyFill="1" applyAlignment="1" applyProtection="1">
      <alignment horizontal="left"/>
      <protection locked="0"/>
    </xf>
    <xf numFmtId="0" fontId="76" fillId="0" borderId="0" xfId="0" applyNumberFormat="1" applyFont="1" applyFill="1" applyAlignment="1" applyProtection="1">
      <alignment horizontal="left"/>
      <protection locked="0"/>
    </xf>
    <xf numFmtId="0" fontId="68" fillId="0" borderId="0" xfId="0" applyNumberFormat="1" applyFont="1" applyFill="1" applyAlignment="1">
      <alignment vertical="center"/>
    </xf>
    <xf numFmtId="176" fontId="69" fillId="20" borderId="0" xfId="59" applyNumberFormat="1" applyFont="1" applyFill="1" applyAlignment="1">
      <alignment horizontal="center" vertical="center"/>
    </xf>
    <xf numFmtId="176" fontId="69" fillId="0" borderId="0" xfId="59" applyNumberFormat="1" applyFont="1" applyAlignment="1">
      <alignment vertical="center"/>
    </xf>
    <xf numFmtId="176" fontId="69" fillId="0" borderId="0" xfId="59" applyNumberFormat="1" applyFont="1" applyAlignment="1">
      <alignment horizontal="center" vertical="center"/>
    </xf>
    <xf numFmtId="176" fontId="69" fillId="20" borderId="0" xfId="59" applyNumberFormat="1" applyFont="1" applyFill="1" applyBorder="1" applyAlignment="1">
      <alignment horizontal="center" vertical="center"/>
    </xf>
    <xf numFmtId="176" fontId="69" fillId="0" borderId="0" xfId="59" applyNumberFormat="1" applyFont="1" applyBorder="1" applyAlignment="1">
      <alignment horizontal="center" vertical="center"/>
    </xf>
    <xf numFmtId="176" fontId="69" fillId="0" borderId="11" xfId="59" applyNumberFormat="1" applyFont="1" applyBorder="1" applyAlignment="1">
      <alignment horizontal="center" vertical="center"/>
    </xf>
    <xf numFmtId="176" fontId="69" fillId="20" borderId="6" xfId="59" applyNumberFormat="1" applyFont="1" applyFill="1" applyBorder="1" applyAlignment="1">
      <alignment horizontal="center" vertical="center"/>
    </xf>
    <xf numFmtId="176" fontId="69" fillId="0" borderId="0" xfId="59" applyNumberFormat="1" applyFont="1" applyFill="1" applyAlignment="1">
      <alignment horizontal="center" vertical="center"/>
    </xf>
    <xf numFmtId="181" fontId="46" fillId="0" borderId="0" xfId="59" applyNumberFormat="1" applyFont="1" applyFill="1" applyAlignment="1">
      <alignment horizontal="right"/>
    </xf>
    <xf numFmtId="0" fontId="79" fillId="0" borderId="0" xfId="129" applyFont="1"/>
    <xf numFmtId="0" fontId="80" fillId="0" borderId="0" xfId="129" applyFont="1"/>
    <xf numFmtId="0" fontId="79" fillId="0" borderId="0" xfId="129" applyFont="1" applyAlignment="1">
      <alignment horizontal="left" vertical="center"/>
    </xf>
    <xf numFmtId="0" fontId="79" fillId="0" borderId="0" xfId="129" applyFont="1" applyFill="1"/>
    <xf numFmtId="172" fontId="68" fillId="0" borderId="0" xfId="0" applyFont="1" applyFill="1" applyAlignment="1">
      <alignment vertical="center"/>
    </xf>
    <xf numFmtId="172" fontId="69" fillId="0" borderId="0" xfId="0" applyFont="1" applyFill="1" applyAlignment="1">
      <alignment vertical="center"/>
    </xf>
    <xf numFmtId="172" fontId="46" fillId="0" borderId="0" xfId="0" applyFont="1" applyFill="1" applyAlignment="1">
      <alignment vertical="center"/>
    </xf>
    <xf numFmtId="0" fontId="17" fillId="0" borderId="0" xfId="82" applyFill="1"/>
    <xf numFmtId="0" fontId="14" fillId="0" borderId="0" xfId="129" applyAlignment="1">
      <alignment vertical="center"/>
    </xf>
    <xf numFmtId="3" fontId="46" fillId="20" borderId="0" xfId="82" applyNumberFormat="1" applyFont="1" applyFill="1" applyBorder="1" applyAlignment="1"/>
    <xf numFmtId="173" fontId="46" fillId="20" borderId="11" xfId="63" applyNumberFormat="1" applyFont="1" applyFill="1" applyBorder="1" applyAlignment="1"/>
    <xf numFmtId="172" fontId="82" fillId="0" borderId="0" xfId="0" applyFont="1" applyAlignment="1">
      <alignment vertical="center"/>
    </xf>
    <xf numFmtId="172" fontId="83" fillId="0" borderId="0" xfId="0" applyFont="1" applyAlignment="1">
      <alignment horizontal="center" vertical="center"/>
    </xf>
    <xf numFmtId="1" fontId="68" fillId="0" borderId="0" xfId="0" applyNumberFormat="1" applyFont="1" applyAlignment="1">
      <alignment horizontal="right" vertical="center"/>
    </xf>
    <xf numFmtId="172" fontId="84" fillId="0" borderId="0" xfId="0" applyFont="1" applyAlignment="1">
      <alignment horizontal="center" vertical="center"/>
    </xf>
    <xf numFmtId="0" fontId="41" fillId="0" borderId="0" xfId="129" applyFont="1"/>
    <xf numFmtId="0" fontId="79" fillId="0" borderId="0" xfId="129" applyFont="1" applyAlignment="1">
      <alignment horizontal="center"/>
    </xf>
    <xf numFmtId="0" fontId="79" fillId="0" borderId="0" xfId="129" applyFont="1" applyAlignment="1">
      <alignment horizontal="center" wrapText="1"/>
    </xf>
    <xf numFmtId="0" fontId="80" fillId="0" borderId="6" xfId="129" applyFont="1" applyBorder="1"/>
    <xf numFmtId="10" fontId="79" fillId="20" borderId="0" xfId="129" applyNumberFormat="1" applyFont="1" applyFill="1"/>
    <xf numFmtId="0" fontId="79" fillId="0" borderId="0" xfId="129" applyFont="1" applyAlignment="1">
      <alignment horizontal="right" wrapText="1"/>
    </xf>
    <xf numFmtId="164" fontId="79" fillId="0" borderId="27" xfId="129" applyNumberFormat="1" applyFont="1" applyBorder="1"/>
    <xf numFmtId="0" fontId="80" fillId="0" borderId="0" xfId="129" applyFont="1" applyBorder="1"/>
    <xf numFmtId="172" fontId="68" fillId="0" borderId="0" xfId="0" applyFont="1" applyAlignment="1">
      <alignment horizontal="center" vertical="top"/>
    </xf>
    <xf numFmtId="176" fontId="69" fillId="20" borderId="0" xfId="59" applyNumberFormat="1" applyFont="1" applyFill="1" applyAlignment="1">
      <alignment horizontal="left" vertical="center"/>
    </xf>
    <xf numFmtId="0" fontId="13" fillId="0" borderId="0" xfId="129" applyFont="1" applyAlignment="1">
      <alignment vertical="center"/>
    </xf>
    <xf numFmtId="0" fontId="17" fillId="0" borderId="0" xfId="132"/>
    <xf numFmtId="0" fontId="86" fillId="0" borderId="0" xfId="132" applyFont="1"/>
    <xf numFmtId="0" fontId="24" fillId="0" borderId="0" xfId="132" applyFont="1"/>
    <xf numFmtId="0" fontId="24" fillId="0" borderId="0" xfId="132" applyFont="1" applyAlignment="1">
      <alignment horizontal="center"/>
    </xf>
    <xf numFmtId="3" fontId="24" fillId="0" borderId="0" xfId="132" applyNumberFormat="1" applyFont="1" applyFill="1" applyBorder="1" applyAlignment="1"/>
    <xf numFmtId="176" fontId="24" fillId="0" borderId="0" xfId="133" applyNumberFormat="1" applyFont="1" applyFill="1"/>
    <xf numFmtId="0" fontId="24" fillId="0" borderId="0" xfId="132" applyFont="1" applyFill="1"/>
    <xf numFmtId="0" fontId="89" fillId="22" borderId="0" xfId="132" applyFont="1" applyFill="1"/>
    <xf numFmtId="0" fontId="24" fillId="22" borderId="0" xfId="132" applyFont="1" applyFill="1"/>
    <xf numFmtId="0" fontId="89" fillId="0" borderId="0" xfId="132" applyFont="1" applyFill="1"/>
    <xf numFmtId="0" fontId="19" fillId="0" borderId="0" xfId="132" applyFont="1" applyFill="1" applyAlignment="1">
      <alignment horizontal="center"/>
    </xf>
    <xf numFmtId="0" fontId="24" fillId="0" borderId="0" xfId="132" applyFont="1" applyFill="1" applyAlignment="1">
      <alignment wrapText="1"/>
    </xf>
    <xf numFmtId="0" fontId="24" fillId="0" borderId="0" xfId="132" applyFont="1" applyFill="1" applyAlignment="1">
      <alignment horizontal="center"/>
    </xf>
    <xf numFmtId="0" fontId="24" fillId="0" borderId="0" xfId="132" applyFont="1" applyAlignment="1">
      <alignment horizontal="left"/>
    </xf>
    <xf numFmtId="0" fontId="24" fillId="0" borderId="0" xfId="132" applyFont="1" applyFill="1" applyAlignment="1">
      <alignment horizontal="left"/>
    </xf>
    <xf numFmtId="3" fontId="24" fillId="0" borderId="0" xfId="132" applyNumberFormat="1" applyFont="1" applyBorder="1" applyAlignment="1">
      <alignment horizontal="left"/>
    </xf>
    <xf numFmtId="0" fontId="24" fillId="0" borderId="0" xfId="132" applyFont="1" applyAlignment="1">
      <alignment wrapText="1"/>
    </xf>
    <xf numFmtId="0" fontId="24" fillId="0" borderId="0" xfId="132" applyNumberFormat="1" applyFont="1" applyFill="1" applyAlignment="1">
      <alignment horizontal="center"/>
    </xf>
    <xf numFmtId="0" fontId="24" fillId="0" borderId="0" xfId="132" applyNumberFormat="1" applyFont="1" applyAlignment="1">
      <alignment horizontal="left"/>
    </xf>
    <xf numFmtId="0" fontId="24" fillId="0" borderId="0" xfId="132" applyFont="1" applyAlignment="1"/>
    <xf numFmtId="3" fontId="24" fillId="0" borderId="0" xfId="132" applyNumberFormat="1" applyFont="1" applyAlignment="1"/>
    <xf numFmtId="3" fontId="24" fillId="0" borderId="0" xfId="132" applyNumberFormat="1" applyFont="1" applyFill="1" applyAlignment="1"/>
    <xf numFmtId="3" fontId="19" fillId="0" borderId="0" xfId="132" applyNumberFormat="1" applyFont="1" applyAlignment="1">
      <alignment horizontal="left"/>
    </xf>
    <xf numFmtId="0" fontId="24" fillId="0" borderId="0" xfId="132" applyNumberFormat="1" applyFont="1" applyAlignment="1"/>
    <xf numFmtId="3" fontId="24" fillId="0" borderId="0" xfId="132" applyNumberFormat="1" applyFont="1" applyAlignment="1">
      <alignment horizontal="left"/>
    </xf>
    <xf numFmtId="0" fontId="19" fillId="0" borderId="0" xfId="132" applyNumberFormat="1" applyFont="1" applyAlignment="1">
      <alignment horizontal="left"/>
    </xf>
    <xf numFmtId="0" fontId="24" fillId="0" borderId="0" xfId="132" applyNumberFormat="1" applyFont="1" applyBorder="1" applyAlignment="1">
      <alignment horizontal="left"/>
    </xf>
    <xf numFmtId="3" fontId="24" fillId="0" borderId="11" xfId="132" applyNumberFormat="1" applyFont="1" applyFill="1" applyBorder="1" applyAlignment="1"/>
    <xf numFmtId="3" fontId="24" fillId="0" borderId="11" xfId="132" applyNumberFormat="1" applyFont="1" applyBorder="1" applyAlignment="1">
      <alignment horizontal="left"/>
    </xf>
    <xf numFmtId="0" fontId="24" fillId="0" borderId="0" xfId="132" applyNumberFormat="1" applyFont="1" applyFill="1" applyAlignment="1">
      <alignment horizontal="left"/>
    </xf>
    <xf numFmtId="0" fontId="24" fillId="0" borderId="0" xfId="132" applyFont="1" applyFill="1" applyAlignment="1"/>
    <xf numFmtId="0" fontId="24" fillId="0" borderId="0" xfId="132" applyNumberFormat="1" applyFont="1" applyFill="1" applyAlignment="1"/>
    <xf numFmtId="0" fontId="24" fillId="0" borderId="2" xfId="132" applyFont="1" applyBorder="1" applyAlignment="1"/>
    <xf numFmtId="0" fontId="19" fillId="0" borderId="2" xfId="132" applyNumberFormat="1" applyFont="1" applyBorder="1" applyAlignment="1"/>
    <xf numFmtId="3" fontId="24" fillId="0" borderId="2" xfId="132" applyNumberFormat="1" applyFont="1" applyBorder="1" applyAlignment="1"/>
    <xf numFmtId="3" fontId="24" fillId="0" borderId="2" xfId="132" applyNumberFormat="1" applyFont="1" applyFill="1" applyBorder="1" applyAlignment="1"/>
    <xf numFmtId="3" fontId="24" fillId="0" borderId="0" xfId="132" applyNumberFormat="1" applyFont="1" applyFill="1" applyAlignment="1">
      <alignment horizontal="center"/>
    </xf>
    <xf numFmtId="0" fontId="24" fillId="0" borderId="0" xfId="132" applyNumberFormat="1" applyFont="1" applyFill="1" applyBorder="1" applyAlignment="1"/>
    <xf numFmtId="180" fontId="24" fillId="0" borderId="0" xfId="134" applyNumberFormat="1" applyFont="1" applyFill="1" applyBorder="1" applyAlignment="1"/>
    <xf numFmtId="169" fontId="24" fillId="0" borderId="0" xfId="132" applyNumberFormat="1" applyFont="1" applyFill="1" applyAlignment="1"/>
    <xf numFmtId="0" fontId="24" fillId="0" borderId="0" xfId="132" applyFont="1" applyBorder="1"/>
    <xf numFmtId="169" fontId="24" fillId="0" borderId="0" xfId="132" applyNumberFormat="1" applyFont="1" applyBorder="1"/>
    <xf numFmtId="3" fontId="24" fillId="0" borderId="0" xfId="132" applyNumberFormat="1" applyFont="1" applyFill="1" applyAlignment="1">
      <alignment horizontal="left"/>
    </xf>
    <xf numFmtId="3" fontId="24" fillId="0" borderId="0" xfId="132" quotePrefix="1" applyNumberFormat="1" applyFont="1" applyAlignment="1">
      <alignment horizontal="right"/>
    </xf>
    <xf numFmtId="169" fontId="24" fillId="0" borderId="0" xfId="132" applyNumberFormat="1" applyFont="1" applyAlignment="1"/>
    <xf numFmtId="0" fontId="24" fillId="0" borderId="0" xfId="132" applyFont="1" applyAlignment="1">
      <alignment horizontal="right"/>
    </xf>
    <xf numFmtId="0" fontId="24" fillId="0" borderId="11" xfId="132" applyNumberFormat="1" applyFont="1" applyBorder="1" applyAlignment="1">
      <alignment horizontal="left"/>
    </xf>
    <xf numFmtId="0" fontId="24" fillId="0" borderId="11" xfId="132" applyNumberFormat="1" applyFont="1" applyBorder="1" applyAlignment="1"/>
    <xf numFmtId="0" fontId="24" fillId="0" borderId="11" xfId="132" applyFont="1" applyBorder="1" applyAlignment="1">
      <alignment horizontal="left"/>
    </xf>
    <xf numFmtId="3" fontId="24" fillId="0" borderId="11" xfId="132" applyNumberFormat="1" applyFont="1" applyBorder="1" applyAlignment="1">
      <alignment horizontal="right"/>
    </xf>
    <xf numFmtId="169" fontId="24" fillId="0" borderId="11" xfId="132" applyNumberFormat="1" applyFont="1" applyBorder="1" applyAlignment="1"/>
    <xf numFmtId="0" fontId="19" fillId="0" borderId="0" xfId="132" applyFont="1" applyBorder="1" applyAlignment="1"/>
    <xf numFmtId="0" fontId="19" fillId="0" borderId="0" xfId="132" applyNumberFormat="1" applyFont="1" applyBorder="1" applyAlignment="1"/>
    <xf numFmtId="3" fontId="19" fillId="0" borderId="0" xfId="132" quotePrefix="1" applyNumberFormat="1" applyFont="1" applyBorder="1" applyAlignment="1">
      <alignment horizontal="right"/>
    </xf>
    <xf numFmtId="169" fontId="19" fillId="0" borderId="0" xfId="132" applyNumberFormat="1" applyFont="1" applyAlignment="1"/>
    <xf numFmtId="0" fontId="19" fillId="0" borderId="0" xfId="132" applyNumberFormat="1" applyFont="1" applyFill="1" applyAlignment="1">
      <alignment horizontal="center"/>
    </xf>
    <xf numFmtId="0" fontId="19" fillId="0" borderId="0" xfId="132" applyFont="1" applyBorder="1" applyAlignment="1">
      <alignment horizontal="left"/>
    </xf>
    <xf numFmtId="0" fontId="19" fillId="0" borderId="27" xfId="132" applyFont="1" applyBorder="1" applyAlignment="1"/>
    <xf numFmtId="0" fontId="24" fillId="0" borderId="27" xfId="132" applyFont="1" applyBorder="1"/>
    <xf numFmtId="3" fontId="19" fillId="0" borderId="27" xfId="132" applyNumberFormat="1" applyFont="1" applyBorder="1" applyAlignment="1">
      <alignment horizontal="left"/>
    </xf>
    <xf numFmtId="166" fontId="19" fillId="0" borderId="27" xfId="132" applyNumberFormat="1" applyFont="1" applyBorder="1" applyAlignment="1">
      <alignment horizontal="center"/>
    </xf>
    <xf numFmtId="3" fontId="19" fillId="0" borderId="27" xfId="132" applyNumberFormat="1" applyFont="1" applyBorder="1" applyAlignment="1"/>
    <xf numFmtId="0" fontId="24" fillId="0" borderId="0" xfId="132" applyNumberFormat="1" applyFont="1" applyAlignment="1">
      <alignment horizontal="center"/>
    </xf>
    <xf numFmtId="0" fontId="90" fillId="22" borderId="0" xfId="132" applyNumberFormat="1" applyFont="1" applyFill="1" applyAlignment="1">
      <alignment horizontal="left"/>
    </xf>
    <xf numFmtId="0" fontId="90" fillId="22" borderId="0" xfId="132" applyFont="1" applyFill="1" applyAlignment="1">
      <alignment horizontal="left"/>
    </xf>
    <xf numFmtId="0" fontId="90" fillId="22" borderId="0" xfId="132" applyFont="1" applyFill="1" applyAlignment="1"/>
    <xf numFmtId="0" fontId="91" fillId="22" borderId="0" xfId="132" applyNumberFormat="1" applyFont="1" applyFill="1" applyAlignment="1">
      <alignment horizontal="left"/>
    </xf>
    <xf numFmtId="0" fontId="24" fillId="22" borderId="0" xfId="132" applyFont="1" applyFill="1" applyAlignment="1"/>
    <xf numFmtId="0" fontId="91" fillId="22" borderId="0" xfId="132" applyNumberFormat="1" applyFont="1" applyFill="1" applyAlignment="1">
      <alignment horizontal="center"/>
    </xf>
    <xf numFmtId="0" fontId="24" fillId="22" borderId="0" xfId="132" applyFont="1" applyFill="1" applyBorder="1" applyAlignment="1">
      <alignment horizontal="center" wrapText="1"/>
    </xf>
    <xf numFmtId="0" fontId="19" fillId="0" borderId="0" xfId="132" applyNumberFormat="1" applyFont="1" applyFill="1" applyAlignment="1"/>
    <xf numFmtId="3" fontId="24" fillId="0" borderId="0" xfId="132" applyNumberFormat="1" applyFont="1" applyAlignment="1">
      <alignment horizontal="center"/>
    </xf>
    <xf numFmtId="180" fontId="19" fillId="0" borderId="0" xfId="134" applyNumberFormat="1" applyFont="1" applyAlignment="1"/>
    <xf numFmtId="3" fontId="24" fillId="0" borderId="0" xfId="132" applyNumberFormat="1" applyFont="1"/>
    <xf numFmtId="164" fontId="19" fillId="0" borderId="0" xfId="132" applyNumberFormat="1" applyFont="1" applyBorder="1" applyAlignment="1">
      <alignment horizontal="left"/>
    </xf>
    <xf numFmtId="166" fontId="24" fillId="0" borderId="0" xfId="132" applyNumberFormat="1" applyFont="1" applyAlignment="1">
      <alignment horizontal="center"/>
    </xf>
    <xf numFmtId="3" fontId="24" fillId="0" borderId="0" xfId="132" applyNumberFormat="1" applyFont="1" applyFill="1" applyBorder="1" applyAlignment="1">
      <alignment horizontal="left"/>
    </xf>
    <xf numFmtId="0" fontId="57" fillId="0" borderId="0" xfId="132" applyNumberFormat="1" applyFont="1" applyFill="1"/>
    <xf numFmtId="10" fontId="57" fillId="0" borderId="0" xfId="132" applyNumberFormat="1" applyFont="1" applyFill="1"/>
    <xf numFmtId="172" fontId="24" fillId="0" borderId="0" xfId="132" applyNumberFormat="1" applyFont="1" applyFill="1" applyAlignment="1"/>
    <xf numFmtId="43" fontId="57" fillId="0" borderId="0" xfId="132" applyNumberFormat="1" applyFont="1" applyFill="1"/>
    <xf numFmtId="164" fontId="24" fillId="0" borderId="0" xfId="132" applyNumberFormat="1" applyFont="1" applyFill="1" applyAlignment="1">
      <alignment horizontal="left"/>
    </xf>
    <xf numFmtId="172" fontId="24" fillId="0" borderId="0" xfId="132" applyNumberFormat="1" applyFont="1" applyAlignment="1"/>
    <xf numFmtId="10" fontId="24" fillId="0" borderId="0" xfId="132" applyNumberFormat="1" applyFont="1"/>
    <xf numFmtId="164" fontId="24" fillId="0" borderId="0" xfId="132" applyNumberFormat="1" applyFont="1" applyAlignment="1">
      <alignment horizontal="center"/>
    </xf>
    <xf numFmtId="164" fontId="24" fillId="0" borderId="0" xfId="132" applyNumberFormat="1" applyFont="1" applyAlignment="1">
      <alignment horizontal="left"/>
    </xf>
    <xf numFmtId="10" fontId="24" fillId="0" borderId="0" xfId="132" applyNumberFormat="1" applyFont="1" applyFill="1" applyAlignment="1">
      <alignment horizontal="right"/>
    </xf>
    <xf numFmtId="10" fontId="88" fillId="0" borderId="0" xfId="132" applyNumberFormat="1" applyFont="1" applyFill="1" applyAlignment="1">
      <alignment horizontal="right"/>
    </xf>
    <xf numFmtId="3" fontId="24" fillId="0" borderId="0" xfId="132" applyNumberFormat="1" applyFont="1" applyBorder="1" applyAlignment="1"/>
    <xf numFmtId="0" fontId="24" fillId="0" borderId="0" xfId="132" applyFont="1" applyFill="1" applyBorder="1" applyAlignment="1"/>
    <xf numFmtId="0" fontId="24" fillId="0" borderId="0" xfId="132" applyNumberFormat="1" applyFont="1" applyFill="1" applyBorder="1" applyAlignment="1">
      <alignment horizontal="center"/>
    </xf>
    <xf numFmtId="3" fontId="92" fillId="0" borderId="0" xfId="132" applyNumberFormat="1" applyFont="1" applyBorder="1" applyAlignment="1">
      <alignment horizontal="right"/>
    </xf>
    <xf numFmtId="3" fontId="93" fillId="0" borderId="0" xfId="132" applyNumberFormat="1" applyFont="1" applyBorder="1" applyAlignment="1">
      <alignment horizontal="right"/>
    </xf>
    <xf numFmtId="3" fontId="24" fillId="0" borderId="0" xfId="132" applyNumberFormat="1" applyFont="1" applyFill="1" applyAlignment="1">
      <alignment horizontal="right"/>
    </xf>
    <xf numFmtId="166" fontId="24" fillId="0" borderId="0" xfId="132" applyNumberFormat="1" applyFont="1" applyAlignment="1"/>
    <xf numFmtId="182" fontId="24" fillId="0" borderId="0" xfId="134" applyNumberFormat="1" applyFont="1" applyFill="1" applyAlignment="1">
      <alignment horizontal="right"/>
    </xf>
    <xf numFmtId="0" fontId="87" fillId="0" borderId="0" xfId="132" applyFont="1" applyAlignment="1"/>
    <xf numFmtId="43" fontId="24" fillId="0" borderId="0" xfId="59" applyFont="1" applyFill="1" applyAlignment="1">
      <alignment horizontal="right"/>
    </xf>
    <xf numFmtId="43" fontId="24" fillId="0" borderId="28" xfId="59" applyFont="1" applyFill="1" applyBorder="1" applyAlignment="1">
      <alignment horizontal="right"/>
    </xf>
    <xf numFmtId="10" fontId="57" fillId="0" borderId="0" xfId="85" applyNumberFormat="1" applyFont="1" applyFill="1"/>
    <xf numFmtId="164" fontId="19" fillId="0" borderId="18" xfId="132" applyNumberFormat="1" applyFont="1" applyBorder="1" applyAlignment="1">
      <alignment horizontal="left"/>
    </xf>
    <xf numFmtId="0" fontId="19" fillId="0" borderId="18" xfId="132" applyFont="1" applyBorder="1" applyAlignment="1"/>
    <xf numFmtId="0" fontId="19" fillId="0" borderId="18" xfId="132" applyFont="1" applyBorder="1" applyAlignment="1">
      <alignment horizontal="center"/>
    </xf>
    <xf numFmtId="3" fontId="19" fillId="0" borderId="18" xfId="132" applyNumberFormat="1" applyFont="1" applyBorder="1" applyAlignment="1"/>
    <xf numFmtId="166" fontId="19" fillId="0" borderId="18" xfId="132" applyNumberFormat="1" applyFont="1" applyBorder="1" applyAlignment="1"/>
    <xf numFmtId="3" fontId="19" fillId="0" borderId="18" xfId="133" applyNumberFormat="1" applyFont="1" applyFill="1" applyBorder="1" applyAlignment="1">
      <alignment horizontal="right"/>
    </xf>
    <xf numFmtId="0" fontId="24" fillId="0" borderId="0" xfId="132" applyNumberFormat="1" applyFont="1" applyBorder="1" applyAlignment="1">
      <alignment horizontal="center"/>
    </xf>
    <xf numFmtId="0" fontId="71" fillId="0" borderId="0" xfId="0" applyNumberFormat="1" applyFont="1" applyFill="1" applyAlignment="1">
      <alignment horizontal="center" vertical="center"/>
    </xf>
    <xf numFmtId="0" fontId="17" fillId="0" borderId="0" xfId="80" applyNumberFormat="1" applyFont="1" applyFill="1" applyBorder="1" applyAlignment="1"/>
    <xf numFmtId="0" fontId="94" fillId="0" borderId="0" xfId="80" applyFont="1" applyBorder="1" applyAlignment="1">
      <alignment horizontal="left"/>
    </xf>
    <xf numFmtId="0" fontId="17" fillId="0" borderId="0" xfId="80" applyFont="1" applyBorder="1" applyAlignment="1"/>
    <xf numFmtId="0" fontId="17" fillId="0" borderId="0" xfId="80" applyFont="1" applyBorder="1" applyAlignment="1">
      <alignment horizontal="center"/>
    </xf>
    <xf numFmtId="0" fontId="17" fillId="0" borderId="0" xfId="80" applyFont="1" applyBorder="1"/>
    <xf numFmtId="3" fontId="24" fillId="0" borderId="0" xfId="80" applyNumberFormat="1" applyFont="1" applyFill="1" applyBorder="1" applyAlignment="1"/>
    <xf numFmtId="172" fontId="17" fillId="0" borderId="0" xfId="0" applyFont="1" applyBorder="1" applyAlignment="1"/>
    <xf numFmtId="172" fontId="45" fillId="0" borderId="0" xfId="0" applyFont="1" applyBorder="1" applyAlignment="1"/>
    <xf numFmtId="170" fontId="17" fillId="0" borderId="0" xfId="0" applyNumberFormat="1" applyFont="1" applyFill="1" applyBorder="1" applyAlignment="1"/>
    <xf numFmtId="43" fontId="17" fillId="0" borderId="0" xfId="59" applyFont="1" applyFill="1" applyBorder="1" applyAlignment="1"/>
    <xf numFmtId="172" fontId="17" fillId="0" borderId="0" xfId="0" applyFont="1" applyFill="1" applyBorder="1" applyAlignment="1"/>
    <xf numFmtId="176" fontId="17" fillId="0" borderId="0" xfId="59" applyNumberFormat="1" applyFont="1" applyFill="1" applyBorder="1" applyAlignment="1"/>
    <xf numFmtId="183" fontId="17" fillId="0" borderId="0" xfId="0" applyNumberFormat="1" applyFont="1" applyFill="1" applyBorder="1" applyAlignment="1">
      <alignment horizontal="right"/>
    </xf>
    <xf numFmtId="43" fontId="95" fillId="0" borderId="0" xfId="59" applyFont="1" applyFill="1" applyBorder="1" applyAlignment="1">
      <alignment horizontal="right"/>
    </xf>
    <xf numFmtId="184" fontId="24" fillId="0" borderId="0" xfId="59" applyNumberFormat="1" applyFont="1" applyFill="1" applyAlignment="1">
      <alignment horizontal="right"/>
    </xf>
    <xf numFmtId="0" fontId="90" fillId="0" borderId="0" xfId="132" applyNumberFormat="1" applyFont="1" applyFill="1" applyAlignment="1">
      <alignment horizontal="left"/>
    </xf>
    <xf numFmtId="0" fontId="90" fillId="0" borderId="0" xfId="132" applyFont="1" applyFill="1" applyAlignment="1">
      <alignment horizontal="left"/>
    </xf>
    <xf numFmtId="0" fontId="90" fillId="0" borderId="0" xfId="132" applyFont="1" applyFill="1" applyAlignment="1"/>
    <xf numFmtId="0" fontId="91" fillId="0" borderId="0" xfId="132" applyNumberFormat="1" applyFont="1" applyFill="1" applyAlignment="1">
      <alignment horizontal="left"/>
    </xf>
    <xf numFmtId="0" fontId="91" fillId="0" borderId="0" xfId="132" applyNumberFormat="1" applyFont="1" applyFill="1" applyAlignment="1">
      <alignment horizontal="center"/>
    </xf>
    <xf numFmtId="0" fontId="24" fillId="0" borderId="0" xfId="132" applyFont="1" applyFill="1" applyBorder="1" applyAlignment="1">
      <alignment horizontal="center" wrapText="1"/>
    </xf>
    <xf numFmtId="172" fontId="69" fillId="0" borderId="0" xfId="0" applyFont="1" applyFill="1" applyAlignment="1">
      <alignment horizontal="center" vertical="center"/>
    </xf>
    <xf numFmtId="164" fontId="24" fillId="0" borderId="0" xfId="132" applyNumberFormat="1" applyFont="1" applyFill="1" applyAlignment="1">
      <alignment horizontal="center"/>
    </xf>
    <xf numFmtId="166" fontId="24" fillId="0" borderId="0" xfId="132" applyNumberFormat="1" applyFont="1" applyFill="1" applyAlignment="1">
      <alignment horizontal="center"/>
    </xf>
    <xf numFmtId="43" fontId="24" fillId="0" borderId="0" xfId="132" applyNumberFormat="1" applyFont="1" applyFill="1" applyAlignment="1">
      <alignment horizontal="right"/>
    </xf>
    <xf numFmtId="164" fontId="24" fillId="0" borderId="0" xfId="0" applyNumberFormat="1" applyFont="1" applyAlignment="1">
      <alignment horizontal="left"/>
    </xf>
    <xf numFmtId="172" fontId="24" fillId="0" borderId="0" xfId="0" applyFont="1" applyAlignment="1"/>
    <xf numFmtId="0" fontId="24" fillId="0" borderId="0" xfId="0" applyNumberFormat="1" applyFont="1" applyAlignment="1"/>
    <xf numFmtId="0" fontId="24" fillId="0" borderId="0" xfId="0" applyNumberFormat="1" applyFont="1" applyFill="1" applyAlignment="1"/>
    <xf numFmtId="164" fontId="24" fillId="0" borderId="0" xfId="0" applyNumberFormat="1" applyFont="1" applyFill="1" applyAlignment="1">
      <alignment horizontal="left"/>
    </xf>
    <xf numFmtId="172" fontId="24" fillId="0" borderId="0" xfId="0" applyFont="1" applyFill="1" applyAlignment="1"/>
    <xf numFmtId="0" fontId="17" fillId="0" borderId="0" xfId="132" applyFont="1"/>
    <xf numFmtId="0" fontId="96" fillId="0" borderId="0" xfId="132" applyFont="1" applyAlignment="1"/>
    <xf numFmtId="0" fontId="17" fillId="0" borderId="0" xfId="132" applyFont="1" applyFill="1" applyAlignment="1">
      <alignment horizontal="centerContinuous"/>
    </xf>
    <xf numFmtId="0" fontId="41" fillId="0" borderId="0" xfId="132" applyFont="1" applyFill="1"/>
    <xf numFmtId="0" fontId="41" fillId="0" borderId="0" xfId="132" applyFont="1"/>
    <xf numFmtId="0" fontId="41" fillId="0" borderId="0" xfId="132" applyFont="1" applyBorder="1" applyAlignment="1">
      <alignment horizontal="center"/>
    </xf>
    <xf numFmtId="0" fontId="17" fillId="0" borderId="0" xfId="132" applyFont="1" applyFill="1"/>
    <xf numFmtId="0" fontId="41" fillId="0" borderId="0" xfId="132" applyFont="1" applyFill="1" applyAlignment="1">
      <alignment horizontal="center"/>
    </xf>
    <xf numFmtId="176" fontId="17" fillId="0" borderId="0" xfId="59" applyNumberFormat="1" applyFont="1" applyBorder="1"/>
    <xf numFmtId="176" fontId="17" fillId="0" borderId="0" xfId="59" applyNumberFormat="1" applyFont="1"/>
    <xf numFmtId="176" fontId="17" fillId="0" borderId="0" xfId="132" applyNumberFormat="1" applyFont="1" applyBorder="1"/>
    <xf numFmtId="176" fontId="17" fillId="0" borderId="11" xfId="59" applyNumberFormat="1" applyFont="1" applyBorder="1"/>
    <xf numFmtId="176" fontId="17" fillId="0" borderId="0" xfId="59" applyNumberFormat="1" applyFont="1" applyFill="1" applyBorder="1"/>
    <xf numFmtId="0" fontId="17" fillId="0" borderId="0" xfId="132" applyFont="1" applyFill="1" applyBorder="1" applyAlignment="1">
      <alignment horizontal="center"/>
    </xf>
    <xf numFmtId="0" fontId="17" fillId="0" borderId="0" xfId="132" applyFont="1" applyFill="1" applyBorder="1"/>
    <xf numFmtId="0" fontId="19" fillId="0" borderId="0" xfId="132" applyFont="1" applyAlignment="1">
      <alignment horizontal="center"/>
    </xf>
    <xf numFmtId="0" fontId="67" fillId="0" borderId="0" xfId="132" applyFont="1"/>
    <xf numFmtId="176" fontId="97" fillId="0" borderId="0" xfId="59" applyNumberFormat="1" applyFont="1" applyBorder="1"/>
    <xf numFmtId="176" fontId="17" fillId="0" borderId="0" xfId="59" applyNumberFormat="1" applyFont="1" applyFill="1"/>
    <xf numFmtId="0" fontId="98" fillId="0" borderId="0" xfId="132" applyFont="1" applyFill="1"/>
    <xf numFmtId="176" fontId="97" fillId="0" borderId="0" xfId="59" applyNumberFormat="1" applyFont="1" applyFill="1" applyBorder="1"/>
    <xf numFmtId="176" fontId="17" fillId="0" borderId="0" xfId="59" applyNumberFormat="1" applyFont="1" applyFill="1" applyAlignment="1">
      <alignment horizontal="center"/>
    </xf>
    <xf numFmtId="176" fontId="17" fillId="0" borderId="0" xfId="59" applyNumberFormat="1" applyFont="1" applyFill="1" applyBorder="1" applyAlignment="1">
      <alignment horizontal="center"/>
    </xf>
    <xf numFmtId="176" fontId="17" fillId="0" borderId="0" xfId="132" applyNumberFormat="1" applyFont="1" applyFill="1"/>
    <xf numFmtId="176" fontId="17" fillId="0" borderId="0" xfId="132" applyNumberFormat="1" applyFont="1"/>
    <xf numFmtId="176" fontId="99" fillId="0" borderId="0" xfId="59" applyNumberFormat="1" applyFont="1" applyFill="1" applyBorder="1"/>
    <xf numFmtId="176" fontId="100" fillId="0" borderId="0" xfId="59" applyNumberFormat="1" applyFont="1" applyFill="1" applyBorder="1"/>
    <xf numFmtId="176" fontId="100" fillId="0" borderId="0" xfId="59" applyNumberFormat="1" applyFont="1" applyFill="1" applyBorder="1" applyAlignment="1">
      <alignment horizontal="left"/>
    </xf>
    <xf numFmtId="176" fontId="17" fillId="0" borderId="0" xfId="59" applyNumberFormat="1" applyFont="1" applyAlignment="1">
      <alignment wrapText="1"/>
    </xf>
    <xf numFmtId="0" fontId="19" fillId="0" borderId="0" xfId="132" applyFont="1" applyFill="1" applyAlignment="1">
      <alignment horizontal="left"/>
    </xf>
    <xf numFmtId="176" fontId="41" fillId="0" borderId="0" xfId="59" applyNumberFormat="1" applyFont="1"/>
    <xf numFmtId="176" fontId="41" fillId="0" borderId="0" xfId="59" applyNumberFormat="1" applyFont="1" applyFill="1" applyAlignment="1">
      <alignment horizontal="center"/>
    </xf>
    <xf numFmtId="176" fontId="67" fillId="0" borderId="0" xfId="59" applyNumberFormat="1" applyFont="1"/>
    <xf numFmtId="43" fontId="17" fillId="0" borderId="0" xfId="132" applyNumberFormat="1" applyFont="1"/>
    <xf numFmtId="0" fontId="95" fillId="0" borderId="0" xfId="132" applyFont="1"/>
    <xf numFmtId="176" fontId="99" fillId="0" borderId="0" xfId="59" applyNumberFormat="1" applyFont="1" applyFill="1" applyBorder="1" applyAlignment="1">
      <alignment horizontal="left"/>
    </xf>
    <xf numFmtId="0" fontId="41" fillId="0" borderId="0" xfId="132" applyFont="1" applyAlignment="1">
      <alignment horizontal="left"/>
    </xf>
    <xf numFmtId="176" fontId="41" fillId="0" borderId="0" xfId="59" applyNumberFormat="1" applyFont="1" applyFill="1" applyBorder="1"/>
    <xf numFmtId="37" fontId="17" fillId="0" borderId="0" xfId="132" applyNumberFormat="1" applyFont="1" applyFill="1"/>
    <xf numFmtId="0" fontId="41" fillId="0" borderId="0" xfId="132" applyNumberFormat="1" applyFont="1" applyFill="1" applyAlignment="1"/>
    <xf numFmtId="43" fontId="24" fillId="0" borderId="0" xfId="132" applyNumberFormat="1" applyFont="1"/>
    <xf numFmtId="172" fontId="68" fillId="0" borderId="0" xfId="0" applyFont="1" applyAlignment="1">
      <alignment horizontal="left" vertical="center"/>
    </xf>
    <xf numFmtId="172" fontId="70" fillId="0" borderId="0" xfId="0" applyFont="1" applyAlignment="1">
      <alignment horizontal="center" vertical="center"/>
    </xf>
    <xf numFmtId="172" fontId="70" fillId="0" borderId="0" xfId="0" applyFont="1" applyAlignment="1">
      <alignment horizontal="center" vertical="center"/>
    </xf>
    <xf numFmtId="3" fontId="46" fillId="0" borderId="0" xfId="0" applyNumberFormat="1" applyFont="1" applyFill="1" applyBorder="1" applyAlignment="1" applyProtection="1">
      <protection locked="0"/>
    </xf>
    <xf numFmtId="0" fontId="46" fillId="0" borderId="0" xfId="0" applyNumberFormat="1" applyFont="1" applyFill="1" applyBorder="1" applyAlignment="1" applyProtection="1">
      <protection locked="0"/>
    </xf>
    <xf numFmtId="17" fontId="47" fillId="0" borderId="14" xfId="0" applyNumberFormat="1" applyFont="1" applyFill="1" applyBorder="1" applyAlignment="1">
      <alignment horizontal="center" wrapText="1"/>
    </xf>
    <xf numFmtId="17" fontId="47" fillId="21" borderId="14" xfId="0" applyNumberFormat="1" applyFont="1" applyFill="1" applyBorder="1" applyAlignment="1">
      <alignment horizontal="center" wrapText="1"/>
    </xf>
    <xf numFmtId="172" fontId="0" fillId="21" borderId="14" xfId="0" applyFill="1" applyBorder="1" applyAlignment="1"/>
    <xf numFmtId="17" fontId="47" fillId="0" borderId="0" xfId="0" applyNumberFormat="1" applyFont="1" applyFill="1" applyBorder="1" applyAlignment="1">
      <alignment horizontal="center" wrapText="1"/>
    </xf>
    <xf numFmtId="172" fontId="0" fillId="0" borderId="0" xfId="0" applyBorder="1" applyAlignment="1"/>
    <xf numFmtId="0" fontId="47" fillId="0" borderId="23" xfId="0" applyNumberFormat="1" applyFont="1" applyFill="1" applyBorder="1" applyAlignment="1">
      <alignment horizontal="center" wrapText="1"/>
    </xf>
    <xf numFmtId="172" fontId="0" fillId="21" borderId="0" xfId="0" applyFill="1" applyBorder="1" applyAlignment="1"/>
    <xf numFmtId="172" fontId="0" fillId="0" borderId="21" xfId="0" applyBorder="1" applyAlignment="1"/>
    <xf numFmtId="172" fontId="0" fillId="0" borderId="16" xfId="0" applyBorder="1" applyAlignment="1"/>
    <xf numFmtId="172" fontId="0" fillId="0" borderId="17" xfId="0" applyBorder="1" applyAlignment="1"/>
    <xf numFmtId="172" fontId="0" fillId="0" borderId="11" xfId="0" applyBorder="1" applyAlignment="1"/>
    <xf numFmtId="172" fontId="0" fillId="0" borderId="22" xfId="0" applyBorder="1" applyAlignment="1"/>
    <xf numFmtId="180" fontId="17" fillId="0" borderId="0" xfId="85" applyNumberFormat="1" applyFont="1" applyFill="1"/>
    <xf numFmtId="172" fontId="68" fillId="0" borderId="0" xfId="0" applyFont="1" applyAlignment="1">
      <alignment horizontal="center" vertical="center"/>
    </xf>
    <xf numFmtId="10" fontId="17" fillId="0" borderId="0" xfId="85" applyNumberFormat="1" applyFont="1"/>
    <xf numFmtId="43" fontId="104" fillId="0" borderId="0" xfId="132" applyNumberFormat="1" applyFont="1"/>
    <xf numFmtId="176" fontId="104" fillId="0" borderId="0" xfId="132" applyNumberFormat="1" applyFont="1" applyBorder="1"/>
    <xf numFmtId="0" fontId="17" fillId="0" borderId="0" xfId="132" applyFont="1" applyFill="1" applyAlignment="1">
      <alignment horizontal="center" vertical="center"/>
    </xf>
    <xf numFmtId="0" fontId="17" fillId="0" borderId="0" xfId="132" applyFont="1" applyAlignment="1">
      <alignment horizontal="center"/>
    </xf>
    <xf numFmtId="0" fontId="17" fillId="0" borderId="0" xfId="132" applyNumberFormat="1" applyFont="1" applyFill="1" applyAlignment="1"/>
    <xf numFmtId="172" fontId="83" fillId="0" borderId="0" xfId="0" applyFont="1" applyAlignment="1">
      <alignment horizontal="center" vertical="center" wrapText="1"/>
    </xf>
    <xf numFmtId="0" fontId="16" fillId="0" borderId="0" xfId="137" applyFont="1"/>
    <xf numFmtId="0" fontId="19" fillId="0" borderId="0" xfId="137" applyFont="1"/>
    <xf numFmtId="0" fontId="19" fillId="0" borderId="0" xfId="137" applyFont="1" applyAlignment="1">
      <alignment horizontal="left"/>
    </xf>
    <xf numFmtId="0" fontId="19" fillId="0" borderId="32" xfId="137" applyFont="1" applyBorder="1" applyAlignment="1">
      <alignment horizontal="left"/>
    </xf>
    <xf numFmtId="0" fontId="19" fillId="0" borderId="0" xfId="137" applyFont="1" applyBorder="1" applyAlignment="1">
      <alignment horizontal="center"/>
    </xf>
    <xf numFmtId="0" fontId="106" fillId="0" borderId="0" xfId="137" applyFont="1" applyBorder="1"/>
    <xf numFmtId="0" fontId="17" fillId="0" borderId="0" xfId="137" applyFont="1" applyBorder="1"/>
    <xf numFmtId="44" fontId="19" fillId="0" borderId="0" xfId="137" applyNumberFormat="1" applyFont="1" applyBorder="1"/>
    <xf numFmtId="0" fontId="106" fillId="0" borderId="32" xfId="137" applyFont="1" applyBorder="1"/>
    <xf numFmtId="0" fontId="68" fillId="0" borderId="0" xfId="0" applyNumberFormat="1" applyFont="1" applyFill="1" applyBorder="1" applyAlignment="1">
      <alignment vertical="center"/>
    </xf>
    <xf numFmtId="172" fontId="0" fillId="0" borderId="0" xfId="0" applyFill="1" applyAlignment="1"/>
    <xf numFmtId="0" fontId="12" fillId="0" borderId="0" xfId="148"/>
    <xf numFmtId="0" fontId="12" fillId="0" borderId="0" xfId="148" applyFill="1"/>
    <xf numFmtId="0" fontId="107" fillId="0" borderId="0" xfId="148" applyFont="1" applyFill="1" applyBorder="1" applyAlignment="1">
      <alignment horizontal="center"/>
    </xf>
    <xf numFmtId="0" fontId="12" fillId="0" borderId="35" xfId="148" applyBorder="1"/>
    <xf numFmtId="0" fontId="12" fillId="0" borderId="36" xfId="148" applyBorder="1"/>
    <xf numFmtId="0" fontId="12" fillId="0" borderId="37" xfId="148" applyFill="1" applyBorder="1"/>
    <xf numFmtId="37" fontId="12" fillId="0" borderId="0" xfId="148" applyNumberFormat="1"/>
    <xf numFmtId="37" fontId="12" fillId="0" borderId="0" xfId="148" applyNumberFormat="1" applyBorder="1"/>
    <xf numFmtId="0" fontId="12" fillId="0" borderId="0" xfId="148" applyBorder="1"/>
    <xf numFmtId="37" fontId="12" fillId="0" borderId="0" xfId="148" applyNumberFormat="1" applyFill="1" applyBorder="1"/>
    <xf numFmtId="37" fontId="107" fillId="0" borderId="0" xfId="148" applyNumberFormat="1" applyFont="1" applyFill="1" applyBorder="1"/>
    <xf numFmtId="37" fontId="107" fillId="0" borderId="34" xfId="148" applyNumberFormat="1" applyFont="1" applyFill="1" applyBorder="1"/>
    <xf numFmtId="0" fontId="12" fillId="0" borderId="0" xfId="148" applyFill="1" applyBorder="1"/>
    <xf numFmtId="37" fontId="12" fillId="0" borderId="33" xfId="148" applyNumberFormat="1" applyFill="1" applyBorder="1"/>
    <xf numFmtId="37" fontId="12" fillId="0" borderId="34" xfId="148" applyNumberFormat="1" applyFill="1" applyBorder="1"/>
    <xf numFmtId="172" fontId="46" fillId="0" borderId="16" xfId="0" quotePrefix="1" applyFont="1" applyFill="1" applyBorder="1" applyAlignment="1">
      <alignment horizontal="center"/>
    </xf>
    <xf numFmtId="172" fontId="68" fillId="0" borderId="0" xfId="0" applyFont="1" applyAlignment="1">
      <alignment horizontal="center" vertical="center"/>
    </xf>
    <xf numFmtId="172" fontId="70" fillId="0" borderId="0" xfId="0" applyFont="1" applyAlignment="1">
      <alignment horizontal="center" vertical="center"/>
    </xf>
    <xf numFmtId="176" fontId="46" fillId="0" borderId="0" xfId="59" applyNumberFormat="1" applyFont="1" applyAlignment="1">
      <alignment horizontal="center" vertical="center"/>
    </xf>
    <xf numFmtId="172" fontId="0" fillId="0" borderId="21" xfId="0" applyFill="1" applyBorder="1" applyAlignment="1"/>
    <xf numFmtId="176" fontId="19" fillId="0" borderId="0" xfId="59" applyNumberFormat="1" applyFont="1" applyAlignment="1">
      <alignment horizontal="center"/>
    </xf>
    <xf numFmtId="170" fontId="17" fillId="0" borderId="0" xfId="0" applyNumberFormat="1" applyFont="1" applyFill="1" applyBorder="1" applyAlignment="1">
      <alignment horizontal="right"/>
    </xf>
    <xf numFmtId="176" fontId="17" fillId="20" borderId="0" xfId="59" applyNumberFormat="1" applyFont="1" applyFill="1" applyAlignment="1">
      <alignment horizontal="right"/>
    </xf>
    <xf numFmtId="172" fontId="24" fillId="0" borderId="0" xfId="0" applyFont="1" applyFill="1" applyBorder="1" applyAlignment="1"/>
    <xf numFmtId="0" fontId="24" fillId="0" borderId="0" xfId="0" applyNumberFormat="1" applyFont="1" applyAlignment="1">
      <alignment horizontal="right"/>
    </xf>
    <xf numFmtId="172" fontId="19" fillId="0" borderId="0" xfId="0" applyFont="1" applyFill="1" applyBorder="1" applyAlignment="1"/>
    <xf numFmtId="0" fontId="24" fillId="0" borderId="0" xfId="0" applyNumberFormat="1" applyFont="1" applyFill="1" applyAlignment="1">
      <alignment horizontal="right"/>
    </xf>
    <xf numFmtId="0" fontId="24" fillId="0" borderId="0" xfId="0" applyNumberFormat="1" applyFont="1" applyFill="1" applyBorder="1" applyAlignment="1" applyProtection="1">
      <alignment horizontal="center"/>
      <protection locked="0"/>
    </xf>
    <xf numFmtId="0" fontId="24" fillId="0" borderId="0" xfId="0" applyNumberFormat="1" applyFont="1" applyFill="1" applyBorder="1"/>
    <xf numFmtId="49" fontId="24" fillId="0" borderId="0" xfId="0" applyNumberFormat="1" applyFont="1" applyFill="1" applyBorder="1"/>
    <xf numFmtId="172" fontId="24" fillId="0" borderId="16" xfId="0" applyFont="1" applyFill="1" applyBorder="1" applyAlignment="1"/>
    <xf numFmtId="0" fontId="24" fillId="0" borderId="0" xfId="0" applyNumberFormat="1" applyFont="1" applyFill="1" applyBorder="1" applyAlignment="1">
      <alignment horizontal="center"/>
    </xf>
    <xf numFmtId="49" fontId="24" fillId="0" borderId="0" xfId="0" applyNumberFormat="1" applyFont="1" applyFill="1" applyBorder="1" applyAlignment="1">
      <alignment horizontal="center"/>
    </xf>
    <xf numFmtId="0" fontId="24" fillId="0" borderId="0" xfId="0" applyNumberFormat="1" applyFont="1" applyFill="1" applyBorder="1" applyAlignment="1"/>
    <xf numFmtId="3" fontId="19" fillId="0" borderId="0" xfId="0" applyNumberFormat="1" applyFont="1" applyFill="1" applyBorder="1" applyAlignment="1">
      <alignment horizontal="center"/>
    </xf>
    <xf numFmtId="3" fontId="24" fillId="0" borderId="0" xfId="0" applyNumberFormat="1" applyFont="1" applyFill="1" applyBorder="1" applyAlignment="1"/>
    <xf numFmtId="172" fontId="19" fillId="0" borderId="0" xfId="0" applyFont="1" applyFill="1" applyBorder="1" applyAlignment="1">
      <alignment horizontal="center"/>
    </xf>
    <xf numFmtId="0" fontId="19" fillId="0" borderId="0" xfId="0" applyNumberFormat="1" applyFont="1" applyFill="1" applyBorder="1" applyAlignment="1" applyProtection="1">
      <alignment horizontal="center"/>
      <protection locked="0"/>
    </xf>
    <xf numFmtId="0" fontId="19" fillId="0" borderId="0" xfId="0" applyNumberFormat="1" applyFont="1" applyFill="1" applyBorder="1" applyAlignment="1"/>
    <xf numFmtId="0" fontId="106" fillId="0" borderId="0" xfId="0" applyNumberFormat="1" applyFont="1" applyFill="1" applyBorder="1" applyAlignment="1" applyProtection="1">
      <alignment horizontal="center"/>
      <protection locked="0"/>
    </xf>
    <xf numFmtId="3" fontId="24" fillId="0" borderId="0" xfId="0" applyNumberFormat="1" applyFont="1" applyFill="1" applyBorder="1" applyAlignment="1">
      <alignment horizontal="center"/>
    </xf>
    <xf numFmtId="173" fontId="24" fillId="0" borderId="0" xfId="63" applyNumberFormat="1" applyFont="1" applyFill="1" applyBorder="1" applyAlignment="1"/>
    <xf numFmtId="177" fontId="24" fillId="0" borderId="0" xfId="0" applyNumberFormat="1" applyFont="1" applyFill="1" applyBorder="1" applyAlignment="1"/>
    <xf numFmtId="177" fontId="24" fillId="0" borderId="0" xfId="85" applyNumberFormat="1" applyFont="1" applyFill="1" applyBorder="1" applyAlignment="1"/>
    <xf numFmtId="172" fontId="24" fillId="0" borderId="0" xfId="0" applyFont="1" applyFill="1" applyBorder="1" applyAlignment="1">
      <alignment horizontal="center"/>
    </xf>
    <xf numFmtId="49" fontId="19" fillId="0" borderId="0" xfId="0" applyNumberFormat="1" applyFont="1" applyFill="1" applyBorder="1" applyAlignment="1">
      <alignment horizontal="center"/>
    </xf>
    <xf numFmtId="3" fontId="19" fillId="0" borderId="0" xfId="0" applyNumberFormat="1" applyFont="1" applyFill="1" applyBorder="1" applyAlignment="1"/>
    <xf numFmtId="177" fontId="19" fillId="0" borderId="0" xfId="85" applyNumberFormat="1" applyFont="1" applyFill="1" applyBorder="1" applyAlignment="1"/>
    <xf numFmtId="164" fontId="24" fillId="0" borderId="0" xfId="0" applyNumberFormat="1" applyFont="1" applyFill="1" applyBorder="1" applyAlignment="1">
      <alignment horizontal="center"/>
    </xf>
    <xf numFmtId="172" fontId="24" fillId="0" borderId="11" xfId="0" applyFont="1" applyFill="1" applyBorder="1" applyAlignment="1"/>
    <xf numFmtId="172" fontId="24" fillId="0" borderId="0" xfId="0" applyFont="1" applyFill="1" applyBorder="1" applyAlignment="1">
      <alignment horizontal="right"/>
    </xf>
    <xf numFmtId="174" fontId="19" fillId="0" borderId="0" xfId="0" applyNumberFormat="1" applyFont="1" applyFill="1" applyBorder="1" applyAlignment="1">
      <alignment horizontal="center"/>
    </xf>
    <xf numFmtId="172" fontId="19" fillId="0" borderId="13" xfId="0" applyFont="1" applyFill="1" applyBorder="1" applyAlignment="1">
      <alignment horizontal="center" wrapText="1"/>
    </xf>
    <xf numFmtId="172" fontId="19" fillId="0" borderId="14" xfId="0" applyFont="1" applyFill="1" applyBorder="1" applyAlignment="1"/>
    <xf numFmtId="172" fontId="19" fillId="0" borderId="14" xfId="0" applyFont="1" applyFill="1" applyBorder="1" applyAlignment="1">
      <alignment horizontal="center"/>
    </xf>
    <xf numFmtId="172" fontId="19" fillId="0" borderId="14" xfId="0" applyFont="1" applyFill="1" applyBorder="1" applyAlignment="1">
      <alignment horizontal="center" wrapText="1"/>
    </xf>
    <xf numFmtId="0" fontId="19" fillId="0" borderId="14" xfId="0" applyNumberFormat="1" applyFont="1" applyFill="1" applyBorder="1" applyAlignment="1">
      <alignment horizontal="center" wrapText="1"/>
    </xf>
    <xf numFmtId="172" fontId="19" fillId="0" borderId="12" xfId="0" applyFont="1" applyFill="1" applyBorder="1" applyAlignment="1">
      <alignment horizontal="center" wrapText="1"/>
    </xf>
    <xf numFmtId="3" fontId="19" fillId="0" borderId="12" xfId="0" applyNumberFormat="1" applyFont="1" applyFill="1" applyBorder="1" applyAlignment="1">
      <alignment horizontal="center" wrapText="1"/>
    </xf>
    <xf numFmtId="0" fontId="24" fillId="0" borderId="13" xfId="0" applyNumberFormat="1" applyFont="1" applyFill="1" applyBorder="1"/>
    <xf numFmtId="0" fontId="24" fillId="0" borderId="14" xfId="0" applyNumberFormat="1" applyFont="1" applyFill="1" applyBorder="1"/>
    <xf numFmtId="0" fontId="24" fillId="0" borderId="14" xfId="0" applyNumberFormat="1" applyFont="1" applyFill="1" applyBorder="1" applyAlignment="1">
      <alignment horizontal="center"/>
    </xf>
    <xf numFmtId="0" fontId="24" fillId="0" borderId="12" xfId="0" applyNumberFormat="1" applyFont="1" applyFill="1" applyBorder="1" applyAlignment="1">
      <alignment horizontal="center"/>
    </xf>
    <xf numFmtId="0" fontId="24" fillId="0" borderId="12" xfId="0" applyNumberFormat="1" applyFont="1" applyFill="1" applyBorder="1" applyAlignment="1">
      <alignment horizontal="center" wrapText="1"/>
    </xf>
    <xf numFmtId="0" fontId="24" fillId="0" borderId="16" xfId="0" applyNumberFormat="1" applyFont="1" applyFill="1" applyBorder="1" applyAlignment="1">
      <alignment horizontal="center" wrapText="1"/>
    </xf>
    <xf numFmtId="0" fontId="24" fillId="0" borderId="10" xfId="0" applyNumberFormat="1" applyFont="1" applyFill="1" applyBorder="1"/>
    <xf numFmtId="1" fontId="24" fillId="0" borderId="0" xfId="0" applyNumberFormat="1" applyFont="1" applyFill="1" applyBorder="1" applyAlignment="1">
      <alignment horizontal="center"/>
    </xf>
    <xf numFmtId="170" fontId="24" fillId="0" borderId="10" xfId="0" applyNumberFormat="1" applyFont="1" applyFill="1" applyBorder="1" applyAlignment="1"/>
    <xf numFmtId="173" fontId="24" fillId="20" borderId="0" xfId="63" applyNumberFormat="1" applyFont="1" applyFill="1" applyBorder="1" applyAlignment="1"/>
    <xf numFmtId="170" fontId="24" fillId="0" borderId="10" xfId="59" applyNumberFormat="1" applyFont="1" applyFill="1" applyBorder="1" applyAlignment="1"/>
    <xf numFmtId="43" fontId="24" fillId="20" borderId="10" xfId="59" applyFont="1" applyFill="1" applyBorder="1" applyAlignment="1"/>
    <xf numFmtId="172" fontId="17" fillId="0" borderId="10" xfId="0" applyFont="1" applyFill="1" applyBorder="1" applyAlignment="1"/>
    <xf numFmtId="172" fontId="24" fillId="0" borderId="17" xfId="0" applyFont="1" applyFill="1" applyBorder="1" applyAlignment="1"/>
    <xf numFmtId="172" fontId="17" fillId="0" borderId="11" xfId="0" applyFont="1" applyFill="1" applyBorder="1" applyAlignment="1"/>
    <xf numFmtId="172" fontId="17" fillId="0" borderId="19" xfId="0" applyFont="1" applyFill="1" applyBorder="1" applyAlignment="1"/>
    <xf numFmtId="43" fontId="24" fillId="0" borderId="0" xfId="59" applyFont="1" applyFill="1" applyBorder="1" applyAlignment="1"/>
    <xf numFmtId="172" fontId="24" fillId="0" borderId="0" xfId="0" quotePrefix="1" applyFont="1" applyFill="1" applyBorder="1" applyAlignment="1">
      <alignment horizontal="center"/>
    </xf>
    <xf numFmtId="172" fontId="103" fillId="0" borderId="0" xfId="0" applyFont="1" applyFill="1" applyBorder="1" applyAlignment="1"/>
    <xf numFmtId="172" fontId="24" fillId="0" borderId="0" xfId="0" applyFont="1" applyFill="1" applyBorder="1" applyAlignment="1">
      <alignment horizontal="center" vertical="top"/>
    </xf>
    <xf numFmtId="172" fontId="17" fillId="0" borderId="0" xfId="0" applyFont="1" applyFill="1" applyBorder="1" applyAlignment="1">
      <alignment horizontal="center"/>
    </xf>
    <xf numFmtId="10" fontId="24" fillId="0" borderId="0" xfId="0" applyNumberFormat="1" applyFont="1" applyFill="1" applyBorder="1" applyAlignment="1"/>
    <xf numFmtId="172" fontId="19" fillId="0" borderId="14" xfId="0" applyFont="1" applyFill="1" applyBorder="1" applyAlignment="1">
      <alignment wrapText="1"/>
    </xf>
    <xf numFmtId="3" fontId="19" fillId="0" borderId="23" xfId="0" applyNumberFormat="1" applyFont="1" applyFill="1" applyBorder="1" applyAlignment="1">
      <alignment horizontal="center" wrapText="1"/>
    </xf>
    <xf numFmtId="172" fontId="24" fillId="0" borderId="0" xfId="0" applyFont="1" applyFill="1" applyBorder="1" applyAlignment="1">
      <alignment wrapText="1"/>
    </xf>
    <xf numFmtId="0" fontId="24" fillId="0" borderId="14" xfId="0" applyNumberFormat="1" applyFont="1" applyFill="1" applyBorder="1" applyAlignment="1">
      <alignment horizontal="center" wrapText="1"/>
    </xf>
    <xf numFmtId="0" fontId="24" fillId="0" borderId="23" xfId="0" applyNumberFormat="1" applyFont="1" applyFill="1" applyBorder="1" applyAlignment="1">
      <alignment horizontal="center"/>
    </xf>
    <xf numFmtId="0" fontId="24" fillId="0" borderId="16" xfId="0" applyNumberFormat="1" applyFont="1" applyFill="1" applyBorder="1" applyAlignment="1">
      <alignment horizontal="center"/>
    </xf>
    <xf numFmtId="0" fontId="24" fillId="20" borderId="2" xfId="0" applyNumberFormat="1" applyFont="1" applyFill="1" applyBorder="1"/>
    <xf numFmtId="0" fontId="24" fillId="0" borderId="2" xfId="0" applyNumberFormat="1" applyFont="1" applyFill="1" applyBorder="1"/>
    <xf numFmtId="0" fontId="24" fillId="0" borderId="32" xfId="0" applyNumberFormat="1" applyFont="1" applyFill="1" applyBorder="1"/>
    <xf numFmtId="0" fontId="24" fillId="0" borderId="20" xfId="0" applyNumberFormat="1" applyFont="1" applyFill="1" applyBorder="1"/>
    <xf numFmtId="0" fontId="24" fillId="0" borderId="16" xfId="0" applyNumberFormat="1" applyFont="1" applyFill="1" applyBorder="1"/>
    <xf numFmtId="0" fontId="24" fillId="0" borderId="21" xfId="0" applyNumberFormat="1" applyFont="1" applyFill="1" applyBorder="1"/>
    <xf numFmtId="43" fontId="24" fillId="20" borderId="0" xfId="59" applyFont="1" applyFill="1" applyBorder="1" applyAlignment="1"/>
    <xf numFmtId="43" fontId="24" fillId="0" borderId="0" xfId="85" applyNumberFormat="1" applyFont="1" applyFill="1" applyBorder="1" applyAlignment="1"/>
    <xf numFmtId="43" fontId="24" fillId="0" borderId="21" xfId="59" applyFont="1" applyFill="1" applyBorder="1" applyAlignment="1"/>
    <xf numFmtId="43" fontId="17" fillId="0" borderId="21" xfId="59" applyFont="1" applyFill="1" applyBorder="1" applyAlignment="1"/>
    <xf numFmtId="43" fontId="17" fillId="0" borderId="11" xfId="59" applyFont="1" applyFill="1" applyBorder="1" applyAlignment="1"/>
    <xf numFmtId="43" fontId="17" fillId="0" borderId="22" xfId="59" applyFont="1" applyFill="1" applyBorder="1" applyAlignment="1"/>
    <xf numFmtId="172" fontId="108" fillId="0" borderId="0" xfId="0" applyFont="1" applyFill="1" applyBorder="1" applyAlignment="1"/>
    <xf numFmtId="43" fontId="24" fillId="0" borderId="0" xfId="59" applyFont="1" applyFill="1" applyBorder="1" applyAlignment="1">
      <alignment horizontal="center"/>
    </xf>
    <xf numFmtId="49" fontId="24" fillId="0" borderId="0" xfId="0" applyNumberFormat="1" applyFont="1" applyFill="1" applyBorder="1" applyAlignment="1">
      <alignment horizontal="left"/>
    </xf>
    <xf numFmtId="176" fontId="67" fillId="20" borderId="0" xfId="136" applyNumberFormat="1" applyFont="1" applyFill="1"/>
    <xf numFmtId="176" fontId="17" fillId="20" borderId="0" xfId="136" applyNumberFormat="1" applyFont="1" applyFill="1"/>
    <xf numFmtId="176" fontId="17" fillId="20" borderId="0" xfId="59" applyNumberFormat="1" applyFont="1" applyFill="1"/>
    <xf numFmtId="176" fontId="17" fillId="20" borderId="0" xfId="59" applyNumberFormat="1" applyFont="1" applyFill="1" applyAlignment="1">
      <alignment wrapText="1"/>
    </xf>
    <xf numFmtId="176" fontId="67" fillId="20" borderId="0" xfId="136" applyNumberFormat="1" applyFont="1" applyFill="1" applyBorder="1"/>
    <xf numFmtId="176" fontId="17" fillId="20" borderId="11" xfId="59" applyNumberFormat="1" applyFont="1" applyFill="1" applyBorder="1"/>
    <xf numFmtId="176" fontId="17" fillId="20" borderId="11" xfId="59" applyNumberFormat="1" applyFont="1" applyFill="1" applyBorder="1" applyAlignment="1">
      <alignment wrapText="1"/>
    </xf>
    <xf numFmtId="0" fontId="41" fillId="0" borderId="0" xfId="132" applyFont="1" applyFill="1" applyAlignment="1">
      <alignment horizontal="center" wrapText="1"/>
    </xf>
    <xf numFmtId="176" fontId="95" fillId="20" borderId="0" xfId="59" applyNumberFormat="1" applyFont="1" applyFill="1"/>
    <xf numFmtId="176" fontId="101" fillId="20" borderId="0" xfId="59" applyNumberFormat="1" applyFont="1" applyFill="1"/>
    <xf numFmtId="0" fontId="17" fillId="20" borderId="0" xfId="132" applyFont="1" applyFill="1"/>
    <xf numFmtId="176" fontId="102" fillId="20" borderId="0" xfId="59" applyNumberFormat="1" applyFont="1" applyFill="1"/>
    <xf numFmtId="0" fontId="17" fillId="20" borderId="0" xfId="132" applyFont="1" applyFill="1" applyAlignment="1">
      <alignment wrapText="1"/>
    </xf>
    <xf numFmtId="176" fontId="17" fillId="20" borderId="0" xfId="136" applyNumberFormat="1" applyFont="1" applyFill="1" applyBorder="1"/>
    <xf numFmtId="176" fontId="67" fillId="20" borderId="0" xfId="59" applyNumberFormat="1" applyFont="1" applyFill="1"/>
    <xf numFmtId="176" fontId="95" fillId="20" borderId="0" xfId="59" applyNumberFormat="1" applyFont="1" applyFill="1" applyBorder="1"/>
    <xf numFmtId="176" fontId="101" fillId="20" borderId="0" xfId="59" applyNumberFormat="1" applyFont="1" applyFill="1" applyBorder="1"/>
    <xf numFmtId="176" fontId="95" fillId="0" borderId="0" xfId="59" applyNumberFormat="1" applyFont="1" applyFill="1"/>
    <xf numFmtId="176" fontId="101" fillId="0" borderId="0" xfId="59" applyNumberFormat="1" applyFont="1" applyFill="1"/>
    <xf numFmtId="176" fontId="17" fillId="20" borderId="11" xfId="136" applyNumberFormat="1" applyFont="1" applyFill="1" applyBorder="1"/>
    <xf numFmtId="176" fontId="69" fillId="0" borderId="0" xfId="59" applyNumberFormat="1" applyFont="1" applyFill="1" applyAlignment="1">
      <alignment horizontal="left" vertical="center"/>
    </xf>
    <xf numFmtId="0" fontId="0" fillId="0" borderId="0" xfId="0" applyNumberFormat="1" applyFill="1" applyAlignment="1">
      <alignment horizontal="left"/>
    </xf>
    <xf numFmtId="10" fontId="79" fillId="0" borderId="0" xfId="85" applyNumberFormat="1" applyFont="1"/>
    <xf numFmtId="0" fontId="17" fillId="0" borderId="0" xfId="0" applyNumberFormat="1" applyFont="1" applyFill="1" applyAlignment="1">
      <alignment horizontal="left"/>
    </xf>
    <xf numFmtId="172" fontId="68" fillId="0" borderId="0" xfId="0" applyFont="1" applyAlignment="1">
      <alignment horizontal="center" vertical="center"/>
    </xf>
    <xf numFmtId="172" fontId="70" fillId="0" borderId="0" xfId="0" applyFont="1" applyAlignment="1">
      <alignment horizontal="center" vertical="center"/>
    </xf>
    <xf numFmtId="3" fontId="68" fillId="0" borderId="0" xfId="0" applyNumberFormat="1" applyFont="1" applyFill="1" applyAlignment="1">
      <alignment horizontal="center" vertical="center"/>
    </xf>
    <xf numFmtId="3" fontId="68" fillId="0" borderId="0" xfId="0" applyNumberFormat="1" applyFont="1" applyFill="1" applyAlignment="1">
      <alignment vertical="center"/>
    </xf>
    <xf numFmtId="172" fontId="68" fillId="0" borderId="0" xfId="0" applyFont="1" applyAlignment="1">
      <alignment horizontal="center" vertical="center"/>
    </xf>
    <xf numFmtId="3" fontId="67" fillId="0" borderId="0" xfId="132" applyNumberFormat="1" applyFont="1"/>
    <xf numFmtId="176" fontId="69" fillId="20" borderId="0" xfId="151" applyNumberFormat="1" applyFont="1" applyFill="1" applyBorder="1" applyAlignment="1">
      <alignment horizontal="center" vertical="center"/>
    </xf>
    <xf numFmtId="37" fontId="12" fillId="0" borderId="6" xfId="148" applyNumberFormat="1" applyFill="1" applyBorder="1"/>
    <xf numFmtId="172" fontId="70" fillId="0" borderId="21" xfId="0" applyFont="1" applyBorder="1" applyAlignment="1">
      <alignment horizontal="center" vertical="center"/>
    </xf>
    <xf numFmtId="176" fontId="69" fillId="0" borderId="22" xfId="59" applyNumberFormat="1" applyFont="1" applyBorder="1" applyAlignment="1">
      <alignment horizontal="center" vertical="center"/>
    </xf>
    <xf numFmtId="172" fontId="68" fillId="21" borderId="0" xfId="0" applyFont="1" applyFill="1" applyAlignment="1">
      <alignment vertical="center"/>
    </xf>
    <xf numFmtId="176" fontId="12" fillId="0" borderId="0" xfId="148" applyNumberFormat="1" applyBorder="1"/>
    <xf numFmtId="172" fontId="82" fillId="0" borderId="0" xfId="0" applyFont="1" applyAlignment="1">
      <alignment horizontal="center" vertical="center"/>
    </xf>
    <xf numFmtId="0" fontId="79" fillId="0" borderId="0" xfId="129" applyFont="1" applyAlignment="1">
      <alignment horizontal="left"/>
    </xf>
    <xf numFmtId="9" fontId="79" fillId="0" borderId="0" xfId="85" applyFont="1"/>
    <xf numFmtId="172" fontId="68" fillId="0" borderId="0" xfId="0" applyFont="1" applyAlignment="1">
      <alignment horizontal="left" vertical="center"/>
    </xf>
    <xf numFmtId="172" fontId="68" fillId="0" borderId="0" xfId="0" applyFont="1" applyAlignment="1">
      <alignment horizontal="center" vertical="center"/>
    </xf>
    <xf numFmtId="172" fontId="68" fillId="0" borderId="0" xfId="0" applyFont="1" applyAlignment="1">
      <alignment horizontal="center" vertical="center"/>
    </xf>
    <xf numFmtId="172" fontId="70" fillId="0" borderId="0" xfId="0" applyFont="1" applyAlignment="1">
      <alignment horizontal="center" vertical="center"/>
    </xf>
    <xf numFmtId="172" fontId="68" fillId="21" borderId="21" xfId="0" applyFont="1" applyFill="1" applyBorder="1" applyAlignment="1">
      <alignment vertical="center"/>
    </xf>
    <xf numFmtId="172" fontId="68" fillId="20" borderId="0" xfId="0" applyFont="1" applyFill="1" applyAlignment="1">
      <alignment vertical="center"/>
    </xf>
    <xf numFmtId="172" fontId="68" fillId="20" borderId="21" xfId="0" applyFont="1" applyFill="1" applyBorder="1" applyAlignment="1">
      <alignment vertical="center"/>
    </xf>
    <xf numFmtId="172" fontId="68" fillId="20" borderId="0" xfId="0" applyFont="1" applyFill="1" applyBorder="1" applyAlignment="1">
      <alignment vertical="center"/>
    </xf>
    <xf numFmtId="176" fontId="17" fillId="0" borderId="0" xfId="132" applyNumberFormat="1" applyFont="1" applyFill="1" applyAlignment="1">
      <alignment horizontal="center"/>
    </xf>
    <xf numFmtId="0" fontId="17" fillId="0" borderId="0" xfId="132" applyFont="1" applyFill="1" applyAlignment="1">
      <alignment horizontal="center"/>
    </xf>
    <xf numFmtId="43" fontId="17" fillId="0" borderId="0" xfId="132" applyNumberFormat="1" applyFont="1" applyFill="1" applyAlignment="1">
      <alignment horizontal="center"/>
    </xf>
    <xf numFmtId="0" fontId="17" fillId="0" borderId="0" xfId="132" applyFont="1" applyFill="1" applyAlignment="1">
      <alignment horizontal="center" wrapText="1"/>
    </xf>
    <xf numFmtId="176" fontId="104" fillId="0" borderId="0" xfId="132" applyNumberFormat="1" applyFont="1" applyFill="1" applyAlignment="1">
      <alignment horizontal="center"/>
    </xf>
    <xf numFmtId="43" fontId="104" fillId="0" borderId="0" xfId="132" applyNumberFormat="1" applyFont="1" applyFill="1" applyAlignment="1">
      <alignment horizontal="center"/>
    </xf>
    <xf numFmtId="170" fontId="76" fillId="0" borderId="26" xfId="0" applyNumberFormat="1" applyFont="1" applyFill="1" applyBorder="1" applyAlignment="1" applyProtection="1">
      <alignment horizontal="center"/>
      <protection locked="0"/>
    </xf>
    <xf numFmtId="172" fontId="76" fillId="20" borderId="24" xfId="0" applyFont="1" applyFill="1" applyBorder="1" applyAlignment="1" applyProtection="1">
      <alignment horizontal="center" vertical="center" wrapText="1"/>
      <protection locked="0"/>
    </xf>
    <xf numFmtId="172" fontId="76" fillId="20" borderId="0" xfId="0" applyFont="1" applyFill="1" applyProtection="1">
      <protection locked="0"/>
    </xf>
    <xf numFmtId="172" fontId="24" fillId="20" borderId="16" xfId="0" applyFont="1" applyFill="1" applyBorder="1" applyAlignment="1">
      <alignment horizontal="center"/>
    </xf>
    <xf numFmtId="172" fontId="24" fillId="20" borderId="0" xfId="0" applyFont="1" applyFill="1" applyBorder="1" applyAlignment="1"/>
    <xf numFmtId="172" fontId="0" fillId="20" borderId="0" xfId="0" applyFill="1" applyAlignment="1">
      <alignment horizontal="left"/>
    </xf>
    <xf numFmtId="172" fontId="24" fillId="20" borderId="10" xfId="0" applyFont="1" applyFill="1" applyBorder="1" applyAlignment="1"/>
    <xf numFmtId="172" fontId="17" fillId="20" borderId="10" xfId="0" applyFont="1" applyFill="1" applyBorder="1" applyAlignment="1"/>
    <xf numFmtId="172" fontId="0" fillId="20" borderId="0" xfId="0" applyFill="1" applyBorder="1" applyAlignment="1"/>
    <xf numFmtId="172" fontId="24" fillId="20" borderId="0" xfId="0" applyFont="1" applyFill="1" applyBorder="1" applyAlignment="1">
      <alignment horizontal="left" wrapText="1"/>
    </xf>
    <xf numFmtId="172" fontId="71" fillId="0" borderId="0" xfId="0" applyFont="1" applyFill="1" applyAlignment="1">
      <alignment horizontal="center" vertical="center"/>
    </xf>
    <xf numFmtId="172" fontId="69" fillId="0" borderId="0" xfId="0" applyFont="1" applyFill="1" applyAlignment="1">
      <alignment horizontal="right" vertical="center"/>
    </xf>
    <xf numFmtId="49" fontId="68" fillId="0" borderId="0" xfId="0" applyNumberFormat="1" applyFont="1" applyFill="1" applyAlignment="1">
      <alignment vertical="center"/>
    </xf>
    <xf numFmtId="176" fontId="71" fillId="0" borderId="0" xfId="59" applyNumberFormat="1" applyFont="1" applyFill="1" applyAlignment="1">
      <alignment horizontal="center" vertical="center"/>
    </xf>
    <xf numFmtId="172" fontId="70" fillId="0" borderId="0" xfId="0" applyFont="1" applyFill="1" applyAlignment="1">
      <alignment vertical="center"/>
    </xf>
    <xf numFmtId="172" fontId="71" fillId="0" borderId="0" xfId="0" applyFont="1" applyFill="1" applyAlignment="1">
      <alignment horizontal="right" vertical="center"/>
    </xf>
    <xf numFmtId="169" fontId="24" fillId="20" borderId="0" xfId="133" applyNumberFormat="1" applyFont="1" applyFill="1" applyBorder="1" applyAlignment="1"/>
    <xf numFmtId="0" fontId="69" fillId="0" borderId="0" xfId="0" applyNumberFormat="1" applyFont="1" applyFill="1" applyAlignment="1">
      <alignment horizontal="center" vertical="center"/>
    </xf>
    <xf numFmtId="176" fontId="69" fillId="0" borderId="0" xfId="59" applyNumberFormat="1" applyFont="1" applyFill="1" applyAlignment="1">
      <alignment vertical="center"/>
    </xf>
    <xf numFmtId="172" fontId="24" fillId="20" borderId="0" xfId="0" applyFont="1" applyFill="1" applyBorder="1" applyAlignment="1">
      <alignment horizontal="left"/>
    </xf>
    <xf numFmtId="170" fontId="76" fillId="20" borderId="26" xfId="0" applyNumberFormat="1" applyFont="1" applyFill="1" applyBorder="1" applyAlignment="1" applyProtection="1">
      <alignment horizontal="center"/>
      <protection locked="0"/>
    </xf>
    <xf numFmtId="0" fontId="80" fillId="0" borderId="0" xfId="129" applyFont="1" applyFill="1"/>
    <xf numFmtId="0" fontId="81" fillId="0" borderId="0" xfId="129" applyFont="1" applyFill="1"/>
    <xf numFmtId="37" fontId="107" fillId="0" borderId="39" xfId="148" applyNumberFormat="1" applyFont="1" applyFill="1" applyBorder="1"/>
    <xf numFmtId="37" fontId="12" fillId="0" borderId="40" xfId="148" applyNumberFormat="1" applyFill="1" applyBorder="1"/>
    <xf numFmtId="0" fontId="79" fillId="0" borderId="0" xfId="129" applyFont="1" applyFill="1" applyAlignment="1">
      <alignment vertical="top"/>
    </xf>
    <xf numFmtId="0" fontId="79" fillId="0" borderId="0" xfId="129" applyFont="1" applyFill="1" applyAlignment="1">
      <alignment horizontal="left" vertical="top"/>
    </xf>
    <xf numFmtId="0" fontId="79" fillId="0" borderId="0" xfId="129" applyFont="1" applyFill="1" applyAlignment="1">
      <alignment horizontal="left"/>
    </xf>
    <xf numFmtId="0" fontId="24" fillId="0" borderId="0" xfId="137" applyFont="1"/>
    <xf numFmtId="0" fontId="24" fillId="0" borderId="15" xfId="137" applyFont="1" applyBorder="1"/>
    <xf numFmtId="0" fontId="19" fillId="0" borderId="20" xfId="137" applyFont="1" applyBorder="1" applyAlignment="1">
      <alignment horizontal="left"/>
    </xf>
    <xf numFmtId="0" fontId="19" fillId="0" borderId="0" xfId="137" applyFont="1" applyBorder="1" applyAlignment="1">
      <alignment horizontal="left"/>
    </xf>
    <xf numFmtId="0" fontId="24" fillId="0" borderId="16" xfId="137" applyFont="1" applyBorder="1"/>
    <xf numFmtId="0" fontId="24" fillId="0" borderId="0" xfId="137" applyFont="1" applyBorder="1"/>
    <xf numFmtId="0" fontId="88" fillId="0" borderId="0" xfId="137" applyFont="1" applyFill="1" applyBorder="1" applyAlignment="1">
      <alignment horizontal="left"/>
    </xf>
    <xf numFmtId="0" fontId="19" fillId="0" borderId="0" xfId="137" applyFont="1" applyFill="1" applyBorder="1" applyAlignment="1">
      <alignment horizontal="left"/>
    </xf>
    <xf numFmtId="0" fontId="19" fillId="0" borderId="21" xfId="137" applyFont="1" applyBorder="1" applyAlignment="1">
      <alignment horizontal="left"/>
    </xf>
    <xf numFmtId="0" fontId="19" fillId="0" borderId="29" xfId="137" applyFont="1" applyBorder="1"/>
    <xf numFmtId="14" fontId="19" fillId="0" borderId="31" xfId="137" applyNumberFormat="1" applyFont="1" applyBorder="1"/>
    <xf numFmtId="0" fontId="24" fillId="0" borderId="0" xfId="137" applyFont="1" applyFill="1" applyBorder="1" applyAlignment="1">
      <alignment horizontal="left"/>
    </xf>
    <xf numFmtId="0" fontId="88" fillId="0" borderId="0" xfId="137" applyFont="1" applyBorder="1" applyAlignment="1">
      <alignment horizontal="left"/>
    </xf>
    <xf numFmtId="0" fontId="19" fillId="0" borderId="16" xfId="137" applyFont="1" applyBorder="1" applyAlignment="1">
      <alignment horizontal="center"/>
    </xf>
    <xf numFmtId="0" fontId="19" fillId="0" borderId="0" xfId="137" applyFont="1" applyFill="1" applyBorder="1" applyAlignment="1">
      <alignment horizontal="center"/>
    </xf>
    <xf numFmtId="0" fontId="19" fillId="0" borderId="0" xfId="137" quotePrefix="1" applyFont="1" applyFill="1" applyBorder="1" applyAlignment="1">
      <alignment horizontal="center"/>
    </xf>
    <xf numFmtId="0" fontId="19" fillId="0" borderId="21" xfId="137" applyFont="1" applyBorder="1" applyAlignment="1">
      <alignment horizontal="center"/>
    </xf>
    <xf numFmtId="0" fontId="19" fillId="0" borderId="0" xfId="137" applyFont="1" applyAlignment="1">
      <alignment horizontal="center"/>
    </xf>
    <xf numFmtId="0" fontId="24" fillId="0" borderId="0" xfId="137" applyFont="1" applyBorder="1" applyAlignment="1">
      <alignment horizontal="center"/>
    </xf>
    <xf numFmtId="0" fontId="24" fillId="0" borderId="0" xfId="137" applyFont="1" applyFill="1" applyBorder="1"/>
    <xf numFmtId="0" fontId="108" fillId="0" borderId="0" xfId="137" applyFont="1" applyFill="1" applyBorder="1"/>
    <xf numFmtId="0" fontId="24" fillId="0" borderId="21" xfId="137" applyFont="1" applyBorder="1"/>
    <xf numFmtId="173" fontId="24" fillId="0" borderId="0" xfId="137" applyNumberFormat="1" applyFont="1" applyBorder="1"/>
    <xf numFmtId="10" fontId="106" fillId="0" borderId="0" xfId="137" applyNumberFormat="1" applyFont="1" applyBorder="1" applyAlignment="1">
      <alignment horizontal="left"/>
    </xf>
    <xf numFmtId="0" fontId="24" fillId="0" borderId="0" xfId="137" applyFont="1" applyFill="1" applyBorder="1" applyAlignment="1">
      <alignment horizontal="center"/>
    </xf>
    <xf numFmtId="10" fontId="23" fillId="0" borderId="0" xfId="137" applyNumberFormat="1" applyFont="1" applyBorder="1" applyAlignment="1">
      <alignment horizontal="left"/>
    </xf>
    <xf numFmtId="0" fontId="103" fillId="0" borderId="0" xfId="137" applyFont="1" applyBorder="1" applyAlignment="1">
      <alignment horizontal="center"/>
    </xf>
    <xf numFmtId="17" fontId="24" fillId="0" borderId="0" xfId="137" applyNumberFormat="1" applyFont="1" applyBorder="1" applyAlignment="1">
      <alignment horizontal="left"/>
    </xf>
    <xf numFmtId="41" fontId="24" fillId="0" borderId="0" xfId="137" applyNumberFormat="1" applyFont="1" applyBorder="1"/>
    <xf numFmtId="14" fontId="19" fillId="0" borderId="0" xfId="137" applyNumberFormat="1" applyFont="1" applyFill="1" applyBorder="1" applyAlignment="1">
      <alignment horizontal="left"/>
    </xf>
    <xf numFmtId="0" fontId="103" fillId="0" borderId="0" xfId="137" applyFont="1" applyBorder="1"/>
    <xf numFmtId="6" fontId="24" fillId="0" borderId="0" xfId="137" applyNumberFormat="1" applyFont="1" applyBorder="1" applyAlignment="1">
      <alignment horizontal="center"/>
    </xf>
    <xf numFmtId="6" fontId="24" fillId="0" borderId="0" xfId="137" applyNumberFormat="1" applyFont="1" applyFill="1" applyBorder="1" applyAlignment="1">
      <alignment horizontal="center"/>
    </xf>
    <xf numFmtId="0" fontId="24" fillId="0" borderId="16" xfId="137" quotePrefix="1" applyFont="1" applyBorder="1"/>
    <xf numFmtId="0" fontId="108" fillId="0" borderId="0" xfId="137" applyFont="1" applyBorder="1"/>
    <xf numFmtId="173" fontId="24" fillId="0" borderId="0" xfId="138" applyNumberFormat="1" applyFont="1" applyBorder="1" applyAlignment="1">
      <alignment horizontal="center"/>
    </xf>
    <xf numFmtId="173" fontId="24" fillId="20" borderId="0" xfId="138" applyNumberFormat="1" applyFont="1" applyFill="1" applyBorder="1" applyAlignment="1">
      <alignment horizontal="center"/>
    </xf>
    <xf numFmtId="44" fontId="24" fillId="0" borderId="0" xfId="138" applyNumberFormat="1" applyFont="1" applyFill="1" applyBorder="1" applyAlignment="1">
      <alignment horizontal="center"/>
    </xf>
    <xf numFmtId="10" fontId="24" fillId="0" borderId="0" xfId="137" applyNumberFormat="1" applyFont="1" applyBorder="1"/>
    <xf numFmtId="10" fontId="24" fillId="0" borderId="0" xfId="137" applyNumberFormat="1" applyFont="1" applyFill="1" applyBorder="1" applyAlignment="1"/>
    <xf numFmtId="44" fontId="24" fillId="0" borderId="0" xfId="137" applyNumberFormat="1" applyFont="1" applyBorder="1"/>
    <xf numFmtId="0" fontId="111" fillId="0" borderId="0" xfId="137" applyFont="1" applyFill="1" applyBorder="1"/>
    <xf numFmtId="176" fontId="111" fillId="0" borderId="0" xfId="139" applyNumberFormat="1" applyFont="1" applyFill="1" applyBorder="1"/>
    <xf numFmtId="176" fontId="111" fillId="0" borderId="0" xfId="137" applyNumberFormat="1" applyFont="1" applyFill="1" applyBorder="1"/>
    <xf numFmtId="164" fontId="103" fillId="0" borderId="0" xfId="137" applyNumberFormat="1" applyFont="1" applyBorder="1"/>
    <xf numFmtId="176" fontId="24" fillId="0" borderId="0" xfId="139" applyNumberFormat="1" applyFont="1" applyFill="1" applyBorder="1"/>
    <xf numFmtId="173" fontId="24" fillId="0" borderId="0" xfId="138" applyNumberFormat="1" applyFont="1" applyFill="1" applyBorder="1"/>
    <xf numFmtId="176" fontId="24" fillId="0" borderId="0" xfId="137" applyNumberFormat="1" applyFont="1" applyFill="1" applyBorder="1"/>
    <xf numFmtId="44" fontId="24" fillId="0" borderId="0" xfId="137" applyNumberFormat="1" applyFont="1" applyFill="1" applyBorder="1"/>
    <xf numFmtId="173" fontId="24" fillId="20" borderId="11" xfId="138" applyNumberFormat="1" applyFont="1" applyFill="1" applyBorder="1"/>
    <xf numFmtId="44" fontId="112" fillId="0" borderId="0" xfId="138" applyNumberFormat="1" applyFont="1" applyFill="1" applyBorder="1" applyAlignment="1">
      <alignment horizontal="center"/>
    </xf>
    <xf numFmtId="10" fontId="103" fillId="0" borderId="0" xfId="137" applyNumberFormat="1" applyFont="1" applyBorder="1"/>
    <xf numFmtId="173" fontId="24" fillId="0" borderId="0" xfId="138" applyNumberFormat="1" applyFont="1" applyBorder="1"/>
    <xf numFmtId="164" fontId="24" fillId="0" borderId="0" xfId="137" applyNumberFormat="1" applyFont="1" applyBorder="1"/>
    <xf numFmtId="44" fontId="108" fillId="0" borderId="0" xfId="137" applyNumberFormat="1" applyFont="1" applyBorder="1"/>
    <xf numFmtId="44" fontId="24" fillId="0" borderId="21" xfId="137" applyNumberFormat="1" applyFont="1" applyBorder="1"/>
    <xf numFmtId="41" fontId="24" fillId="0" borderId="0" xfId="137" applyNumberFormat="1" applyFont="1" applyFill="1" applyBorder="1"/>
    <xf numFmtId="0" fontId="24" fillId="0" borderId="17" xfId="137" applyFont="1" applyBorder="1"/>
    <xf numFmtId="44" fontId="24" fillId="0" borderId="11" xfId="137" applyNumberFormat="1" applyFont="1" applyBorder="1"/>
    <xf numFmtId="44" fontId="24" fillId="0" borderId="22" xfId="137" applyNumberFormat="1" applyFont="1" applyBorder="1"/>
    <xf numFmtId="0" fontId="24" fillId="0" borderId="11" xfId="137" applyFont="1" applyBorder="1"/>
    <xf numFmtId="44" fontId="24" fillId="0" borderId="32" xfId="137" applyNumberFormat="1" applyFont="1" applyBorder="1"/>
    <xf numFmtId="44" fontId="24" fillId="0" borderId="20" xfId="137" applyNumberFormat="1" applyFont="1" applyBorder="1"/>
    <xf numFmtId="0" fontId="24" fillId="0" borderId="20" xfId="137" applyFont="1" applyBorder="1"/>
    <xf numFmtId="0" fontId="19" fillId="0" borderId="0" xfId="137" quotePrefix="1" applyFont="1" applyBorder="1" applyAlignment="1">
      <alignment horizontal="center"/>
    </xf>
    <xf numFmtId="42" fontId="19" fillId="0" borderId="0" xfId="137" applyNumberFormat="1" applyFont="1" applyBorder="1" applyAlignment="1">
      <alignment horizontal="center"/>
    </xf>
    <xf numFmtId="44" fontId="19" fillId="0" borderId="0" xfId="137" applyNumberFormat="1" applyFont="1" applyFill="1" applyBorder="1"/>
    <xf numFmtId="0" fontId="24" fillId="0" borderId="21" xfId="137" applyFont="1" applyBorder="1" applyAlignment="1">
      <alignment horizontal="center"/>
    </xf>
    <xf numFmtId="164" fontId="103" fillId="0" borderId="0" xfId="137" applyNumberFormat="1" applyFont="1" applyFill="1" applyBorder="1"/>
    <xf numFmtId="0" fontId="103" fillId="0" borderId="21" xfId="137" applyFont="1" applyBorder="1" applyAlignment="1">
      <alignment horizontal="center"/>
    </xf>
    <xf numFmtId="0" fontId="24" fillId="0" borderId="16" xfId="137" quotePrefix="1" applyFont="1" applyBorder="1" applyAlignment="1">
      <alignment horizontal="center"/>
    </xf>
    <xf numFmtId="42" fontId="24" fillId="0" borderId="0" xfId="137" applyNumberFormat="1" applyFont="1" applyBorder="1"/>
    <xf numFmtId="42" fontId="24" fillId="0" borderId="21" xfId="139" applyNumberFormat="1" applyFont="1" applyBorder="1"/>
    <xf numFmtId="169" fontId="24" fillId="0" borderId="0" xfId="137" applyNumberFormat="1" applyFont="1" applyBorder="1"/>
    <xf numFmtId="10" fontId="24" fillId="0" borderId="21" xfId="139" applyNumberFormat="1" applyFont="1" applyBorder="1" applyAlignment="1">
      <alignment horizontal="center"/>
    </xf>
    <xf numFmtId="185" fontId="24" fillId="0" borderId="0" xfId="137" applyNumberFormat="1" applyFont="1" applyBorder="1"/>
    <xf numFmtId="185" fontId="24" fillId="0" borderId="0" xfId="137" applyNumberFormat="1" applyFont="1"/>
    <xf numFmtId="166" fontId="24" fillId="0" borderId="0" xfId="137" applyNumberFormat="1" applyFont="1"/>
    <xf numFmtId="164" fontId="24" fillId="0" borderId="0" xfId="137" applyNumberFormat="1" applyFont="1"/>
    <xf numFmtId="176" fontId="24" fillId="0" borderId="0" xfId="139" applyNumberFormat="1" applyFont="1" applyBorder="1"/>
    <xf numFmtId="173" fontId="24" fillId="20" borderId="11" xfId="138" applyNumberFormat="1" applyFont="1" applyFill="1" applyBorder="1" applyAlignment="1">
      <alignment horizontal="center"/>
    </xf>
    <xf numFmtId="164" fontId="24" fillId="0" borderId="0" xfId="137" applyNumberFormat="1" applyFont="1" applyBorder="1" applyAlignment="1">
      <alignment horizontal="right"/>
    </xf>
    <xf numFmtId="0" fontId="24" fillId="0" borderId="0" xfId="137" quotePrefix="1" applyFont="1" applyBorder="1" applyAlignment="1">
      <alignment horizontal="center"/>
    </xf>
    <xf numFmtId="14" fontId="24" fillId="0" borderId="0" xfId="137" quotePrefix="1" applyNumberFormat="1" applyFont="1" applyBorder="1" applyAlignment="1">
      <alignment horizontal="center"/>
    </xf>
    <xf numFmtId="42" fontId="24" fillId="0" borderId="0" xfId="139" applyNumberFormat="1" applyFont="1" applyBorder="1"/>
    <xf numFmtId="42" fontId="24" fillId="0" borderId="21" xfId="137" applyNumberFormat="1" applyFont="1" applyBorder="1"/>
    <xf numFmtId="169" fontId="24" fillId="0" borderId="21" xfId="137" applyNumberFormat="1" applyFont="1" applyBorder="1"/>
    <xf numFmtId="173" fontId="24" fillId="0" borderId="0" xfId="137" applyNumberFormat="1" applyFont="1"/>
    <xf numFmtId="43" fontId="24" fillId="0" borderId="11" xfId="139" applyFont="1" applyBorder="1"/>
    <xf numFmtId="0" fontId="24" fillId="0" borderId="22" xfId="137" applyFont="1" applyBorder="1"/>
    <xf numFmtId="185" fontId="24" fillId="0" borderId="22" xfId="137" applyNumberFormat="1" applyFont="1" applyBorder="1"/>
    <xf numFmtId="43" fontId="24" fillId="0" borderId="0" xfId="139" applyFont="1"/>
    <xf numFmtId="176" fontId="24" fillId="0" borderId="0" xfId="137" applyNumberFormat="1" applyFont="1"/>
    <xf numFmtId="0" fontId="113" fillId="0" borderId="0" xfId="137" applyFont="1" applyFill="1"/>
    <xf numFmtId="43" fontId="24" fillId="0" borderId="0" xfId="137" applyNumberFormat="1" applyFont="1" applyBorder="1"/>
    <xf numFmtId="10" fontId="24" fillId="0" borderId="0" xfId="141" applyNumberFormat="1" applyFont="1" applyBorder="1"/>
    <xf numFmtId="173" fontId="24" fillId="0" borderId="0" xfId="142" applyNumberFormat="1" applyFont="1" applyBorder="1"/>
    <xf numFmtId="0" fontId="24" fillId="0" borderId="0" xfId="137" applyFont="1" applyBorder="1" applyAlignment="1">
      <alignment horizontal="right"/>
    </xf>
    <xf numFmtId="0" fontId="106" fillId="0" borderId="0" xfId="137" applyFont="1" applyBorder="1" applyAlignment="1">
      <alignment horizontal="left"/>
    </xf>
    <xf numFmtId="164" fontId="24" fillId="0" borderId="0" xfId="137" applyNumberFormat="1" applyFont="1" applyBorder="1" applyAlignment="1">
      <alignment horizontal="center"/>
    </xf>
    <xf numFmtId="0" fontId="19" fillId="0" borderId="0" xfId="137" applyFont="1" applyBorder="1"/>
    <xf numFmtId="43" fontId="24" fillId="0" borderId="0" xfId="139" applyFont="1" applyBorder="1"/>
    <xf numFmtId="164" fontId="24" fillId="0" borderId="0" xfId="141" applyNumberFormat="1" applyFont="1" applyBorder="1"/>
    <xf numFmtId="164" fontId="17" fillId="0" borderId="0" xfId="137" applyNumberFormat="1" applyFont="1" applyBorder="1"/>
    <xf numFmtId="164" fontId="17" fillId="0" borderId="0" xfId="137" applyNumberFormat="1" applyFont="1" applyFill="1" applyBorder="1"/>
    <xf numFmtId="164" fontId="17" fillId="0" borderId="11" xfId="137" applyNumberFormat="1" applyFont="1" applyBorder="1"/>
    <xf numFmtId="172" fontId="45" fillId="0" borderId="0" xfId="0" applyFont="1" applyFill="1" applyAlignment="1">
      <alignment horizontal="left"/>
    </xf>
    <xf numFmtId="172" fontId="46" fillId="0" borderId="0" xfId="0" applyFont="1" applyFill="1" applyBorder="1" applyAlignment="1">
      <alignment horizontal="right"/>
    </xf>
    <xf numFmtId="172" fontId="45" fillId="20" borderId="0" xfId="0" applyFont="1" applyFill="1" applyAlignment="1">
      <alignment horizontal="left"/>
    </xf>
    <xf numFmtId="17" fontId="47" fillId="20" borderId="14" xfId="0" applyNumberFormat="1" applyFont="1" applyFill="1" applyBorder="1" applyAlignment="1">
      <alignment horizontal="center" wrapText="1"/>
    </xf>
    <xf numFmtId="170" fontId="0" fillId="20" borderId="0" xfId="0" applyNumberFormat="1" applyFill="1" applyBorder="1" applyAlignment="1"/>
    <xf numFmtId="170" fontId="0" fillId="0" borderId="21" xfId="0" applyNumberFormat="1" applyBorder="1" applyAlignment="1"/>
    <xf numFmtId="0" fontId="79" fillId="0" borderId="0" xfId="129" applyFont="1" applyAlignment="1">
      <alignment horizontal="left" wrapText="1"/>
    </xf>
    <xf numFmtId="37" fontId="107" fillId="0" borderId="6" xfId="148" applyNumberFormat="1" applyFont="1" applyFill="1" applyBorder="1"/>
    <xf numFmtId="172" fontId="69" fillId="0" borderId="21" xfId="0" applyFont="1" applyBorder="1" applyAlignment="1">
      <alignment horizontal="center" vertical="center"/>
    </xf>
    <xf numFmtId="172" fontId="0" fillId="0" borderId="0" xfId="0" applyFont="1" applyAlignment="1"/>
    <xf numFmtId="180" fontId="76" fillId="20" borderId="0" xfId="85" applyNumberFormat="1" applyFont="1" applyFill="1" applyProtection="1">
      <protection locked="0"/>
    </xf>
    <xf numFmtId="172" fontId="46" fillId="0" borderId="0" xfId="0" applyFont="1" applyFill="1" applyAlignment="1">
      <alignment horizontal="center" vertical="top"/>
    </xf>
    <xf numFmtId="0" fontId="24" fillId="0" borderId="0" xfId="152" applyFont="1" applyBorder="1"/>
    <xf numFmtId="14" fontId="24" fillId="20" borderId="0" xfId="152" applyNumberFormat="1" applyFont="1" applyFill="1" applyBorder="1" applyAlignment="1">
      <alignment horizontal="center"/>
    </xf>
    <xf numFmtId="0" fontId="24" fillId="0" borderId="0" xfId="152" applyFont="1" applyFill="1" applyBorder="1"/>
    <xf numFmtId="0" fontId="108" fillId="0" borderId="0" xfId="152" applyFont="1" applyBorder="1"/>
    <xf numFmtId="6" fontId="24" fillId="0" borderId="0" xfId="152" applyNumberFormat="1" applyFont="1" applyFill="1" applyBorder="1" applyAlignment="1">
      <alignment horizontal="center"/>
    </xf>
    <xf numFmtId="0" fontId="111" fillId="0" borderId="0" xfId="152" applyFont="1" applyFill="1" applyBorder="1"/>
    <xf numFmtId="6" fontId="24" fillId="0" borderId="0" xfId="152" applyNumberFormat="1" applyFont="1" applyBorder="1" applyAlignment="1">
      <alignment horizontal="center"/>
    </xf>
    <xf numFmtId="0" fontId="24" fillId="20" borderId="0" xfId="152" applyFont="1" applyFill="1" applyBorder="1" applyAlignment="1">
      <alignment horizontal="center"/>
    </xf>
    <xf numFmtId="176" fontId="24" fillId="0" borderId="0" xfId="152" applyNumberFormat="1" applyFont="1" applyFill="1" applyBorder="1"/>
    <xf numFmtId="10" fontId="0" fillId="0" borderId="0" xfId="85" applyNumberFormat="1" applyFont="1" applyBorder="1" applyAlignment="1"/>
    <xf numFmtId="173" fontId="24" fillId="20" borderId="0" xfId="138" applyNumberFormat="1" applyFont="1" applyFill="1" applyBorder="1"/>
    <xf numFmtId="173" fontId="112" fillId="0" borderId="0" xfId="138" applyNumberFormat="1" applyFont="1" applyFill="1" applyBorder="1"/>
    <xf numFmtId="173" fontId="112" fillId="0" borderId="0" xfId="137" applyNumberFormat="1" applyFont="1" applyBorder="1"/>
    <xf numFmtId="170" fontId="68" fillId="0" borderId="0" xfId="0" applyNumberFormat="1" applyFont="1" applyAlignment="1">
      <alignment vertical="center"/>
    </xf>
    <xf numFmtId="172" fontId="116" fillId="0" borderId="0" xfId="0" applyFont="1" applyAlignment="1"/>
    <xf numFmtId="0" fontId="116" fillId="0" borderId="0" xfId="0" applyNumberFormat="1" applyFont="1" applyAlignment="1"/>
    <xf numFmtId="0" fontId="116" fillId="0" borderId="0" xfId="0" applyNumberFormat="1" applyFont="1" applyAlignment="1">
      <alignment horizontal="left"/>
    </xf>
    <xf numFmtId="0" fontId="116" fillId="0" borderId="0" xfId="0" applyNumberFormat="1" applyFont="1"/>
    <xf numFmtId="0" fontId="116" fillId="0" borderId="0" xfId="0" applyNumberFormat="1" applyFont="1" applyAlignment="1">
      <alignment horizontal="right"/>
    </xf>
    <xf numFmtId="0" fontId="116" fillId="20" borderId="0" xfId="0" applyNumberFormat="1" applyFont="1" applyFill="1"/>
    <xf numFmtId="172" fontId="116" fillId="20" borderId="0" xfId="0" applyFont="1" applyFill="1" applyAlignment="1"/>
    <xf numFmtId="3" fontId="116" fillId="0" borderId="0" xfId="0" applyNumberFormat="1" applyFont="1" applyFill="1" applyAlignment="1"/>
    <xf numFmtId="3" fontId="116" fillId="0" borderId="0" xfId="0" applyNumberFormat="1" applyFont="1" applyAlignment="1"/>
    <xf numFmtId="0" fontId="116" fillId="0" borderId="0" xfId="0" applyNumberFormat="1" applyFont="1" applyAlignment="1">
      <alignment horizontal="center"/>
    </xf>
    <xf numFmtId="49" fontId="116" fillId="0" borderId="0" xfId="0" applyNumberFormat="1" applyFont="1" applyFill="1"/>
    <xf numFmtId="49" fontId="116" fillId="0" borderId="0" xfId="0" applyNumberFormat="1" applyFont="1" applyAlignment="1">
      <alignment horizontal="left"/>
    </xf>
    <xf numFmtId="49" fontId="116" fillId="0" borderId="0" xfId="0" applyNumberFormat="1" applyFont="1" applyAlignment="1">
      <alignment horizontal="center"/>
    </xf>
    <xf numFmtId="49" fontId="116" fillId="0" borderId="0" xfId="0" applyNumberFormat="1" applyFont="1"/>
    <xf numFmtId="0" fontId="116" fillId="0" borderId="6" xfId="0" applyNumberFormat="1" applyFont="1" applyBorder="1" applyAlignment="1">
      <alignment horizontal="center"/>
    </xf>
    <xf numFmtId="0" fontId="116" fillId="0" borderId="0" xfId="0" applyNumberFormat="1" applyFont="1" applyFill="1" applyBorder="1" applyAlignment="1">
      <alignment horizontal="right"/>
    </xf>
    <xf numFmtId="3" fontId="116" fillId="0" borderId="0" xfId="0" applyNumberFormat="1" applyFont="1"/>
    <xf numFmtId="42" fontId="116" fillId="0" borderId="0" xfId="0" applyNumberFormat="1" applyFont="1" applyFill="1"/>
    <xf numFmtId="176" fontId="116" fillId="0" borderId="0" xfId="59" applyNumberFormat="1" applyFont="1"/>
    <xf numFmtId="42" fontId="116" fillId="0" borderId="0" xfId="0" applyNumberFormat="1" applyFont="1" applyFill="1" applyBorder="1"/>
    <xf numFmtId="177" fontId="116" fillId="0" borderId="0" xfId="85" applyNumberFormat="1" applyFont="1" applyAlignment="1"/>
    <xf numFmtId="186" fontId="116" fillId="0" borderId="0" xfId="0" applyNumberFormat="1" applyFont="1" applyFill="1" applyBorder="1"/>
    <xf numFmtId="0" fontId="116" fillId="0" borderId="6" xfId="0" applyNumberFormat="1" applyFont="1" applyBorder="1" applyAlignment="1">
      <alignment horizontal="centerContinuous"/>
    </xf>
    <xf numFmtId="0" fontId="116" fillId="0" borderId="0" xfId="0" applyNumberFormat="1" applyFont="1" applyFill="1" applyAlignment="1">
      <alignment horizontal="center"/>
    </xf>
    <xf numFmtId="0" fontId="116" fillId="0" borderId="0" xfId="0" applyNumberFormat="1" applyFont="1" applyFill="1" applyAlignment="1"/>
    <xf numFmtId="176" fontId="116" fillId="0" borderId="0" xfId="0" applyNumberFormat="1" applyFont="1" applyBorder="1" applyAlignment="1">
      <alignment horizontal="center"/>
    </xf>
    <xf numFmtId="166" fontId="116" fillId="0" borderId="0" xfId="0" applyNumberFormat="1" applyFont="1" applyAlignment="1"/>
    <xf numFmtId="176" fontId="116" fillId="0" borderId="0" xfId="59" applyNumberFormat="1" applyFont="1" applyFill="1"/>
    <xf numFmtId="176" fontId="116" fillId="0" borderId="0" xfId="59" applyNumberFormat="1" applyFont="1" applyFill="1" applyAlignment="1"/>
    <xf numFmtId="3" fontId="116" fillId="0" borderId="0" xfId="0" applyNumberFormat="1" applyFont="1" applyFill="1" applyBorder="1"/>
    <xf numFmtId="176" fontId="116" fillId="20" borderId="0" xfId="59" applyNumberFormat="1" applyFont="1" applyFill="1" applyAlignment="1"/>
    <xf numFmtId="176" fontId="116" fillId="0" borderId="0" xfId="63" applyNumberFormat="1" applyFont="1" applyFill="1" applyAlignment="1">
      <alignment horizontal="right"/>
    </xf>
    <xf numFmtId="176" fontId="116" fillId="0" borderId="0" xfId="63" applyNumberFormat="1" applyFont="1" applyFill="1" applyBorder="1"/>
    <xf numFmtId="0" fontId="116" fillId="0" borderId="0" xfId="0" applyNumberFormat="1" applyFont="1" applyFill="1"/>
    <xf numFmtId="0" fontId="116" fillId="0" borderId="0" xfId="0" applyNumberFormat="1" applyFont="1" applyFill="1" applyAlignment="1">
      <alignment wrapText="1"/>
    </xf>
    <xf numFmtId="173" fontId="116" fillId="0" borderId="0" xfId="63" applyNumberFormat="1" applyFont="1" applyFill="1" applyAlignment="1">
      <alignment horizontal="right"/>
    </xf>
    <xf numFmtId="176" fontId="116" fillId="0" borderId="0" xfId="59" applyNumberFormat="1" applyFont="1" applyFill="1" applyBorder="1"/>
    <xf numFmtId="3" fontId="116" fillId="0" borderId="0" xfId="0" applyNumberFormat="1" applyFont="1" applyAlignment="1">
      <alignment horizontal="fill"/>
    </xf>
    <xf numFmtId="42" fontId="116" fillId="0" borderId="0" xfId="0" applyNumberFormat="1" applyFont="1" applyBorder="1" applyAlignment="1">
      <alignment horizontal="right"/>
    </xf>
    <xf numFmtId="3" fontId="116" fillId="0" borderId="6" xfId="0" applyNumberFormat="1" applyFont="1" applyBorder="1" applyAlignment="1">
      <alignment horizontal="center"/>
    </xf>
    <xf numFmtId="172" fontId="116" fillId="0" borderId="0" xfId="0" applyFont="1" applyFill="1" applyAlignment="1"/>
    <xf numFmtId="0" fontId="116" fillId="0" borderId="0" xfId="0" applyNumberFormat="1" applyFont="1" applyFill="1" applyBorder="1"/>
    <xf numFmtId="43" fontId="116" fillId="0" borderId="0" xfId="59" applyFont="1" applyAlignment="1"/>
    <xf numFmtId="168" fontId="116" fillId="0" borderId="0" xfId="0" applyNumberFormat="1" applyFont="1"/>
    <xf numFmtId="168" fontId="116" fillId="0" borderId="0" xfId="0" applyNumberFormat="1" applyFont="1" applyAlignment="1">
      <alignment horizontal="center"/>
    </xf>
    <xf numFmtId="0" fontId="116" fillId="0" borderId="0" xfId="0" applyNumberFormat="1" applyFont="1" applyBorder="1" applyAlignment="1">
      <alignment horizontal="center"/>
    </xf>
    <xf numFmtId="0" fontId="116" fillId="0" borderId="0" xfId="0" applyNumberFormat="1" applyFont="1" applyBorder="1" applyAlignment="1"/>
    <xf numFmtId="0" fontId="116" fillId="0" borderId="0" xfId="0" applyNumberFormat="1" applyFont="1" applyBorder="1"/>
    <xf numFmtId="0" fontId="116" fillId="0" borderId="0" xfId="0" applyNumberFormat="1" applyFont="1" applyFill="1" applyBorder="1" applyAlignment="1">
      <alignment horizontal="center"/>
    </xf>
    <xf numFmtId="43" fontId="116" fillId="0" borderId="0" xfId="59" applyFont="1" applyFill="1" applyBorder="1"/>
    <xf numFmtId="43" fontId="116" fillId="0" borderId="0" xfId="59" applyFont="1" applyBorder="1"/>
    <xf numFmtId="43" fontId="116" fillId="0" borderId="0" xfId="59" applyFont="1"/>
    <xf numFmtId="43" fontId="116" fillId="0" borderId="0" xfId="59" applyFont="1" applyFill="1"/>
    <xf numFmtId="43" fontId="116" fillId="0" borderId="0" xfId="59" applyFont="1" applyFill="1" applyAlignment="1"/>
    <xf numFmtId="43" fontId="116" fillId="0" borderId="0" xfId="59" applyFont="1" applyFill="1" applyBorder="1" applyAlignment="1"/>
    <xf numFmtId="43" fontId="116" fillId="0" borderId="0" xfId="59" applyFont="1" applyBorder="1" applyAlignment="1"/>
    <xf numFmtId="44" fontId="116" fillId="0" borderId="0" xfId="63" applyFont="1" applyFill="1" applyBorder="1" applyAlignment="1"/>
    <xf numFmtId="0" fontId="116" fillId="0" borderId="0" xfId="0" applyNumberFormat="1" applyFont="1" applyFill="1" applyAlignment="1">
      <alignment horizontal="right"/>
    </xf>
    <xf numFmtId="49" fontId="116" fillId="0" borderId="0" xfId="0" applyNumberFormat="1" applyFont="1" applyFill="1" applyBorder="1" applyAlignment="1">
      <alignment horizontal="center"/>
    </xf>
    <xf numFmtId="172" fontId="117" fillId="0" borderId="0" xfId="0" applyFont="1" applyAlignment="1">
      <alignment horizontal="center"/>
    </xf>
    <xf numFmtId="0" fontId="117" fillId="0" borderId="0" xfId="0" applyNumberFormat="1" applyFont="1" applyAlignment="1">
      <alignment horizontal="center"/>
    </xf>
    <xf numFmtId="0" fontId="117" fillId="0" borderId="0" xfId="0" applyNumberFormat="1" applyFont="1" applyFill="1" applyBorder="1" applyAlignment="1">
      <alignment horizontal="right"/>
    </xf>
    <xf numFmtId="3" fontId="117" fillId="0" borderId="0" xfId="0" applyNumberFormat="1" applyFont="1" applyAlignment="1"/>
    <xf numFmtId="3" fontId="116" fillId="0" borderId="0" xfId="0" applyNumberFormat="1" applyFont="1" applyFill="1" applyBorder="1" applyAlignment="1">
      <alignment horizontal="right"/>
    </xf>
    <xf numFmtId="0" fontId="117" fillId="0" borderId="0" xfId="0" applyNumberFormat="1" applyFont="1" applyAlignment="1"/>
    <xf numFmtId="3" fontId="116" fillId="0" borderId="0" xfId="0" applyNumberFormat="1" applyFont="1" applyFill="1" applyBorder="1" applyAlignment="1"/>
    <xf numFmtId="172" fontId="116" fillId="0" borderId="0" xfId="0" applyFont="1" applyFill="1" applyBorder="1" applyAlignment="1"/>
    <xf numFmtId="165" fontId="116" fillId="0" borderId="0" xfId="0" applyNumberFormat="1" applyFont="1" applyAlignment="1"/>
    <xf numFmtId="176" fontId="116" fillId="0" borderId="0" xfId="59" applyNumberFormat="1" applyFont="1" applyAlignment="1"/>
    <xf numFmtId="176" fontId="116" fillId="0" borderId="6" xfId="59" applyNumberFormat="1" applyFont="1" applyFill="1" applyBorder="1" applyAlignment="1"/>
    <xf numFmtId="176" fontId="116" fillId="0" borderId="6" xfId="59" applyNumberFormat="1" applyFont="1" applyBorder="1" applyAlignment="1"/>
    <xf numFmtId="164" fontId="116" fillId="0" borderId="0" xfId="0" applyNumberFormat="1" applyFont="1" applyAlignment="1">
      <alignment horizontal="center"/>
    </xf>
    <xf numFmtId="43" fontId="116" fillId="0" borderId="0" xfId="59" applyFont="1" applyFill="1" applyBorder="1" applyAlignment="1">
      <alignment horizontal="center"/>
    </xf>
    <xf numFmtId="180" fontId="116" fillId="0" borderId="0" xfId="85" applyNumberFormat="1" applyFont="1" applyAlignment="1"/>
    <xf numFmtId="164" fontId="116" fillId="0" borderId="0" xfId="0" applyNumberFormat="1" applyFont="1" applyFill="1" applyAlignment="1">
      <alignment horizontal="center"/>
    </xf>
    <xf numFmtId="0" fontId="116" fillId="0" borderId="0" xfId="0" applyNumberFormat="1" applyFont="1" applyAlignment="1">
      <alignment horizontal="fill"/>
    </xf>
    <xf numFmtId="43" fontId="116" fillId="0" borderId="0" xfId="59" applyFont="1" applyAlignment="1">
      <alignment horizontal="center"/>
    </xf>
    <xf numFmtId="165" fontId="118" fillId="0" borderId="0" xfId="0" applyNumberFormat="1" applyFont="1" applyFill="1" applyAlignment="1">
      <alignment horizontal="right"/>
    </xf>
    <xf numFmtId="164" fontId="116" fillId="0" borderId="0" xfId="0" applyNumberFormat="1" applyFont="1" applyAlignment="1">
      <alignment horizontal="left"/>
    </xf>
    <xf numFmtId="176" fontId="116" fillId="0" borderId="0" xfId="59" applyNumberFormat="1" applyFont="1" applyFill="1" applyBorder="1" applyAlignment="1"/>
    <xf numFmtId="176" fontId="116" fillId="0" borderId="0" xfId="59" applyNumberFormat="1" applyFont="1" applyBorder="1" applyAlignment="1"/>
    <xf numFmtId="37" fontId="116" fillId="0" borderId="0" xfId="0" applyNumberFormat="1" applyFont="1" applyAlignment="1"/>
    <xf numFmtId="3" fontId="116" fillId="0" borderId="0" xfId="0" applyNumberFormat="1" applyFont="1" applyAlignment="1">
      <alignment horizontal="center"/>
    </xf>
    <xf numFmtId="176" fontId="116" fillId="0" borderId="18" xfId="59" applyNumberFormat="1" applyFont="1" applyBorder="1" applyAlignment="1"/>
    <xf numFmtId="3" fontId="116" fillId="0" borderId="0" xfId="0" applyNumberFormat="1" applyFont="1" applyBorder="1" applyAlignment="1"/>
    <xf numFmtId="0" fontId="116" fillId="0" borderId="0" xfId="0" applyNumberFormat="1" applyFont="1" applyAlignment="1" applyProtection="1">
      <protection locked="0"/>
    </xf>
    <xf numFmtId="3" fontId="116" fillId="0" borderId="0" xfId="0" applyNumberFormat="1" applyFont="1" applyFill="1" applyAlignment="1">
      <alignment horizontal="right"/>
    </xf>
    <xf numFmtId="176" fontId="116" fillId="0" borderId="0" xfId="0" applyNumberFormat="1" applyFont="1" applyFill="1"/>
    <xf numFmtId="165" fontId="116" fillId="0" borderId="0" xfId="0" applyNumberFormat="1" applyFont="1" applyFill="1" applyAlignment="1"/>
    <xf numFmtId="0" fontId="116" fillId="0" borderId="0" xfId="0" applyNumberFormat="1" applyFont="1" applyFill="1" applyAlignment="1">
      <alignment horizontal="left"/>
    </xf>
    <xf numFmtId="171" fontId="116" fillId="0" borderId="0" xfId="0" applyNumberFormat="1" applyFont="1" applyFill="1" applyAlignment="1">
      <alignment horizontal="left"/>
    </xf>
    <xf numFmtId="3" fontId="116" fillId="0" borderId="0" xfId="0" applyNumberFormat="1" applyFont="1" applyAlignment="1">
      <alignment horizontal="left"/>
    </xf>
    <xf numFmtId="166" fontId="118" fillId="0" borderId="0" xfId="0" applyNumberFormat="1" applyFont="1" applyFill="1" applyAlignment="1">
      <alignment horizontal="right"/>
    </xf>
    <xf numFmtId="166" fontId="116" fillId="0" borderId="0" xfId="0" applyNumberFormat="1" applyFont="1" applyAlignment="1">
      <alignment horizontal="center"/>
    </xf>
    <xf numFmtId="10" fontId="116" fillId="0" borderId="0" xfId="85" applyNumberFormat="1" applyFont="1" applyAlignment="1"/>
    <xf numFmtId="175" fontId="116" fillId="0" borderId="0" xfId="0" applyNumberFormat="1" applyFont="1" applyAlignment="1"/>
    <xf numFmtId="10" fontId="116" fillId="0" borderId="0" xfId="85" applyNumberFormat="1" applyFont="1" applyAlignment="1">
      <alignment horizontal="left"/>
    </xf>
    <xf numFmtId="174" fontId="116" fillId="0" borderId="0" xfId="0" applyNumberFormat="1" applyFont="1" applyFill="1" applyAlignment="1"/>
    <xf numFmtId="179" fontId="116" fillId="0" borderId="0" xfId="0" applyNumberFormat="1" applyFont="1" applyAlignment="1"/>
    <xf numFmtId="174" fontId="116" fillId="0" borderId="0" xfId="0" applyNumberFormat="1" applyFont="1" applyAlignment="1"/>
    <xf numFmtId="0" fontId="116" fillId="0" borderId="6" xfId="0" applyNumberFormat="1" applyFont="1" applyFill="1" applyBorder="1"/>
    <xf numFmtId="3" fontId="116" fillId="0" borderId="0" xfId="0" applyNumberFormat="1" applyFont="1" applyFill="1" applyAlignment="1">
      <alignment horizontal="center"/>
    </xf>
    <xf numFmtId="176" fontId="116" fillId="20" borderId="6" xfId="59" applyNumberFormat="1" applyFont="1" applyFill="1" applyBorder="1" applyAlignment="1"/>
    <xf numFmtId="49" fontId="116" fillId="0" borderId="0" xfId="0" applyNumberFormat="1" applyFont="1" applyFill="1" applyBorder="1" applyAlignment="1"/>
    <xf numFmtId="49" fontId="116" fillId="0" borderId="0" xfId="0" applyNumberFormat="1" applyFont="1" applyFill="1" applyAlignment="1"/>
    <xf numFmtId="49" fontId="116" fillId="0" borderId="0" xfId="0" applyNumberFormat="1" applyFont="1" applyFill="1" applyAlignment="1">
      <alignment horizontal="center"/>
    </xf>
    <xf numFmtId="165" fontId="116" fillId="0" borderId="0" xfId="0" applyNumberFormat="1" applyFont="1" applyFill="1" applyAlignment="1">
      <alignment horizontal="right"/>
    </xf>
    <xf numFmtId="165" fontId="116" fillId="0" borderId="0" xfId="0" applyNumberFormat="1" applyFont="1" applyFill="1"/>
    <xf numFmtId="166" fontId="116" fillId="0" borderId="0" xfId="0" applyNumberFormat="1" applyFont="1" applyFill="1"/>
    <xf numFmtId="3" fontId="116" fillId="0" borderId="6" xfId="0" applyNumberFormat="1" applyFont="1" applyBorder="1" applyAlignment="1"/>
    <xf numFmtId="4" fontId="116" fillId="0" borderId="0" xfId="0" applyNumberFormat="1" applyFont="1" applyAlignment="1"/>
    <xf numFmtId="3" fontId="116" fillId="0" borderId="0" xfId="0" applyNumberFormat="1" applyFont="1" applyBorder="1" applyAlignment="1">
      <alignment horizontal="center"/>
    </xf>
    <xf numFmtId="3" fontId="116" fillId="0" borderId="0" xfId="0" quotePrefix="1" applyNumberFormat="1" applyFont="1" applyAlignment="1"/>
    <xf numFmtId="3" fontId="117" fillId="0" borderId="0" xfId="0" applyNumberFormat="1" applyFont="1" applyAlignment="1">
      <alignment horizontal="center"/>
    </xf>
    <xf numFmtId="166" fontId="116" fillId="0" borderId="0" xfId="0" applyNumberFormat="1" applyFont="1" applyFill="1" applyAlignment="1">
      <alignment horizontal="center"/>
    </xf>
    <xf numFmtId="43" fontId="116" fillId="20" borderId="0" xfId="59" applyFont="1" applyFill="1" applyAlignment="1"/>
    <xf numFmtId="166" fontId="116" fillId="0" borderId="0" xfId="0" applyNumberFormat="1" applyFont="1" applyFill="1" applyAlignment="1"/>
    <xf numFmtId="3" fontId="120" fillId="0" borderId="0" xfId="0" applyNumberFormat="1" applyFont="1" applyAlignment="1"/>
    <xf numFmtId="172" fontId="120" fillId="0" borderId="0" xfId="0" applyFont="1" applyAlignment="1"/>
    <xf numFmtId="172" fontId="119" fillId="0" borderId="0" xfId="0" applyFont="1" applyAlignment="1"/>
    <xf numFmtId="0" fontId="116" fillId="0" borderId="6" xfId="0" applyNumberFormat="1" applyFont="1" applyBorder="1" applyAlignment="1"/>
    <xf numFmtId="43" fontId="116" fillId="20" borderId="6" xfId="59" applyFont="1" applyFill="1" applyBorder="1" applyAlignment="1"/>
    <xf numFmtId="3" fontId="119" fillId="0" borderId="0" xfId="0" applyNumberFormat="1" applyFont="1" applyAlignment="1"/>
    <xf numFmtId="172" fontId="116" fillId="0" borderId="0" xfId="0" applyFont="1" applyBorder="1" applyAlignment="1"/>
    <xf numFmtId="172" fontId="121" fillId="0" borderId="0" xfId="0" applyFont="1" applyBorder="1" applyAlignment="1"/>
    <xf numFmtId="3" fontId="121" fillId="0" borderId="0" xfId="0" applyNumberFormat="1" applyFont="1" applyBorder="1" applyAlignment="1"/>
    <xf numFmtId="0" fontId="121" fillId="0" borderId="0" xfId="0" applyNumberFormat="1" applyFont="1" applyBorder="1" applyAlignment="1"/>
    <xf numFmtId="172" fontId="122" fillId="0" borderId="0" xfId="0" applyFont="1" applyBorder="1" applyAlignment="1"/>
    <xf numFmtId="9" fontId="116" fillId="0" borderId="0" xfId="0" applyNumberFormat="1" applyFont="1" applyAlignment="1"/>
    <xf numFmtId="169" fontId="116" fillId="0" borderId="0" xfId="0" applyNumberFormat="1" applyFont="1" applyAlignment="1"/>
    <xf numFmtId="181" fontId="116" fillId="20" borderId="0" xfId="59" applyNumberFormat="1" applyFont="1" applyFill="1" applyAlignment="1"/>
    <xf numFmtId="169" fontId="116" fillId="0" borderId="6" xfId="0" applyNumberFormat="1" applyFont="1" applyBorder="1" applyAlignment="1"/>
    <xf numFmtId="3" fontId="118" fillId="0" borderId="0" xfId="0" applyNumberFormat="1" applyFont="1" applyAlignment="1"/>
    <xf numFmtId="172" fontId="116" fillId="0" borderId="0" xfId="0" applyFont="1" applyFill="1" applyAlignment="1" applyProtection="1"/>
    <xf numFmtId="176" fontId="116" fillId="20" borderId="0" xfId="59" applyNumberFormat="1" applyFont="1" applyFill="1" applyBorder="1" applyProtection="1">
      <protection locked="0"/>
    </xf>
    <xf numFmtId="38" fontId="116" fillId="0" borderId="0" xfId="0" applyNumberFormat="1" applyFont="1" applyAlignment="1" applyProtection="1"/>
    <xf numFmtId="0" fontId="116" fillId="0" borderId="6" xfId="0" applyNumberFormat="1" applyFont="1" applyBorder="1"/>
    <xf numFmtId="176" fontId="116" fillId="20" borderId="6" xfId="59" applyNumberFormat="1" applyFont="1" applyFill="1" applyBorder="1" applyProtection="1">
      <protection locked="0"/>
    </xf>
    <xf numFmtId="38" fontId="116" fillId="0" borderId="0" xfId="0" applyNumberFormat="1" applyFont="1" applyAlignment="1"/>
    <xf numFmtId="176" fontId="116" fillId="0" borderId="0" xfId="59" applyNumberFormat="1" applyFont="1" applyFill="1" applyBorder="1" applyProtection="1"/>
    <xf numFmtId="1" fontId="116" fillId="0" borderId="0" xfId="0" applyNumberFormat="1" applyFont="1" applyFill="1" applyAlignment="1" applyProtection="1">
      <alignment horizontal="right"/>
    </xf>
    <xf numFmtId="176" fontId="116" fillId="20" borderId="0" xfId="59" applyNumberFormat="1" applyFont="1" applyFill="1" applyBorder="1" applyProtection="1"/>
    <xf numFmtId="176" fontId="116" fillId="20" borderId="0" xfId="59" applyNumberFormat="1" applyFont="1" applyFill="1" applyBorder="1" applyAlignment="1" applyProtection="1">
      <protection locked="0"/>
    </xf>
    <xf numFmtId="3" fontId="116" fillId="0" borderId="0" xfId="0" applyNumberFormat="1" applyFont="1" applyAlignment="1" applyProtection="1"/>
    <xf numFmtId="170" fontId="116" fillId="0" borderId="0" xfId="0" applyNumberFormat="1" applyFont="1" applyFill="1" applyBorder="1" applyAlignment="1" applyProtection="1">
      <protection locked="0"/>
    </xf>
    <xf numFmtId="172" fontId="116" fillId="0" borderId="0" xfId="0" applyNumberFormat="1" applyFont="1" applyBorder="1" applyAlignment="1"/>
    <xf numFmtId="170" fontId="116" fillId="0" borderId="0" xfId="0" applyNumberFormat="1" applyFont="1" applyFill="1" applyBorder="1" applyAlignment="1" applyProtection="1"/>
    <xf numFmtId="172" fontId="116" fillId="0" borderId="0" xfId="0" applyNumberFormat="1" applyFont="1" applyAlignment="1"/>
    <xf numFmtId="172" fontId="116" fillId="0" borderId="0" xfId="0" applyNumberFormat="1" applyFont="1" applyFill="1" applyAlignment="1"/>
    <xf numFmtId="3" fontId="116" fillId="0" borderId="0" xfId="0" applyNumberFormat="1" applyFont="1" applyFill="1" applyAlignment="1" applyProtection="1"/>
    <xf numFmtId="170" fontId="116" fillId="0" borderId="0" xfId="0" applyNumberFormat="1" applyFont="1"/>
    <xf numFmtId="0" fontId="116" fillId="0" borderId="0" xfId="0" applyNumberFormat="1" applyFont="1" applyAlignment="1">
      <alignment horizontal="left" indent="8"/>
    </xf>
    <xf numFmtId="0" fontId="116" fillId="0" borderId="0" xfId="0" applyNumberFormat="1" applyFont="1" applyAlignment="1">
      <alignment horizontal="center" vertical="top" wrapText="1"/>
    </xf>
    <xf numFmtId="3" fontId="116" fillId="0" borderId="0" xfId="0" applyNumberFormat="1" applyFont="1" applyFill="1" applyAlignment="1">
      <alignment horizontal="left"/>
    </xf>
    <xf numFmtId="0" fontId="116" fillId="0" borderId="0" xfId="0" applyNumberFormat="1" applyFont="1" applyFill="1" applyAlignment="1">
      <alignment horizontal="center" vertical="top" wrapText="1"/>
    </xf>
    <xf numFmtId="0" fontId="116" fillId="0" borderId="0" xfId="0" applyNumberFormat="1" applyFont="1" applyFill="1" applyAlignment="1">
      <alignment horizontal="left" vertical="top" wrapText="1" indent="8"/>
    </xf>
    <xf numFmtId="0" fontId="116" fillId="0" borderId="0" xfId="0" applyNumberFormat="1" applyFont="1" applyFill="1" applyAlignment="1">
      <alignment vertical="top" wrapText="1"/>
    </xf>
    <xf numFmtId="10" fontId="116" fillId="0" borderId="0" xfId="59" applyNumberFormat="1" applyFont="1" applyFill="1" applyAlignment="1">
      <alignment vertical="top" wrapText="1"/>
    </xf>
    <xf numFmtId="43" fontId="116" fillId="20" borderId="0" xfId="59" applyFont="1" applyFill="1" applyAlignment="1">
      <alignment vertical="top" wrapText="1"/>
    </xf>
    <xf numFmtId="172" fontId="116" fillId="0" borderId="0" xfId="0" applyFont="1" applyFill="1" applyAlignment="1">
      <alignment horizontal="center" vertical="top" wrapText="1"/>
    </xf>
    <xf numFmtId="172" fontId="123" fillId="0" borderId="0" xfId="0" applyFont="1" applyFill="1" applyAlignment="1"/>
    <xf numFmtId="172" fontId="116" fillId="0" borderId="0" xfId="0" applyFont="1" applyFill="1" applyAlignment="1">
      <alignment wrapText="1"/>
    </xf>
    <xf numFmtId="172" fontId="116" fillId="0" borderId="0" xfId="0" applyFont="1" applyFill="1" applyAlignment="1">
      <alignment horizontal="center"/>
    </xf>
    <xf numFmtId="0" fontId="116" fillId="0" borderId="0" xfId="0" applyNumberFormat="1" applyFont="1" applyFill="1" applyBorder="1" applyAlignment="1"/>
    <xf numFmtId="172" fontId="117" fillId="0" borderId="0" xfId="0" applyFont="1" applyFill="1" applyAlignment="1"/>
    <xf numFmtId="49" fontId="116" fillId="0" borderId="0" xfId="0" applyNumberFormat="1" applyFont="1" applyFill="1" applyBorder="1"/>
    <xf numFmtId="49" fontId="116" fillId="0" borderId="0" xfId="0" applyNumberFormat="1" applyFont="1" applyFill="1" applyBorder="1" applyAlignment="1">
      <alignment horizontal="left"/>
    </xf>
    <xf numFmtId="3" fontId="117" fillId="0" borderId="0" xfId="0" applyNumberFormat="1" applyFont="1" applyFill="1" applyBorder="1" applyAlignment="1">
      <alignment horizontal="center"/>
    </xf>
    <xf numFmtId="0" fontId="117" fillId="0" borderId="0" xfId="0" applyNumberFormat="1" applyFont="1" applyFill="1" applyBorder="1" applyAlignment="1">
      <alignment horizontal="center"/>
    </xf>
    <xf numFmtId="172" fontId="117" fillId="0" borderId="0" xfId="0" applyFont="1" applyFill="1" applyBorder="1" applyAlignment="1">
      <alignment horizontal="center"/>
    </xf>
    <xf numFmtId="3" fontId="117" fillId="0" borderId="0" xfId="0" applyNumberFormat="1" applyFont="1" applyFill="1" applyBorder="1" applyAlignment="1"/>
    <xf numFmtId="0" fontId="117" fillId="0" borderId="0" xfId="0" applyNumberFormat="1" applyFont="1" applyFill="1" applyBorder="1" applyAlignment="1"/>
    <xf numFmtId="164" fontId="116" fillId="0" borderId="0" xfId="0" applyNumberFormat="1" applyFont="1" applyFill="1" applyBorder="1" applyAlignment="1">
      <alignment horizontal="left"/>
    </xf>
    <xf numFmtId="166" fontId="116" fillId="0" borderId="0" xfId="0" applyNumberFormat="1" applyFont="1" applyFill="1" applyBorder="1" applyAlignment="1">
      <alignment horizontal="center"/>
    </xf>
    <xf numFmtId="172" fontId="116" fillId="0" borderId="0" xfId="0" applyFont="1" applyAlignment="1">
      <alignment wrapText="1"/>
    </xf>
    <xf numFmtId="0" fontId="116" fillId="0" borderId="0" xfId="0" applyNumberFormat="1" applyFont="1" applyFill="1" applyAlignment="1">
      <alignment horizontal="left" indent="1"/>
    </xf>
    <xf numFmtId="172" fontId="17" fillId="0" borderId="0" xfId="0" applyFont="1"/>
    <xf numFmtId="172" fontId="0" fillId="0" borderId="0" xfId="0"/>
    <xf numFmtId="172" fontId="94" fillId="0" borderId="0" xfId="0" applyFont="1"/>
    <xf numFmtId="1" fontId="94" fillId="0" borderId="0" xfId="80" applyNumberFormat="1" applyFont="1" applyAlignment="1">
      <alignment horizontal="center"/>
    </xf>
    <xf numFmtId="10" fontId="24" fillId="0" borderId="18" xfId="137" applyNumberFormat="1" applyFont="1" applyFill="1" applyBorder="1"/>
    <xf numFmtId="172" fontId="47" fillId="0" borderId="0" xfId="0" applyFont="1" applyAlignment="1">
      <alignment horizontal="center" wrapText="1"/>
    </xf>
    <xf numFmtId="0" fontId="10" fillId="0" borderId="0" xfId="148" applyFont="1" applyBorder="1" applyAlignment="1">
      <alignment horizontal="center"/>
    </xf>
    <xf numFmtId="3" fontId="127" fillId="0" borderId="0" xfId="79" applyNumberFormat="1" applyFont="1" applyFill="1" applyAlignment="1">
      <alignment horizontal="center" wrapText="1"/>
    </xf>
    <xf numFmtId="0" fontId="107" fillId="0" borderId="29" xfId="148" applyFont="1" applyBorder="1" applyAlignment="1">
      <alignment horizontal="center"/>
    </xf>
    <xf numFmtId="37" fontId="12" fillId="0" borderId="30" xfId="148" applyNumberFormat="1" applyFill="1" applyBorder="1"/>
    <xf numFmtId="0" fontId="107" fillId="0" borderId="34" xfId="148" applyFont="1" applyFill="1" applyBorder="1" applyAlignment="1">
      <alignment wrapText="1"/>
    </xf>
    <xf numFmtId="0" fontId="107" fillId="0" borderId="0" xfId="148" applyFont="1" applyFill="1" applyBorder="1" applyAlignment="1">
      <alignment horizontal="left" indent="2"/>
    </xf>
    <xf numFmtId="0" fontId="10" fillId="0" borderId="0" xfId="148" applyFont="1" applyBorder="1" applyAlignment="1">
      <alignment horizontal="center" wrapText="1"/>
    </xf>
    <xf numFmtId="0" fontId="107" fillId="0" borderId="0" xfId="148" applyFont="1" applyFill="1" applyBorder="1" applyAlignment="1">
      <alignment horizontal="center" wrapText="1"/>
    </xf>
    <xf numFmtId="0" fontId="107" fillId="0" borderId="33" xfId="148" applyFont="1" applyFill="1" applyBorder="1" applyAlignment="1">
      <alignment horizontal="center" wrapText="1"/>
    </xf>
    <xf numFmtId="0" fontId="12" fillId="0" borderId="0" xfId="148" applyBorder="1" applyAlignment="1">
      <alignment horizontal="center"/>
    </xf>
    <xf numFmtId="37" fontId="12" fillId="20" borderId="34" xfId="148" applyNumberFormat="1" applyFill="1" applyBorder="1"/>
    <xf numFmtId="37" fontId="12" fillId="20" borderId="0" xfId="148" applyNumberFormat="1" applyFill="1" applyBorder="1"/>
    <xf numFmtId="37" fontId="107" fillId="0" borderId="34" xfId="148" applyNumberFormat="1" applyFont="1" applyFill="1" applyBorder="1" applyAlignment="1">
      <alignment wrapText="1"/>
    </xf>
    <xf numFmtId="176" fontId="10" fillId="0" borderId="0" xfId="59" applyNumberFormat="1" applyFont="1" applyBorder="1"/>
    <xf numFmtId="0" fontId="12" fillId="0" borderId="21" xfId="148" applyBorder="1"/>
    <xf numFmtId="0" fontId="10" fillId="0" borderId="0" xfId="148" applyFont="1" applyAlignment="1">
      <alignment horizontal="center"/>
    </xf>
    <xf numFmtId="0" fontId="10" fillId="0" borderId="0" xfId="148" applyFont="1" applyAlignment="1">
      <alignment horizontal="center" wrapText="1"/>
    </xf>
    <xf numFmtId="0" fontId="10" fillId="0" borderId="11" xfId="148" applyFont="1" applyBorder="1"/>
    <xf numFmtId="0" fontId="125" fillId="0" borderId="11" xfId="79" applyFont="1" applyFill="1" applyBorder="1" applyAlignment="1">
      <alignment horizontal="center" wrapText="1"/>
    </xf>
    <xf numFmtId="0" fontId="17" fillId="0" borderId="11" xfId="79" applyFont="1" applyFill="1" applyBorder="1" applyAlignment="1">
      <alignment horizontal="center" wrapText="1"/>
    </xf>
    <xf numFmtId="0" fontId="10" fillId="0" borderId="0" xfId="148" applyFont="1"/>
    <xf numFmtId="176" fontId="10" fillId="20" borderId="0" xfId="59" applyNumberFormat="1" applyFont="1" applyFill="1"/>
    <xf numFmtId="176" fontId="12" fillId="0" borderId="0" xfId="148" applyNumberFormat="1"/>
    <xf numFmtId="176" fontId="107" fillId="0" borderId="0" xfId="148" applyNumberFormat="1" applyFont="1"/>
    <xf numFmtId="176" fontId="10" fillId="0" borderId="0" xfId="59" applyNumberFormat="1" applyFont="1"/>
    <xf numFmtId="37" fontId="10" fillId="20" borderId="0" xfId="148" applyNumberFormat="1" applyFont="1" applyFill="1" applyBorder="1"/>
    <xf numFmtId="0" fontId="12" fillId="0" borderId="40" xfId="148" applyFill="1" applyBorder="1"/>
    <xf numFmtId="176" fontId="10" fillId="0" borderId="0" xfId="59" applyNumberFormat="1" applyFont="1" applyFill="1"/>
    <xf numFmtId="43" fontId="10" fillId="0" borderId="0" xfId="59" applyFont="1"/>
    <xf numFmtId="42" fontId="24" fillId="0" borderId="22" xfId="139" applyNumberFormat="1" applyFont="1" applyBorder="1"/>
    <xf numFmtId="172" fontId="68" fillId="0" borderId="0" xfId="0" applyFont="1" applyAlignment="1">
      <alignment horizontal="center" vertical="center"/>
    </xf>
    <xf numFmtId="1" fontId="69" fillId="0" borderId="0" xfId="0" applyNumberFormat="1" applyFont="1" applyAlignment="1">
      <alignment horizontal="center" vertical="center"/>
    </xf>
    <xf numFmtId="172" fontId="70" fillId="0" borderId="0" xfId="0" applyFont="1" applyAlignment="1">
      <alignment horizontal="right" vertical="center"/>
    </xf>
    <xf numFmtId="187" fontId="70" fillId="0" borderId="0" xfId="0" applyNumberFormat="1" applyFont="1" applyAlignment="1">
      <alignment horizontal="center" vertical="center"/>
    </xf>
    <xf numFmtId="1" fontId="70" fillId="0" borderId="0" xfId="0" applyNumberFormat="1" applyFont="1" applyAlignment="1">
      <alignment horizontal="center" vertical="center"/>
    </xf>
    <xf numFmtId="1" fontId="68" fillId="0" borderId="0" xfId="0" applyNumberFormat="1" applyFont="1" applyFill="1" applyAlignment="1">
      <alignment vertical="center"/>
    </xf>
    <xf numFmtId="176" fontId="69" fillId="20" borderId="0" xfId="59" applyNumberFormat="1" applyFont="1" applyFill="1" applyAlignment="1">
      <alignment vertical="center"/>
    </xf>
    <xf numFmtId="1" fontId="68" fillId="0" borderId="0" xfId="0" applyNumberFormat="1" applyFont="1" applyAlignment="1">
      <alignment vertical="center"/>
    </xf>
    <xf numFmtId="176" fontId="46" fillId="0" borderId="0" xfId="59" applyNumberFormat="1" applyFont="1" applyFill="1" applyBorder="1" applyAlignment="1"/>
    <xf numFmtId="176" fontId="46" fillId="0" borderId="0" xfId="59" applyNumberFormat="1" applyFont="1" applyFill="1" applyAlignment="1"/>
    <xf numFmtId="176" fontId="46" fillId="0" borderId="6" xfId="59" applyNumberFormat="1" applyFont="1" applyFill="1" applyBorder="1" applyAlignment="1"/>
    <xf numFmtId="3" fontId="46" fillId="0" borderId="0" xfId="0" applyNumberFormat="1" applyFont="1" applyFill="1" applyAlignment="1"/>
    <xf numFmtId="0" fontId="9" fillId="0" borderId="0" xfId="148" applyFont="1" applyAlignment="1">
      <alignment horizontal="center"/>
    </xf>
    <xf numFmtId="0" fontId="9" fillId="0" borderId="0" xfId="148" applyFont="1" applyAlignment="1">
      <alignment horizontal="center" wrapText="1"/>
    </xf>
    <xf numFmtId="0" fontId="41" fillId="0" borderId="0" xfId="132" applyFont="1" applyAlignment="1">
      <alignment horizontal="center"/>
    </xf>
    <xf numFmtId="0" fontId="19" fillId="0" borderId="0" xfId="132" applyFont="1" applyFill="1" applyAlignment="1">
      <alignment horizontal="center"/>
    </xf>
    <xf numFmtId="0" fontId="97" fillId="0" borderId="0" xfId="132" applyFont="1" applyFill="1" applyBorder="1" applyAlignment="1">
      <alignment horizontal="left" wrapText="1"/>
    </xf>
    <xf numFmtId="0" fontId="46" fillId="0" borderId="0" xfId="0" applyNumberFormat="1" applyFont="1" applyFill="1" applyAlignment="1">
      <alignment horizontal="center"/>
    </xf>
    <xf numFmtId="0" fontId="46" fillId="0" borderId="0" xfId="0" applyNumberFormat="1" applyFont="1" applyFill="1" applyAlignment="1"/>
    <xf numFmtId="3" fontId="46" fillId="0" borderId="0" xfId="0" applyNumberFormat="1" applyFont="1" applyAlignment="1"/>
    <xf numFmtId="43" fontId="46" fillId="0" borderId="0" xfId="59" applyFont="1" applyFill="1" applyAlignment="1"/>
    <xf numFmtId="172" fontId="46" fillId="0" borderId="0" xfId="143" applyFont="1" applyFill="1" applyAlignment="1"/>
    <xf numFmtId="176" fontId="46" fillId="0" borderId="18" xfId="59" applyNumberFormat="1" applyFont="1" applyFill="1" applyBorder="1" applyAlignment="1"/>
    <xf numFmtId="0" fontId="46" fillId="0" borderId="0" xfId="0" applyNumberFormat="1" applyFont="1" applyFill="1" applyAlignment="1">
      <alignment horizontal="left"/>
    </xf>
    <xf numFmtId="176" fontId="46" fillId="20" borderId="0" xfId="59" applyNumberFormat="1" applyFont="1" applyFill="1" applyAlignment="1"/>
    <xf numFmtId="176" fontId="46" fillId="20" borderId="0" xfId="59" applyNumberFormat="1" applyFont="1" applyFill="1" applyBorder="1" applyAlignment="1"/>
    <xf numFmtId="176" fontId="46" fillId="0" borderId="0" xfId="59" applyNumberFormat="1" applyFont="1" applyAlignment="1"/>
    <xf numFmtId="3" fontId="47" fillId="0" borderId="0" xfId="0" applyNumberFormat="1" applyFont="1" applyAlignment="1"/>
    <xf numFmtId="10" fontId="46" fillId="0" borderId="0" xfId="0" applyNumberFormat="1" applyFont="1" applyFill="1" applyAlignment="1">
      <alignment horizontal="right"/>
    </xf>
    <xf numFmtId="10" fontId="46" fillId="0" borderId="0" xfId="0" applyNumberFormat="1" applyFont="1" applyFill="1" applyAlignment="1">
      <alignment horizontal="left"/>
    </xf>
    <xf numFmtId="43" fontId="46" fillId="0" borderId="0" xfId="59" applyNumberFormat="1" applyFont="1" applyAlignment="1"/>
    <xf numFmtId="176" fontId="46" fillId="0" borderId="0" xfId="59" applyNumberFormat="1" applyFont="1" applyBorder="1" applyAlignment="1"/>
    <xf numFmtId="176" fontId="46" fillId="0" borderId="11" xfId="59" applyNumberFormat="1" applyFont="1" applyFill="1" applyBorder="1" applyAlignment="1"/>
    <xf numFmtId="3" fontId="46" fillId="0" borderId="0" xfId="0" applyNumberFormat="1" applyFont="1" applyBorder="1" applyAlignment="1"/>
    <xf numFmtId="3" fontId="46" fillId="0" borderId="0" xfId="0" applyNumberFormat="1" applyFont="1" applyFill="1" applyBorder="1" applyAlignment="1"/>
    <xf numFmtId="176" fontId="46" fillId="0" borderId="38" xfId="59" applyNumberFormat="1" applyFont="1" applyFill="1" applyBorder="1" applyAlignment="1"/>
    <xf numFmtId="164" fontId="46" fillId="0" borderId="0" xfId="0" applyNumberFormat="1" applyFont="1" applyFill="1" applyAlignment="1">
      <alignment horizontal="left"/>
    </xf>
    <xf numFmtId="167" fontId="46" fillId="0" borderId="0" xfId="0" applyNumberFormat="1" applyFont="1" applyFill="1" applyAlignment="1"/>
    <xf numFmtId="164" fontId="118" fillId="0" borderId="0" xfId="0" applyNumberFormat="1" applyFont="1" applyFill="1" applyAlignment="1">
      <alignment horizontal="left"/>
    </xf>
    <xf numFmtId="0" fontId="46" fillId="0" borderId="0" xfId="0" applyNumberFormat="1" applyFont="1" applyFill="1" applyAlignment="1">
      <alignment wrapText="1"/>
    </xf>
    <xf numFmtId="172" fontId="68" fillId="0" borderId="0" xfId="0" applyFont="1" applyFill="1" applyAlignment="1">
      <alignment horizontal="center" vertical="top" wrapText="1"/>
    </xf>
    <xf numFmtId="0" fontId="24" fillId="0" borderId="21" xfId="137" applyFont="1" applyFill="1" applyBorder="1" applyAlignment="1">
      <alignment horizontal="center" wrapText="1"/>
    </xf>
    <xf numFmtId="0" fontId="24" fillId="0" borderId="0" xfId="137" applyFont="1" applyFill="1" applyBorder="1" applyAlignment="1">
      <alignment horizontal="center" wrapText="1"/>
    </xf>
    <xf numFmtId="10" fontId="103" fillId="0" borderId="0" xfId="137" applyNumberFormat="1" applyFont="1" applyFill="1" applyBorder="1"/>
    <xf numFmtId="170" fontId="24" fillId="0" borderId="0" xfId="59" applyNumberFormat="1" applyFont="1" applyFill="1" applyBorder="1" applyAlignment="1"/>
    <xf numFmtId="0" fontId="24" fillId="20" borderId="16" xfId="152" quotePrefix="1" applyFont="1" applyFill="1" applyBorder="1"/>
    <xf numFmtId="0" fontId="107" fillId="0" borderId="0" xfId="148" applyFont="1" applyFill="1" applyBorder="1"/>
    <xf numFmtId="176" fontId="10" fillId="0" borderId="0" xfId="59" applyNumberFormat="1" applyFont="1" applyFill="1" applyBorder="1"/>
    <xf numFmtId="172" fontId="17" fillId="0" borderId="0" xfId="0" applyFont="1" applyFill="1"/>
    <xf numFmtId="172" fontId="0" fillId="0" borderId="0" xfId="0" applyFont="1" applyFill="1"/>
    <xf numFmtId="172" fontId="17" fillId="0" borderId="0" xfId="0" applyFont="1" applyFill="1" applyAlignment="1"/>
    <xf numFmtId="164" fontId="17" fillId="0" borderId="0" xfId="85" applyNumberFormat="1" applyFont="1" applyFill="1" applyBorder="1" applyAlignment="1"/>
    <xf numFmtId="3" fontId="46" fillId="0" borderId="0" xfId="0" applyNumberFormat="1" applyFont="1" applyFill="1" applyAlignment="1">
      <alignment vertical="top"/>
    </xf>
    <xf numFmtId="3" fontId="116" fillId="0" borderId="0" xfId="0" applyNumberFormat="1" applyFont="1" applyFill="1" applyAlignment="1">
      <alignment vertical="top"/>
    </xf>
    <xf numFmtId="172" fontId="46" fillId="0" borderId="0" xfId="0" applyFont="1" applyFill="1" applyAlignment="1" applyProtection="1">
      <alignment vertical="top" wrapText="1"/>
    </xf>
    <xf numFmtId="0" fontId="16" fillId="0" borderId="0" xfId="132" applyFont="1" applyFill="1" applyAlignment="1">
      <alignment vertical="top"/>
    </xf>
    <xf numFmtId="0" fontId="96" fillId="0" borderId="0" xfId="132" applyFont="1" applyFill="1" applyAlignment="1"/>
    <xf numFmtId="172" fontId="68" fillId="0" borderId="0" xfId="0" applyFont="1" applyAlignment="1">
      <alignment horizontal="center" vertical="center"/>
    </xf>
    <xf numFmtId="0" fontId="46" fillId="0" borderId="0" xfId="0" applyNumberFormat="1" applyFont="1" applyAlignment="1"/>
    <xf numFmtId="0" fontId="24" fillId="0" borderId="18" xfId="137" applyFont="1" applyFill="1" applyBorder="1"/>
    <xf numFmtId="172" fontId="126" fillId="0" borderId="0" xfId="0" applyFont="1" applyFill="1" applyBorder="1" applyAlignment="1">
      <alignment vertical="top"/>
    </xf>
    <xf numFmtId="3" fontId="24" fillId="0" borderId="0" xfId="132" applyNumberFormat="1" applyFont="1" applyFill="1" applyBorder="1" applyAlignment="1">
      <alignment horizontal="left" wrapText="1"/>
    </xf>
    <xf numFmtId="172" fontId="83" fillId="0" borderId="0" xfId="0" applyFont="1" applyFill="1" applyAlignment="1">
      <alignment horizontal="center" vertical="center"/>
    </xf>
    <xf numFmtId="3" fontId="24" fillId="0" borderId="0" xfId="0" applyNumberFormat="1" applyFont="1" applyFill="1" applyBorder="1" applyAlignment="1">
      <alignment horizontal="center"/>
    </xf>
    <xf numFmtId="0" fontId="17" fillId="0" borderId="0" xfId="132" applyFont="1" applyFill="1" applyBorder="1" applyAlignment="1">
      <alignment horizontal="center" wrapText="1"/>
    </xf>
    <xf numFmtId="0" fontId="7" fillId="0" borderId="0" xfId="148" applyFont="1" applyFill="1" applyAlignment="1">
      <alignment horizontal="center" wrapText="1"/>
    </xf>
    <xf numFmtId="172" fontId="24" fillId="20" borderId="0" xfId="152" quotePrefix="1" applyNumberFormat="1" applyFont="1" applyFill="1" applyBorder="1" applyAlignment="1">
      <alignment horizontal="center"/>
    </xf>
    <xf numFmtId="0" fontId="77" fillId="20" borderId="0" xfId="0" applyNumberFormat="1" applyFont="1" applyFill="1" applyAlignment="1" applyProtection="1">
      <alignment horizontal="left"/>
      <protection locked="0"/>
    </xf>
    <xf numFmtId="172" fontId="76" fillId="20" borderId="0" xfId="0" applyFont="1" applyFill="1" applyAlignment="1" applyProtection="1">
      <alignment horizontal="center"/>
      <protection locked="0"/>
    </xf>
    <xf numFmtId="172" fontId="24" fillId="20" borderId="0" xfId="0" applyFont="1" applyFill="1" applyProtection="1">
      <protection locked="0"/>
    </xf>
    <xf numFmtId="176" fontId="76" fillId="20" borderId="0" xfId="0" applyNumberFormat="1" applyFont="1" applyFill="1" applyProtection="1">
      <protection locked="0"/>
    </xf>
    <xf numFmtId="0" fontId="68" fillId="0" borderId="0" xfId="154" applyFont="1" applyFill="1" applyAlignment="1">
      <alignment vertical="center"/>
    </xf>
    <xf numFmtId="172" fontId="68" fillId="0" borderId="0" xfId="0" applyFont="1" applyFill="1" applyAlignment="1">
      <alignment horizontal="center" vertical="center" wrapText="1"/>
    </xf>
    <xf numFmtId="172" fontId="68" fillId="0" borderId="0" xfId="0" applyFont="1" applyAlignment="1">
      <alignment horizontal="right" vertical="center"/>
    </xf>
    <xf numFmtId="0" fontId="68" fillId="0" borderId="0" xfId="0" applyNumberFormat="1" applyFont="1" applyFill="1" applyAlignment="1">
      <alignment horizontal="right"/>
    </xf>
    <xf numFmtId="172" fontId="128" fillId="0" borderId="0" xfId="0" applyFont="1" applyAlignment="1"/>
    <xf numFmtId="172" fontId="50" fillId="0" borderId="0" xfId="0" applyFont="1" applyAlignment="1"/>
    <xf numFmtId="172" fontId="47" fillId="0" borderId="0" xfId="0" applyFont="1" applyAlignment="1">
      <alignment horizontal="center" vertical="center" wrapText="1"/>
    </xf>
    <xf numFmtId="172" fontId="47" fillId="0" borderId="0" xfId="0" applyFont="1" applyAlignment="1"/>
    <xf numFmtId="172" fontId="47" fillId="0" borderId="11" xfId="0" applyFont="1" applyBorder="1" applyAlignment="1"/>
    <xf numFmtId="0" fontId="46" fillId="0" borderId="0" xfId="0" applyNumberFormat="1" applyFont="1" applyAlignment="1">
      <alignment horizontal="center"/>
    </xf>
    <xf numFmtId="172" fontId="129" fillId="0" borderId="0" xfId="0" applyFont="1" applyAlignment="1"/>
    <xf numFmtId="170" fontId="46" fillId="20" borderId="0" xfId="0" applyNumberFormat="1" applyFont="1" applyFill="1" applyAlignment="1"/>
    <xf numFmtId="3" fontId="46" fillId="0" borderId="0" xfId="0" applyNumberFormat="1" applyFont="1" applyAlignment="1">
      <alignment horizontal="center"/>
    </xf>
    <xf numFmtId="170" fontId="46" fillId="0" borderId="32" xfId="0" applyNumberFormat="1" applyFont="1" applyBorder="1" applyAlignment="1"/>
    <xf numFmtId="171" fontId="46" fillId="0" borderId="0" xfId="0" applyNumberFormat="1" applyFont="1" applyAlignment="1">
      <alignment horizontal="center"/>
    </xf>
    <xf numFmtId="170" fontId="46" fillId="20" borderId="11" xfId="0" applyNumberFormat="1" applyFont="1" applyFill="1" applyBorder="1" applyAlignment="1"/>
    <xf numFmtId="170" fontId="46" fillId="0" borderId="0" xfId="0" applyNumberFormat="1" applyFont="1" applyBorder="1" applyAlignment="1"/>
    <xf numFmtId="170" fontId="47" fillId="0" borderId="27" xfId="0" applyNumberFormat="1" applyFont="1" applyBorder="1" applyAlignment="1"/>
    <xf numFmtId="171" fontId="46" fillId="0" borderId="0" xfId="0" applyNumberFormat="1" applyFont="1" applyAlignment="1"/>
    <xf numFmtId="172" fontId="47" fillId="0" borderId="0" xfId="0" applyFont="1" applyBorder="1" applyAlignment="1"/>
    <xf numFmtId="172" fontId="46" fillId="0" borderId="0" xfId="0" applyFont="1" applyAlignment="1">
      <alignment horizontal="center"/>
    </xf>
    <xf numFmtId="3" fontId="46" fillId="0" borderId="0" xfId="0" quotePrefix="1" applyNumberFormat="1" applyFont="1" applyAlignment="1">
      <alignment horizontal="center"/>
    </xf>
    <xf numFmtId="170" fontId="46" fillId="0" borderId="0" xfId="0" applyNumberFormat="1" applyFont="1" applyAlignment="1"/>
    <xf numFmtId="176" fontId="46" fillId="0" borderId="16" xfId="59" quotePrefix="1" applyNumberFormat="1" applyFont="1" applyFill="1" applyBorder="1" applyAlignment="1">
      <alignment horizontal="center"/>
    </xf>
    <xf numFmtId="176" fontId="46" fillId="0" borderId="0" xfId="59" applyNumberFormat="1" applyFont="1" applyFill="1" applyBorder="1" applyAlignment="1">
      <alignment horizontal="center"/>
    </xf>
    <xf numFmtId="176" fontId="46" fillId="0" borderId="0" xfId="59" applyNumberFormat="1" applyFont="1" applyFill="1" applyBorder="1" applyAlignment="1">
      <alignment horizontal="left" wrapText="1"/>
    </xf>
    <xf numFmtId="176" fontId="46" fillId="0" borderId="0" xfId="59" applyNumberFormat="1" applyFont="1" applyFill="1" applyBorder="1" applyAlignment="1">
      <alignment horizontal="left"/>
    </xf>
    <xf numFmtId="172" fontId="0" fillId="0" borderId="0" xfId="0" applyFill="1" applyBorder="1" applyAlignment="1"/>
    <xf numFmtId="170" fontId="46" fillId="21" borderId="0" xfId="0" applyNumberFormat="1" applyFont="1" applyFill="1" applyAlignment="1"/>
    <xf numFmtId="172" fontId="46" fillId="21" borderId="0" xfId="0" applyFont="1" applyFill="1" applyBorder="1" applyAlignment="1"/>
    <xf numFmtId="172" fontId="46" fillId="21" borderId="0" xfId="0" applyFont="1" applyFill="1" applyAlignment="1"/>
    <xf numFmtId="176" fontId="46" fillId="0" borderId="0" xfId="59" applyNumberFormat="1" applyFont="1" applyFill="1" applyAlignment="1">
      <alignment horizontal="center"/>
    </xf>
    <xf numFmtId="176" fontId="116" fillId="0" borderId="0" xfId="59" applyNumberFormat="1" applyFont="1" applyFill="1" applyAlignment="1">
      <alignment horizontal="center"/>
    </xf>
    <xf numFmtId="0" fontId="79" fillId="0" borderId="0" xfId="129" applyFont="1" applyAlignment="1">
      <alignment vertical="top"/>
    </xf>
    <xf numFmtId="0" fontId="79" fillId="0" borderId="0" xfId="129" applyFont="1" applyAlignment="1">
      <alignment horizontal="right"/>
    </xf>
    <xf numFmtId="176" fontId="67" fillId="0" borderId="0" xfId="59" applyNumberFormat="1" applyFont="1" applyFill="1" applyBorder="1" applyAlignment="1">
      <alignment horizontal="left"/>
    </xf>
    <xf numFmtId="0" fontId="67" fillId="0" borderId="0" xfId="132" applyFont="1" applyFill="1" applyBorder="1" applyAlignment="1"/>
    <xf numFmtId="0" fontId="24" fillId="0" borderId="13" xfId="0" applyNumberFormat="1" applyFont="1" applyFill="1" applyBorder="1" applyAlignment="1">
      <alignment horizontal="center"/>
    </xf>
    <xf numFmtId="172" fontId="68" fillId="0" borderId="0" xfId="0" applyFont="1" applyAlignment="1">
      <alignment horizontal="center" vertical="center"/>
    </xf>
    <xf numFmtId="172" fontId="68" fillId="0" borderId="0" xfId="0" applyFont="1" applyAlignment="1">
      <alignment horizontal="left" vertical="center"/>
    </xf>
    <xf numFmtId="0" fontId="19" fillId="0" borderId="0" xfId="132" applyFont="1" applyFill="1" applyAlignment="1">
      <alignment horizontal="center"/>
    </xf>
    <xf numFmtId="172" fontId="70" fillId="0" borderId="0" xfId="0" applyFont="1" applyAlignment="1">
      <alignment horizontal="center" vertical="center"/>
    </xf>
    <xf numFmtId="0" fontId="131" fillId="0" borderId="0" xfId="132" applyFont="1"/>
    <xf numFmtId="172" fontId="83" fillId="20" borderId="0" xfId="0" applyFont="1" applyFill="1" applyAlignment="1">
      <alignment horizontal="center" vertical="center"/>
    </xf>
    <xf numFmtId="172" fontId="46" fillId="0" borderId="0" xfId="0" applyFont="1"/>
    <xf numFmtId="172" fontId="46" fillId="0" borderId="0" xfId="0" applyFont="1" applyAlignment="1">
      <alignment horizontal="right"/>
    </xf>
    <xf numFmtId="176" fontId="46" fillId="0" borderId="0" xfId="157" applyNumberFormat="1" applyFont="1" applyAlignment="1">
      <alignment horizontal="center"/>
    </xf>
    <xf numFmtId="0" fontId="46" fillId="0" borderId="0" xfId="158" applyFont="1"/>
    <xf numFmtId="176" fontId="47" fillId="0" borderId="0" xfId="59" applyNumberFormat="1" applyFont="1" applyBorder="1" applyAlignment="1"/>
    <xf numFmtId="0" fontId="47" fillId="0" borderId="11" xfId="0" applyNumberFormat="1" applyFont="1" applyBorder="1" applyAlignment="1">
      <alignment horizontal="center"/>
    </xf>
    <xf numFmtId="172" fontId="47" fillId="0" borderId="11" xfId="0" applyFont="1" applyBorder="1" applyAlignment="1">
      <alignment horizontal="center"/>
    </xf>
    <xf numFmtId="172" fontId="46" fillId="0" borderId="0" xfId="0" quotePrefix="1" applyFont="1"/>
    <xf numFmtId="172" fontId="123" fillId="0" borderId="0" xfId="0" applyFont="1"/>
    <xf numFmtId="172" fontId="132" fillId="0" borderId="0" xfId="0" applyFont="1"/>
    <xf numFmtId="176" fontId="46" fillId="0" borderId="32" xfId="59" applyNumberFormat="1" applyFont="1" applyBorder="1" applyAlignment="1"/>
    <xf numFmtId="0" fontId="47" fillId="0" borderId="0" xfId="0" applyNumberFormat="1" applyFont="1" applyAlignment="1">
      <alignment horizontal="center"/>
    </xf>
    <xf numFmtId="0" fontId="134" fillId="0" borderId="0" xfId="159" applyFont="1"/>
    <xf numFmtId="0" fontId="0" fillId="0" borderId="0" xfId="0" applyNumberFormat="1"/>
    <xf numFmtId="0" fontId="47" fillId="0" borderId="0" xfId="160" applyNumberFormat="1" applyFont="1" applyFill="1" applyAlignment="1">
      <alignment vertical="top"/>
    </xf>
    <xf numFmtId="0" fontId="24" fillId="0" borderId="0" xfId="156" applyFont="1"/>
    <xf numFmtId="1" fontId="137" fillId="0" borderId="0" xfId="78" applyNumberFormat="1" applyFont="1" applyAlignment="1">
      <alignment vertical="center"/>
    </xf>
    <xf numFmtId="0" fontId="138" fillId="0" borderId="0" xfId="132" applyFont="1"/>
    <xf numFmtId="0" fontId="139" fillId="0" borderId="0" xfId="132" applyFont="1"/>
    <xf numFmtId="0" fontId="139" fillId="0" borderId="0" xfId="78" applyFont="1" applyAlignment="1">
      <alignment horizontal="right"/>
    </xf>
    <xf numFmtId="0" fontId="137" fillId="0" borderId="0" xfId="132" applyFont="1" applyAlignment="1">
      <alignment vertical="top"/>
    </xf>
    <xf numFmtId="0" fontId="107" fillId="0" borderId="0" xfId="132" applyFont="1"/>
    <xf numFmtId="0" fontId="137" fillId="0" borderId="0" xfId="154" applyFont="1" applyAlignment="1">
      <alignment horizontal="center" vertical="center"/>
    </xf>
    <xf numFmtId="0" fontId="139" fillId="0" borderId="0" xfId="154" applyFont="1" applyAlignment="1">
      <alignment horizontal="right"/>
    </xf>
    <xf numFmtId="0" fontId="137" fillId="0" borderId="0" xfId="78" applyFont="1" applyAlignment="1"/>
    <xf numFmtId="0" fontId="139" fillId="0" borderId="0" xfId="78" applyFont="1" applyAlignment="1"/>
    <xf numFmtId="0" fontId="138" fillId="0" borderId="0" xfId="132" applyFont="1" applyAlignment="1">
      <alignment horizontal="center" vertical="center"/>
    </xf>
    <xf numFmtId="0" fontId="140" fillId="0" borderId="0" xfId="156" applyFont="1" applyAlignment="1">
      <alignment horizontal="center"/>
    </xf>
    <xf numFmtId="0" fontId="137" fillId="0" borderId="12" xfId="132" applyFont="1" applyBorder="1" applyAlignment="1">
      <alignment horizontal="center" vertical="center" wrapText="1"/>
    </xf>
    <xf numFmtId="0" fontId="137" fillId="0" borderId="0" xfId="132" applyFont="1" applyAlignment="1">
      <alignment horizontal="center" vertical="center" wrapText="1"/>
    </xf>
    <xf numFmtId="0" fontId="137" fillId="0" borderId="0" xfId="132" applyFont="1" applyAlignment="1">
      <alignment vertical="center" wrapText="1"/>
    </xf>
    <xf numFmtId="0" fontId="137" fillId="0" borderId="0" xfId="132" applyFont="1" applyAlignment="1">
      <alignment horizontal="center" wrapText="1"/>
    </xf>
    <xf numFmtId="0" fontId="139" fillId="20" borderId="0" xfId="132" applyFont="1" applyFill="1" applyAlignment="1">
      <alignment horizontal="center"/>
    </xf>
    <xf numFmtId="0" fontId="139" fillId="20" borderId="0" xfId="132" applyFont="1" applyFill="1"/>
    <xf numFmtId="176" fontId="139" fillId="20" borderId="0" xfId="133" applyNumberFormat="1" applyFont="1" applyFill="1" applyAlignment="1">
      <alignment vertical="center"/>
    </xf>
    <xf numFmtId="176" fontId="139" fillId="0" borderId="0" xfId="132" applyNumberFormat="1" applyFont="1"/>
    <xf numFmtId="176" fontId="138" fillId="0" borderId="0" xfId="132" applyNumberFormat="1" applyFont="1"/>
    <xf numFmtId="0" fontId="139" fillId="0" borderId="0" xfId="132" applyFont="1" applyAlignment="1">
      <alignment horizontal="center"/>
    </xf>
    <xf numFmtId="176" fontId="139" fillId="0" borderId="0" xfId="133" applyNumberFormat="1" applyFont="1" applyFill="1" applyAlignment="1">
      <alignment vertical="center"/>
    </xf>
    <xf numFmtId="0" fontId="141" fillId="0" borderId="0" xfId="132" applyFont="1"/>
    <xf numFmtId="0" fontId="138" fillId="0" borderId="0" xfId="78" applyFont="1" applyAlignment="1"/>
    <xf numFmtId="176" fontId="138" fillId="0" borderId="0" xfId="78" applyNumberFormat="1" applyFont="1" applyAlignment="1"/>
    <xf numFmtId="0" fontId="137" fillId="20" borderId="0" xfId="132" applyFont="1" applyFill="1"/>
    <xf numFmtId="0" fontId="137" fillId="0" borderId="0" xfId="132" applyFont="1"/>
    <xf numFmtId="176" fontId="139" fillId="0" borderId="11" xfId="133" applyNumberFormat="1" applyFont="1" applyFill="1" applyBorder="1" applyAlignment="1">
      <alignment vertical="center"/>
    </xf>
    <xf numFmtId="176" fontId="139" fillId="0" borderId="11" xfId="132" applyNumberFormat="1" applyFont="1" applyBorder="1"/>
    <xf numFmtId="176" fontId="137" fillId="0" borderId="0" xfId="133" applyNumberFormat="1" applyFont="1" applyFill="1" applyBorder="1"/>
    <xf numFmtId="176" fontId="139" fillId="0" borderId="0" xfId="133" applyNumberFormat="1" applyFont="1"/>
    <xf numFmtId="176" fontId="139" fillId="0" borderId="0" xfId="133" applyNumberFormat="1" applyFont="1" applyAlignment="1">
      <alignment horizontal="center"/>
    </xf>
    <xf numFmtId="176" fontId="139" fillId="20" borderId="0" xfId="133" applyNumberFormat="1" applyFont="1" applyFill="1"/>
    <xf numFmtId="176" fontId="139" fillId="20" borderId="0" xfId="133" applyNumberFormat="1" applyFont="1" applyFill="1" applyBorder="1" applyAlignment="1">
      <alignment vertical="center"/>
    </xf>
    <xf numFmtId="176" fontId="139" fillId="20" borderId="11" xfId="133" applyNumberFormat="1" applyFont="1" applyFill="1" applyBorder="1" applyAlignment="1">
      <alignment vertical="center"/>
    </xf>
    <xf numFmtId="176" fontId="137" fillId="0" borderId="0" xfId="132" applyNumberFormat="1" applyFont="1"/>
    <xf numFmtId="176" fontId="137" fillId="0" borderId="0" xfId="133" applyNumberFormat="1" applyFont="1" applyFill="1" applyBorder="1" applyAlignment="1">
      <alignment vertical="center"/>
    </xf>
    <xf numFmtId="176" fontId="137" fillId="0" borderId="0" xfId="133" applyNumberFormat="1" applyFont="1" applyFill="1"/>
    <xf numFmtId="176" fontId="139" fillId="0" borderId="0" xfId="133" applyNumberFormat="1" applyFont="1" applyFill="1"/>
    <xf numFmtId="0" fontId="138" fillId="0" borderId="0" xfId="132" applyFont="1" applyAlignment="1">
      <alignment horizontal="center"/>
    </xf>
    <xf numFmtId="0" fontId="138" fillId="0" borderId="0" xfId="132" applyFont="1" applyAlignment="1">
      <alignment horizontal="left"/>
    </xf>
    <xf numFmtId="176" fontId="138" fillId="0" borderId="0" xfId="133" applyNumberFormat="1" applyFont="1"/>
    <xf numFmtId="176" fontId="142" fillId="0" borderId="0" xfId="133" applyNumberFormat="1" applyFont="1" applyFill="1" applyBorder="1"/>
    <xf numFmtId="0" fontId="138" fillId="0" borderId="0" xfId="132" applyFont="1" applyAlignment="1">
      <alignment horizontal="center" vertical="top"/>
    </xf>
    <xf numFmtId="0" fontId="138" fillId="0" borderId="0" xfId="132" applyFont="1" applyAlignment="1">
      <alignment vertical="center"/>
    </xf>
    <xf numFmtId="0" fontId="138" fillId="0" borderId="0" xfId="132" applyFont="1" applyAlignment="1">
      <alignment vertical="top"/>
    </xf>
    <xf numFmtId="176" fontId="138" fillId="0" borderId="0" xfId="133" applyNumberFormat="1" applyFont="1" applyFill="1" applyAlignment="1">
      <alignment vertical="top"/>
    </xf>
    <xf numFmtId="176" fontId="138" fillId="0" borderId="0" xfId="133" applyNumberFormat="1" applyFont="1" applyAlignment="1">
      <alignment vertical="top"/>
    </xf>
    <xf numFmtId="176" fontId="142" fillId="0" borderId="0" xfId="133" applyNumberFormat="1" applyFont="1" applyFill="1" applyBorder="1" applyAlignment="1">
      <alignment vertical="top"/>
    </xf>
    <xf numFmtId="0" fontId="138" fillId="0" borderId="0" xfId="132" applyFont="1" applyAlignment="1">
      <alignment horizontal="right"/>
    </xf>
    <xf numFmtId="172" fontId="24" fillId="0" borderId="0" xfId="0" applyFont="1" applyFill="1" applyBorder="1" applyAlignment="1">
      <alignment horizontal="left"/>
    </xf>
    <xf numFmtId="3" fontId="24" fillId="0" borderId="0" xfId="0" applyNumberFormat="1" applyFont="1" applyFill="1" applyBorder="1" applyAlignment="1">
      <alignment horizontal="center"/>
    </xf>
    <xf numFmtId="172" fontId="24" fillId="0" borderId="0" xfId="0" applyFont="1" applyFill="1" applyBorder="1" applyAlignment="1">
      <alignment horizontal="left" wrapText="1"/>
    </xf>
    <xf numFmtId="0" fontId="46" fillId="0" borderId="0" xfId="158" applyFont="1" applyAlignment="1">
      <alignment horizontal="center"/>
    </xf>
    <xf numFmtId="0" fontId="47" fillId="0" borderId="11" xfId="157" applyNumberFormat="1" applyFont="1" applyBorder="1" applyAlignment="1">
      <alignment horizontal="center" wrapText="1"/>
    </xf>
    <xf numFmtId="0" fontId="47" fillId="0" borderId="11" xfId="158" applyFont="1" applyBorder="1" applyAlignment="1">
      <alignment horizontal="center" wrapText="1"/>
    </xf>
    <xf numFmtId="0" fontId="143" fillId="0" borderId="0" xfId="157" applyNumberFormat="1" applyFont="1" applyAlignment="1">
      <alignment horizontal="center" wrapText="1"/>
    </xf>
    <xf numFmtId="0" fontId="47" fillId="0" borderId="11" xfId="161" applyNumberFormat="1" applyFont="1" applyBorder="1"/>
    <xf numFmtId="49" fontId="47" fillId="0" borderId="11" xfId="157" applyNumberFormat="1" applyFont="1" applyBorder="1" applyAlignment="1">
      <alignment horizontal="left" wrapText="1"/>
    </xf>
    <xf numFmtId="0" fontId="47" fillId="0" borderId="11" xfId="161" applyNumberFormat="1" applyFont="1" applyBorder="1" applyAlignment="1">
      <alignment horizontal="center" wrapText="1"/>
    </xf>
    <xf numFmtId="49" fontId="47" fillId="0" borderId="11" xfId="157" applyNumberFormat="1" applyFont="1" applyBorder="1" applyAlignment="1">
      <alignment horizontal="center" wrapText="1"/>
    </xf>
    <xf numFmtId="0" fontId="47" fillId="0" borderId="0" xfId="156" applyFont="1" applyAlignment="1">
      <alignment horizontal="center"/>
    </xf>
    <xf numFmtId="0" fontId="46" fillId="0" borderId="0" xfId="158" applyFont="1" applyAlignment="1">
      <alignment horizontal="center" wrapText="1"/>
    </xf>
    <xf numFmtId="0" fontId="47" fillId="0" borderId="0" xfId="156" applyFont="1"/>
    <xf numFmtId="0" fontId="47" fillId="0" borderId="0" xfId="161" applyNumberFormat="1" applyFont="1"/>
    <xf numFmtId="176" fontId="47" fillId="0" borderId="0" xfId="157" applyNumberFormat="1" applyFont="1" applyAlignment="1">
      <alignment horizontal="center" wrapText="1"/>
    </xf>
    <xf numFmtId="176" fontId="46" fillId="20" borderId="0" xfId="157" applyNumberFormat="1" applyFont="1" applyFill="1" applyAlignment="1">
      <alignment horizontal="left"/>
    </xf>
    <xf numFmtId="176" fontId="46" fillId="0" borderId="0" xfId="157" applyNumberFormat="1" applyFont="1"/>
    <xf numFmtId="176" fontId="46" fillId="0" borderId="0" xfId="157" applyNumberFormat="1" applyFont="1" applyBorder="1"/>
    <xf numFmtId="176" fontId="46" fillId="0" borderId="32" xfId="157" applyNumberFormat="1" applyFont="1" applyBorder="1"/>
    <xf numFmtId="0" fontId="128" fillId="0" borderId="0" xfId="158" applyFont="1" applyAlignment="1">
      <alignment horizontal="left"/>
    </xf>
    <xf numFmtId="176" fontId="47" fillId="0" borderId="0" xfId="157" applyNumberFormat="1" applyFont="1" applyFill="1" applyAlignment="1">
      <alignment vertical="top"/>
    </xf>
    <xf numFmtId="0" fontId="46" fillId="0" borderId="0" xfId="158" applyFont="1" applyAlignment="1">
      <alignment wrapText="1"/>
    </xf>
    <xf numFmtId="0" fontId="123" fillId="0" borderId="0" xfId="158" applyFont="1"/>
    <xf numFmtId="0" fontId="118" fillId="0" borderId="0" xfId="0" applyNumberFormat="1" applyFont="1" applyFill="1"/>
    <xf numFmtId="0" fontId="118" fillId="0" borderId="0" xfId="0" applyNumberFormat="1" applyFont="1" applyFill="1" applyBorder="1"/>
    <xf numFmtId="172" fontId="118" fillId="0" borderId="0" xfId="0" applyFont="1" applyFill="1" applyAlignment="1"/>
    <xf numFmtId="0" fontId="121" fillId="0" borderId="0" xfId="0" applyNumberFormat="1" applyFont="1" applyBorder="1" applyAlignment="1">
      <alignment horizontal="center"/>
    </xf>
    <xf numFmtId="172" fontId="116" fillId="0" borderId="0" xfId="0" applyFont="1" applyFill="1" applyAlignment="1"/>
    <xf numFmtId="172" fontId="68" fillId="0" borderId="0" xfId="0" applyFont="1" applyAlignment="1">
      <alignment horizontal="center" vertical="center"/>
    </xf>
    <xf numFmtId="170" fontId="0" fillId="0" borderId="0" xfId="0" applyNumberFormat="1" applyBorder="1" applyAlignment="1"/>
    <xf numFmtId="172" fontId="0" fillId="0" borderId="11" xfId="0" applyFill="1" applyBorder="1" applyAlignment="1"/>
    <xf numFmtId="172" fontId="0" fillId="0" borderId="22" xfId="0" applyFill="1" applyBorder="1" applyAlignment="1"/>
    <xf numFmtId="0" fontId="119" fillId="0" borderId="0" xfId="135" applyFont="1" applyFill="1" applyAlignment="1">
      <alignment vertical="top" wrapText="1"/>
    </xf>
    <xf numFmtId="172" fontId="116" fillId="0" borderId="0" xfId="0" applyFont="1" applyFill="1" applyAlignment="1"/>
    <xf numFmtId="172" fontId="68" fillId="0" borderId="0" xfId="0" applyFont="1" applyAlignment="1">
      <alignment horizontal="center" vertical="center"/>
    </xf>
    <xf numFmtId="172" fontId="46" fillId="0" borderId="0" xfId="0" applyFont="1" applyFill="1" applyBorder="1" applyAlignment="1">
      <alignment horizontal="center" vertical="top"/>
    </xf>
    <xf numFmtId="49" fontId="135" fillId="20" borderId="0" xfId="0" applyNumberFormat="1" applyFont="1" applyFill="1"/>
    <xf numFmtId="3" fontId="116" fillId="0" borderId="0" xfId="0" applyNumberFormat="1" applyFont="1" applyFill="1" applyAlignment="1">
      <alignment horizontal="fill"/>
    </xf>
    <xf numFmtId="42" fontId="116" fillId="0" borderId="0" xfId="0" applyNumberFormat="1" applyFont="1" applyFill="1" applyBorder="1" applyAlignment="1">
      <alignment horizontal="right"/>
    </xf>
    <xf numFmtId="176" fontId="46" fillId="20" borderId="16" xfId="59" quotePrefix="1" applyNumberFormat="1" applyFont="1" applyFill="1" applyBorder="1" applyAlignment="1">
      <alignment horizontal="center"/>
    </xf>
    <xf numFmtId="176" fontId="46" fillId="20" borderId="0" xfId="59" applyNumberFormat="1" applyFont="1" applyFill="1" applyBorder="1" applyAlignment="1">
      <alignment horizontal="left" wrapText="1"/>
    </xf>
    <xf numFmtId="176" fontId="46" fillId="20" borderId="0" xfId="59" applyNumberFormat="1" applyFont="1" applyFill="1" applyBorder="1" applyAlignment="1">
      <alignment horizontal="left"/>
    </xf>
    <xf numFmtId="3" fontId="136" fillId="0" borderId="0" xfId="0" applyNumberFormat="1" applyFont="1" applyFill="1" applyBorder="1"/>
    <xf numFmtId="172" fontId="136" fillId="0" borderId="0" xfId="0" applyFont="1" applyFill="1" applyBorder="1" applyAlignment="1"/>
    <xf numFmtId="49" fontId="136" fillId="0" borderId="0" xfId="0" applyNumberFormat="1" applyFont="1" applyFill="1" applyBorder="1" applyAlignment="1">
      <alignment horizontal="center"/>
    </xf>
    <xf numFmtId="172" fontId="145" fillId="0" borderId="0" xfId="0" applyFont="1" applyFill="1" applyBorder="1" applyAlignment="1">
      <alignment horizontal="center"/>
    </xf>
    <xf numFmtId="3" fontId="136" fillId="0" borderId="0" xfId="0" applyNumberFormat="1" applyFont="1" applyFill="1" applyBorder="1" applyAlignment="1"/>
    <xf numFmtId="3" fontId="136" fillId="0" borderId="0" xfId="0" applyNumberFormat="1" applyFont="1" applyFill="1" applyBorder="1" applyAlignment="1">
      <alignment horizontal="center"/>
    </xf>
    <xf numFmtId="173" fontId="136" fillId="0" borderId="0" xfId="63" applyNumberFormat="1" applyFont="1" applyFill="1" applyBorder="1" applyAlignment="1"/>
    <xf numFmtId="177" fontId="136" fillId="0" borderId="0" xfId="0" applyNumberFormat="1" applyFont="1" applyFill="1" applyBorder="1" applyAlignment="1"/>
    <xf numFmtId="0" fontId="136" fillId="0" borderId="0" xfId="0" applyNumberFormat="1" applyFont="1" applyFill="1" applyBorder="1" applyAlignment="1"/>
    <xf numFmtId="164" fontId="136" fillId="0" borderId="0" xfId="0" applyNumberFormat="1" applyFont="1" applyFill="1" applyBorder="1" applyAlignment="1">
      <alignment horizontal="center"/>
    </xf>
    <xf numFmtId="177" fontId="136" fillId="0" borderId="0" xfId="85" applyNumberFormat="1" applyFont="1" applyFill="1" applyBorder="1" applyAlignment="1"/>
    <xf numFmtId="0" fontId="145" fillId="0" borderId="0" xfId="0" applyNumberFormat="1" applyFont="1" applyFill="1" applyBorder="1" applyAlignment="1"/>
    <xf numFmtId="3" fontId="145" fillId="0" borderId="0" xfId="0" applyNumberFormat="1" applyFont="1" applyFill="1" applyBorder="1" applyAlignment="1">
      <alignment horizontal="center"/>
    </xf>
    <xf numFmtId="3" fontId="145" fillId="0" borderId="0" xfId="0" applyNumberFormat="1" applyFont="1" applyFill="1" applyBorder="1" applyAlignment="1"/>
    <xf numFmtId="172" fontId="136" fillId="0" borderId="0" xfId="0" applyFont="1" applyFill="1" applyBorder="1" applyAlignment="1">
      <alignment horizontal="center"/>
    </xf>
    <xf numFmtId="49" fontId="145" fillId="0" borderId="0" xfId="0" applyNumberFormat="1" applyFont="1" applyFill="1" applyBorder="1" applyAlignment="1">
      <alignment horizontal="center"/>
    </xf>
    <xf numFmtId="177" fontId="145" fillId="0" borderId="0" xfId="85" applyNumberFormat="1" applyFont="1" applyFill="1" applyBorder="1" applyAlignment="1"/>
    <xf numFmtId="172" fontId="145" fillId="0" borderId="0" xfId="0" applyFont="1" applyFill="1" applyBorder="1" applyAlignment="1"/>
    <xf numFmtId="182" fontId="145" fillId="0" borderId="0" xfId="85" applyNumberFormat="1" applyFont="1" applyFill="1" applyBorder="1" applyAlignment="1"/>
    <xf numFmtId="0" fontId="17" fillId="0" borderId="10" xfId="0" applyNumberFormat="1" applyFont="1" applyFill="1" applyBorder="1" applyAlignment="1"/>
    <xf numFmtId="0" fontId="24" fillId="0" borderId="10" xfId="59" applyNumberFormat="1" applyFont="1" applyFill="1" applyBorder="1" applyAlignment="1"/>
    <xf numFmtId="0" fontId="24" fillId="20" borderId="10" xfId="59" applyNumberFormat="1" applyFont="1" applyFill="1" applyBorder="1" applyAlignment="1"/>
    <xf numFmtId="172" fontId="46" fillId="0" borderId="0" xfId="0" applyFont="1" applyFill="1"/>
    <xf numFmtId="0" fontId="47" fillId="20" borderId="11" xfId="157" applyNumberFormat="1" applyFont="1" applyFill="1" applyBorder="1" applyAlignment="1">
      <alignment horizontal="center" wrapText="1"/>
    </xf>
    <xf numFmtId="181" fontId="46" fillId="0" borderId="0" xfId="59" applyNumberFormat="1" applyFont="1" applyAlignment="1">
      <alignment horizontal="center"/>
    </xf>
    <xf numFmtId="0" fontId="128" fillId="0" borderId="0" xfId="158" applyFont="1" applyAlignment="1">
      <alignment horizontal="center" wrapText="1"/>
    </xf>
    <xf numFmtId="181" fontId="47" fillId="0" borderId="11" xfId="59" applyNumberFormat="1" applyFont="1" applyBorder="1" applyAlignment="1">
      <alignment horizontal="center" wrapText="1"/>
    </xf>
    <xf numFmtId="176" fontId="46" fillId="0" borderId="0" xfId="59" applyNumberFormat="1" applyFont="1"/>
    <xf numFmtId="0" fontId="46" fillId="20" borderId="0" xfId="162" applyFont="1" applyFill="1" applyAlignment="1">
      <alignment horizontal="left"/>
    </xf>
    <xf numFmtId="176" fontId="46" fillId="20" borderId="0" xfId="59" applyNumberFormat="1" applyFont="1" applyFill="1" applyAlignment="1">
      <alignment horizontal="left"/>
    </xf>
    <xf numFmtId="0" fontId="46" fillId="0" borderId="0" xfId="59" applyNumberFormat="1" applyFont="1" applyAlignment="1">
      <alignment horizontal="center"/>
    </xf>
    <xf numFmtId="43" fontId="46" fillId="20" borderId="0" xfId="59" applyNumberFormat="1" applyFont="1" applyFill="1" applyAlignment="1">
      <alignment horizontal="center"/>
    </xf>
    <xf numFmtId="0" fontId="47" fillId="0" borderId="0" xfId="158" applyFont="1" applyAlignment="1">
      <alignment horizontal="center"/>
    </xf>
    <xf numFmtId="0" fontId="47" fillId="0" borderId="0" xfId="158" applyFont="1"/>
    <xf numFmtId="176" fontId="47" fillId="0" borderId="0" xfId="157" applyNumberFormat="1" applyFont="1"/>
    <xf numFmtId="176" fontId="47" fillId="0" borderId="0" xfId="158" applyNumberFormat="1" applyFont="1" applyAlignment="1">
      <alignment horizontal="center"/>
    </xf>
    <xf numFmtId="181" fontId="47" fillId="0" borderId="0" xfId="59" applyNumberFormat="1" applyFont="1" applyAlignment="1">
      <alignment horizontal="center"/>
    </xf>
    <xf numFmtId="172" fontId="126" fillId="0" borderId="0" xfId="0" applyFont="1" applyAlignment="1"/>
    <xf numFmtId="172" fontId="0" fillId="20" borderId="0" xfId="0" applyFill="1" applyAlignment="1"/>
    <xf numFmtId="172" fontId="146" fillId="0" borderId="0" xfId="0" applyFont="1" applyAlignment="1"/>
    <xf numFmtId="0" fontId="46" fillId="0" borderId="0" xfId="158" applyFont="1" applyFill="1"/>
    <xf numFmtId="172" fontId="135" fillId="0" borderId="0" xfId="0" applyFont="1" applyAlignment="1">
      <alignment horizontal="right" vertical="center"/>
    </xf>
    <xf numFmtId="0" fontId="135" fillId="0" borderId="0" xfId="0" applyNumberFormat="1" applyFont="1" applyFill="1" applyAlignment="1">
      <alignment horizontal="right"/>
    </xf>
    <xf numFmtId="172" fontId="68" fillId="0" borderId="0" xfId="0" applyFont="1" applyAlignment="1">
      <alignment horizontal="center" vertical="center"/>
    </xf>
    <xf numFmtId="172" fontId="116" fillId="0" borderId="0" xfId="0" applyFont="1" applyFill="1" applyAlignment="1"/>
    <xf numFmtId="172" fontId="68" fillId="0" borderId="0" xfId="0" applyFont="1" applyAlignment="1">
      <alignment horizontal="center" vertical="center"/>
    </xf>
    <xf numFmtId="172" fontId="70" fillId="0" borderId="0" xfId="0" applyFont="1" applyAlignment="1">
      <alignment horizontal="center" vertical="center"/>
    </xf>
    <xf numFmtId="173" fontId="116" fillId="0" borderId="0" xfId="63" applyNumberFormat="1" applyFont="1" applyFill="1" applyBorder="1"/>
    <xf numFmtId="0" fontId="46" fillId="0" borderId="6" xfId="0" applyNumberFormat="1" applyFont="1" applyFill="1" applyBorder="1"/>
    <xf numFmtId="49" fontId="79" fillId="20" borderId="0" xfId="129" applyNumberFormat="1" applyFont="1" applyFill="1" applyAlignment="1">
      <alignment horizontal="center"/>
    </xf>
    <xf numFmtId="0" fontId="69" fillId="20" borderId="0" xfId="0" applyNumberFormat="1" applyFont="1" applyFill="1" applyAlignment="1">
      <alignment horizontal="center" vertical="center"/>
    </xf>
    <xf numFmtId="172" fontId="68" fillId="0" borderId="0" xfId="0" applyFont="1" applyAlignment="1">
      <alignment vertical="center" wrapText="1"/>
    </xf>
    <xf numFmtId="3" fontId="68" fillId="0" borderId="0" xfId="0" applyNumberFormat="1" applyFont="1" applyAlignment="1">
      <alignment horizontal="center" vertical="center"/>
    </xf>
    <xf numFmtId="3" fontId="68" fillId="0" borderId="0" xfId="0" applyNumberFormat="1" applyFont="1" applyAlignment="1">
      <alignment vertical="center"/>
    </xf>
    <xf numFmtId="0" fontId="71" fillId="0" borderId="0" xfId="0" applyNumberFormat="1" applyFont="1" applyAlignment="1">
      <alignment horizontal="center" vertical="center"/>
    </xf>
    <xf numFmtId="172" fontId="75" fillId="21" borderId="32" xfId="0" applyFont="1" applyFill="1" applyBorder="1" applyAlignment="1">
      <alignment vertical="center"/>
    </xf>
    <xf numFmtId="172" fontId="75" fillId="21" borderId="32" xfId="0" applyFont="1" applyFill="1" applyBorder="1" applyAlignment="1">
      <alignment horizontal="center" vertical="center"/>
    </xf>
    <xf numFmtId="172" fontId="75" fillId="0" borderId="0" xfId="0" applyFont="1" applyAlignment="1">
      <alignment horizontal="center" vertical="center"/>
    </xf>
    <xf numFmtId="172" fontId="75" fillId="0" borderId="0" xfId="0" applyFont="1" applyAlignment="1">
      <alignment vertical="center"/>
    </xf>
    <xf numFmtId="165" fontId="46" fillId="0" borderId="0" xfId="0" applyNumberFormat="1" applyFont="1" applyFill="1" applyAlignment="1"/>
    <xf numFmtId="176" fontId="46" fillId="0" borderId="0" xfId="157" applyNumberFormat="1" applyFont="1" applyBorder="1" applyAlignment="1">
      <alignment horizontal="center"/>
    </xf>
    <xf numFmtId="181" fontId="46" fillId="0" borderId="0" xfId="59" applyNumberFormat="1" applyFont="1" applyBorder="1" applyAlignment="1">
      <alignment horizontal="center"/>
    </xf>
    <xf numFmtId="0" fontId="46" fillId="0" borderId="0" xfId="158" applyFont="1" applyBorder="1" applyAlignment="1">
      <alignment horizontal="center"/>
    </xf>
    <xf numFmtId="181" fontId="47" fillId="0" borderId="0" xfId="59" applyNumberFormat="1" applyFont="1" applyBorder="1" applyAlignment="1">
      <alignment horizontal="center" wrapText="1"/>
    </xf>
    <xf numFmtId="49" fontId="47" fillId="0" borderId="0" xfId="157" applyNumberFormat="1" applyFont="1" applyBorder="1" applyAlignment="1">
      <alignment horizontal="center" wrapText="1"/>
    </xf>
    <xf numFmtId="0" fontId="46" fillId="0" borderId="0" xfId="59" applyNumberFormat="1" applyFont="1" applyBorder="1" applyAlignment="1">
      <alignment horizontal="center"/>
    </xf>
    <xf numFmtId="1" fontId="46" fillId="20" borderId="0" xfId="59" applyNumberFormat="1" applyFont="1" applyFill="1" applyAlignment="1">
      <alignment horizontal="center"/>
    </xf>
    <xf numFmtId="188" fontId="46" fillId="20" borderId="0" xfId="59" applyNumberFormat="1" applyFont="1" applyFill="1" applyAlignment="1">
      <alignment horizontal="center"/>
    </xf>
    <xf numFmtId="0" fontId="47" fillId="0" borderId="0" xfId="158" applyFont="1" applyFill="1" applyAlignment="1">
      <alignment horizontal="center"/>
    </xf>
    <xf numFmtId="0" fontId="47" fillId="0" borderId="0" xfId="158" applyFont="1" applyFill="1"/>
    <xf numFmtId="176" fontId="47" fillId="0" borderId="0" xfId="157" applyNumberFormat="1" applyFont="1" applyFill="1"/>
    <xf numFmtId="176" fontId="47" fillId="0" borderId="0" xfId="158" applyNumberFormat="1" applyFont="1" applyFill="1" applyAlignment="1">
      <alignment horizontal="center"/>
    </xf>
    <xf numFmtId="181" fontId="47" fillId="0" borderId="0" xfId="59" applyNumberFormat="1" applyFont="1" applyFill="1" applyAlignment="1">
      <alignment horizontal="center"/>
    </xf>
    <xf numFmtId="172" fontId="126" fillId="0" borderId="0" xfId="0" applyFont="1" applyFill="1" applyAlignment="1"/>
    <xf numFmtId="176" fontId="47" fillId="0" borderId="27" xfId="157" applyNumberFormat="1" applyFont="1" applyFill="1" applyBorder="1"/>
    <xf numFmtId="176" fontId="47" fillId="0" borderId="27" xfId="158" applyNumberFormat="1" applyFont="1" applyFill="1" applyBorder="1" applyAlignment="1">
      <alignment horizontal="center"/>
    </xf>
    <xf numFmtId="0" fontId="46" fillId="0" borderId="0" xfId="157" applyNumberFormat="1" applyFont="1"/>
    <xf numFmtId="176" fontId="47" fillId="0" borderId="27" xfId="158" applyNumberFormat="1" applyFont="1" applyBorder="1" applyAlignment="1">
      <alignment horizontal="center"/>
    </xf>
    <xf numFmtId="9" fontId="116" fillId="0" borderId="0" xfId="59" applyNumberFormat="1" applyFont="1" applyFill="1" applyAlignment="1">
      <alignment horizontal="right"/>
    </xf>
    <xf numFmtId="0" fontId="116" fillId="0" borderId="0" xfId="59" applyNumberFormat="1" applyFont="1" applyFill="1" applyAlignment="1">
      <alignment horizontal="right"/>
    </xf>
    <xf numFmtId="172" fontId="0" fillId="0" borderId="0" xfId="0" applyAlignment="1">
      <alignment horizontal="center"/>
    </xf>
    <xf numFmtId="172" fontId="49" fillId="0" borderId="0" xfId="0" applyFont="1"/>
    <xf numFmtId="172" fontId="49" fillId="0" borderId="0" xfId="0" applyFont="1" applyAlignment="1"/>
    <xf numFmtId="172" fontId="49" fillId="0" borderId="0" xfId="0" applyFont="1" applyFill="1"/>
    <xf numFmtId="172" fontId="70" fillId="0" borderId="0" xfId="0" quotePrefix="1" applyFont="1" applyFill="1" applyAlignment="1">
      <alignment horizontal="center" vertical="center"/>
    </xf>
    <xf numFmtId="14" fontId="19" fillId="0" borderId="31" xfId="137" applyNumberFormat="1" applyFont="1" applyFill="1" applyBorder="1"/>
    <xf numFmtId="172" fontId="24" fillId="0" borderId="0" xfId="0" applyFont="1" applyFill="1" applyBorder="1" applyAlignment="1">
      <alignment horizontal="center" vertical="center"/>
    </xf>
    <xf numFmtId="172" fontId="0" fillId="0" borderId="0" xfId="0" quotePrefix="1" applyFill="1" applyAlignment="1"/>
    <xf numFmtId="172" fontId="46" fillId="0" borderId="0" xfId="0" applyFont="1" applyFill="1" applyAlignment="1">
      <alignment horizontal="right"/>
    </xf>
    <xf numFmtId="0" fontId="0" fillId="0" borderId="0" xfId="0" applyNumberFormat="1" applyAlignment="1"/>
    <xf numFmtId="0" fontId="47" fillId="0" borderId="11" xfId="157" applyNumberFormat="1" applyFont="1" applyFill="1" applyBorder="1" applyAlignment="1">
      <alignment horizontal="center" wrapText="1"/>
    </xf>
    <xf numFmtId="172" fontId="147" fillId="0" borderId="0" xfId="0" applyFont="1" applyFill="1" applyAlignment="1">
      <alignment vertical="center" wrapText="1"/>
    </xf>
    <xf numFmtId="176" fontId="46" fillId="0" borderId="0" xfId="157" applyNumberFormat="1" applyFont="1" applyAlignment="1"/>
    <xf numFmtId="172" fontId="116" fillId="0" borderId="0" xfId="0" applyFont="1" applyFill="1" applyAlignment="1"/>
    <xf numFmtId="10" fontId="79" fillId="0" borderId="0" xfId="129" applyNumberFormat="1" applyFont="1" applyFill="1"/>
    <xf numFmtId="172" fontId="0" fillId="0" borderId="0" xfId="0" applyAlignment="1"/>
    <xf numFmtId="172" fontId="68" fillId="0" borderId="0" xfId="0" applyFont="1" applyAlignment="1">
      <alignment horizontal="center" vertical="center"/>
    </xf>
    <xf numFmtId="0" fontId="121" fillId="0" borderId="0" xfId="0" applyNumberFormat="1" applyFont="1" applyFill="1" applyBorder="1" applyAlignment="1">
      <alignment horizontal="center"/>
    </xf>
    <xf numFmtId="49" fontId="69" fillId="0" borderId="0" xfId="0" applyNumberFormat="1" applyFont="1" applyFill="1" applyAlignment="1">
      <alignment horizontal="center" vertical="center"/>
    </xf>
    <xf numFmtId="172" fontId="69" fillId="0" borderId="0" xfId="0" applyFont="1" applyFill="1" applyAlignment="1">
      <alignment horizontal="left" vertical="center"/>
    </xf>
    <xf numFmtId="176" fontId="69" fillId="0" borderId="0" xfId="59" applyNumberFormat="1" applyFont="1" applyFill="1" applyBorder="1" applyAlignment="1">
      <alignment horizontal="center" vertical="center"/>
    </xf>
    <xf numFmtId="43" fontId="68" fillId="0" borderId="0" xfId="59" applyFont="1" applyFill="1" applyAlignment="1">
      <alignment horizontal="center" vertical="center"/>
    </xf>
    <xf numFmtId="172" fontId="70" fillId="0" borderId="0" xfId="0" applyFont="1" applyAlignment="1">
      <alignment horizontal="center" vertical="center" wrapText="1"/>
    </xf>
    <xf numFmtId="172" fontId="69" fillId="0" borderId="0" xfId="0" applyFont="1" applyAlignment="1">
      <alignment vertical="center" wrapText="1"/>
    </xf>
    <xf numFmtId="172" fontId="70" fillId="0" borderId="0" xfId="0" applyFont="1" applyAlignment="1">
      <alignment vertical="center" wrapText="1"/>
    </xf>
    <xf numFmtId="0" fontId="69" fillId="20" borderId="0" xfId="0" applyNumberFormat="1" applyFont="1" applyFill="1" applyAlignment="1">
      <alignment vertical="center" wrapText="1"/>
    </xf>
    <xf numFmtId="0" fontId="71" fillId="0" borderId="0" xfId="0" applyNumberFormat="1" applyFont="1" applyFill="1" applyAlignment="1">
      <alignment horizontal="right" vertical="center" wrapText="1"/>
    </xf>
    <xf numFmtId="172" fontId="71" fillId="0" borderId="0" xfId="0" applyFont="1" applyAlignment="1">
      <alignment horizontal="right" vertical="center" wrapText="1"/>
    </xf>
    <xf numFmtId="172" fontId="70" fillId="0" borderId="0" xfId="0" applyFont="1" applyFill="1" applyAlignment="1">
      <alignment vertical="center" wrapText="1"/>
    </xf>
    <xf numFmtId="172" fontId="69" fillId="20" borderId="0" xfId="0" applyFont="1" applyFill="1" applyAlignment="1">
      <alignment vertical="center" wrapText="1"/>
    </xf>
    <xf numFmtId="172" fontId="46" fillId="0" borderId="6" xfId="0" applyFont="1" applyBorder="1" applyAlignment="1"/>
    <xf numFmtId="172" fontId="116" fillId="0" borderId="0" xfId="0" applyFont="1" applyFill="1" applyAlignment="1"/>
    <xf numFmtId="0" fontId="46" fillId="0" borderId="0" xfId="0" applyNumberFormat="1" applyFont="1" applyFill="1" applyAlignment="1">
      <alignment horizontal="left"/>
    </xf>
    <xf numFmtId="0" fontId="46" fillId="0" borderId="0" xfId="0" applyNumberFormat="1" applyFont="1" applyFill="1" applyAlignment="1">
      <alignment horizontal="center"/>
    </xf>
    <xf numFmtId="189" fontId="116" fillId="0" borderId="0" xfId="59" applyNumberFormat="1" applyFont="1" applyFill="1" applyAlignment="1"/>
    <xf numFmtId="172" fontId="24" fillId="0" borderId="0" xfId="0" applyFont="1"/>
    <xf numFmtId="183" fontId="17" fillId="0" borderId="0" xfId="0" quotePrefix="1" applyNumberFormat="1" applyFont="1" applyFill="1" applyBorder="1" applyAlignment="1">
      <alignment horizontal="right"/>
    </xf>
    <xf numFmtId="0" fontId="46" fillId="0" borderId="0" xfId="0" applyNumberFormat="1" applyFont="1" applyFill="1" applyBorder="1" applyAlignment="1"/>
    <xf numFmtId="43" fontId="116" fillId="0" borderId="0" xfId="59" applyFont="1" applyFill="1" applyBorder="1" applyAlignment="1">
      <alignment horizontal="left"/>
    </xf>
    <xf numFmtId="172" fontId="46" fillId="0" borderId="0" xfId="0" applyFont="1" applyFill="1" applyBorder="1" applyAlignment="1">
      <alignment horizontal="center" vertical="center"/>
    </xf>
    <xf numFmtId="172" fontId="116" fillId="0" borderId="0" xfId="0" applyFont="1" applyFill="1" applyAlignment="1">
      <alignment vertical="center" wrapText="1"/>
    </xf>
    <xf numFmtId="172" fontId="116" fillId="0" borderId="0" xfId="0" applyFont="1" applyFill="1" applyAlignment="1">
      <alignment vertical="center"/>
    </xf>
    <xf numFmtId="164" fontId="46" fillId="0" borderId="0" xfId="0" applyNumberFormat="1" applyFont="1" applyFill="1" applyAlignment="1">
      <alignment horizontal="left" wrapText="1"/>
    </xf>
    <xf numFmtId="174" fontId="46" fillId="0" borderId="0" xfId="0" applyNumberFormat="1" applyFont="1" applyFill="1" applyAlignment="1"/>
    <xf numFmtId="179" fontId="116" fillId="0" borderId="0" xfId="0" applyNumberFormat="1" applyFont="1" applyFill="1" applyAlignment="1"/>
    <xf numFmtId="10" fontId="116" fillId="0" borderId="0" xfId="59" applyNumberFormat="1" applyFont="1" applyFill="1" applyAlignment="1">
      <alignment horizontal="right"/>
    </xf>
    <xf numFmtId="0" fontId="46" fillId="0" borderId="0" xfId="0" applyNumberFormat="1" applyFont="1" applyFill="1" applyAlignment="1">
      <alignment horizontal="left" indent="1"/>
    </xf>
    <xf numFmtId="0" fontId="24" fillId="0" borderId="17" xfId="137" applyFont="1" applyFill="1" applyBorder="1"/>
    <xf numFmtId="164" fontId="17" fillId="0" borderId="11" xfId="137" applyNumberFormat="1" applyFont="1" applyFill="1" applyBorder="1"/>
    <xf numFmtId="44" fontId="24" fillId="0" borderId="11" xfId="137" applyNumberFormat="1" applyFont="1" applyFill="1" applyBorder="1"/>
    <xf numFmtId="44" fontId="24" fillId="0" borderId="22" xfId="137" applyNumberFormat="1" applyFont="1" applyFill="1" applyBorder="1"/>
    <xf numFmtId="0" fontId="24" fillId="0" borderId="0" xfId="137" applyFont="1" applyFill="1"/>
    <xf numFmtId="176" fontId="47" fillId="0" borderId="41" xfId="59" applyNumberFormat="1" applyFont="1" applyFill="1" applyBorder="1" applyAlignment="1">
      <alignment horizontal="center"/>
    </xf>
    <xf numFmtId="176" fontId="47" fillId="0" borderId="16" xfId="59" applyNumberFormat="1" applyFont="1" applyFill="1" applyBorder="1" applyAlignment="1"/>
    <xf numFmtId="0" fontId="47" fillId="0" borderId="11" xfId="0" applyNumberFormat="1" applyFont="1" applyFill="1" applyBorder="1" applyAlignment="1">
      <alignment horizontal="center"/>
    </xf>
    <xf numFmtId="172" fontId="46" fillId="0" borderId="0" xfId="0" quotePrefix="1" applyFont="1" applyFill="1"/>
    <xf numFmtId="0" fontId="135" fillId="0" borderId="0" xfId="159" applyFont="1" applyFill="1"/>
    <xf numFmtId="0" fontId="0" fillId="0" borderId="0" xfId="0" applyNumberFormat="1" applyFill="1"/>
    <xf numFmtId="169" fontId="24" fillId="0" borderId="0" xfId="133" applyNumberFormat="1" applyFont="1" applyFill="1" applyBorder="1" applyAlignment="1"/>
    <xf numFmtId="43" fontId="24" fillId="0" borderId="0" xfId="132" applyNumberFormat="1" applyFont="1" applyFill="1"/>
    <xf numFmtId="172" fontId="0" fillId="0" borderId="14" xfId="0" applyFill="1" applyBorder="1" applyAlignment="1">
      <alignment horizontal="center"/>
    </xf>
    <xf numFmtId="172" fontId="0" fillId="0" borderId="23" xfId="0" applyFill="1" applyBorder="1" applyAlignment="1">
      <alignment horizontal="center"/>
    </xf>
    <xf numFmtId="170" fontId="0" fillId="0" borderId="0" xfId="0" applyNumberFormat="1" applyFill="1" applyBorder="1" applyAlignment="1"/>
    <xf numFmtId="0" fontId="0" fillId="0" borderId="0" xfId="0" applyNumberFormat="1" applyFill="1" applyBorder="1" applyAlignment="1"/>
    <xf numFmtId="0" fontId="24" fillId="0" borderId="12" xfId="0" applyNumberFormat="1" applyFont="1" applyFill="1" applyBorder="1" applyAlignment="1">
      <alignment horizontal="center" vertical="center" wrapText="1"/>
    </xf>
    <xf numFmtId="0" fontId="76" fillId="0" borderId="0" xfId="0" applyNumberFormat="1" applyFont="1" applyFill="1" applyAlignment="1" applyProtection="1">
      <alignment horizontal="center"/>
      <protection locked="0"/>
    </xf>
    <xf numFmtId="164" fontId="116" fillId="0" borderId="0" xfId="0" applyNumberFormat="1" applyFont="1" applyFill="1" applyAlignment="1">
      <alignment horizontal="right"/>
    </xf>
    <xf numFmtId="42" fontId="116" fillId="0" borderId="0" xfId="0" applyNumberFormat="1" applyFont="1" applyBorder="1" applyAlignment="1">
      <alignment horizontal="center"/>
    </xf>
    <xf numFmtId="176" fontId="116" fillId="0" borderId="32" xfId="63" applyNumberFormat="1" applyFont="1" applyFill="1" applyBorder="1" applyAlignment="1">
      <alignment horizontal="center"/>
    </xf>
    <xf numFmtId="176" fontId="116" fillId="0" borderId="32" xfId="63" applyNumberFormat="1" applyFont="1" applyFill="1" applyBorder="1"/>
    <xf numFmtId="176" fontId="46" fillId="0" borderId="0" xfId="59" applyNumberFormat="1" applyFont="1" applyFill="1"/>
    <xf numFmtId="172" fontId="148" fillId="0" borderId="0" xfId="0" applyFont="1" applyAlignment="1"/>
    <xf numFmtId="176" fontId="148" fillId="0" borderId="0" xfId="157" applyNumberFormat="1" applyFont="1"/>
    <xf numFmtId="0" fontId="148" fillId="0" borderId="0" xfId="158" applyFont="1"/>
    <xf numFmtId="0" fontId="46" fillId="0" borderId="6" xfId="0" applyNumberFormat="1" applyFont="1" applyBorder="1" applyAlignment="1">
      <alignment horizontal="centerContinuous"/>
    </xf>
    <xf numFmtId="172" fontId="116" fillId="0" borderId="0" xfId="0" applyFont="1" applyFill="1" applyAlignment="1"/>
    <xf numFmtId="3" fontId="46" fillId="0" borderId="0" xfId="0" applyNumberFormat="1" applyFont="1" applyFill="1" applyAlignment="1">
      <alignment horizontal="center"/>
    </xf>
    <xf numFmtId="172" fontId="46" fillId="0" borderId="0" xfId="0" applyFont="1" applyFill="1" applyAlignment="1">
      <alignment horizontal="center"/>
    </xf>
    <xf numFmtId="9" fontId="116" fillId="20" borderId="0" xfId="85" applyFont="1" applyFill="1" applyAlignment="1"/>
    <xf numFmtId="172" fontId="0" fillId="0" borderId="0" xfId="0" applyAlignment="1"/>
    <xf numFmtId="0" fontId="46" fillId="0" borderId="0" xfId="0" applyNumberFormat="1" applyFont="1" applyFill="1" applyAlignment="1">
      <alignment horizontal="center"/>
    </xf>
    <xf numFmtId="172" fontId="0" fillId="0" borderId="0" xfId="0" applyFill="1" applyAlignment="1">
      <alignment horizontal="right"/>
    </xf>
    <xf numFmtId="172" fontId="0" fillId="0" borderId="0" xfId="0" applyAlignment="1">
      <alignment horizontal="right"/>
    </xf>
    <xf numFmtId="49" fontId="68" fillId="0" borderId="0" xfId="0" applyNumberFormat="1" applyFont="1" applyFill="1" applyAlignment="1">
      <alignment horizontal="center" vertical="center"/>
    </xf>
    <xf numFmtId="0" fontId="24" fillId="0" borderId="0" xfId="132" applyNumberFormat="1" applyFont="1" applyFill="1" applyBorder="1" applyAlignment="1">
      <alignment horizontal="left"/>
    </xf>
    <xf numFmtId="3" fontId="24" fillId="0" borderId="11" xfId="132" applyNumberFormat="1" applyFont="1" applyFill="1" applyBorder="1" applyAlignment="1">
      <alignment horizontal="left"/>
    </xf>
    <xf numFmtId="10" fontId="17" fillId="0" borderId="0" xfId="85" applyNumberFormat="1" applyFont="1" applyFill="1" applyAlignment="1">
      <alignment vertical="top" wrapText="1"/>
    </xf>
    <xf numFmtId="0" fontId="85" fillId="0" borderId="0" xfId="129" applyFont="1" applyFill="1" applyAlignment="1">
      <alignment vertical="top" wrapText="1"/>
    </xf>
    <xf numFmtId="10" fontId="79" fillId="0" borderId="0" xfId="85" applyNumberFormat="1" applyFont="1" applyFill="1" applyAlignment="1">
      <alignment horizontal="center"/>
    </xf>
    <xf numFmtId="10" fontId="79" fillId="0" borderId="0" xfId="85" applyNumberFormat="1" applyFont="1" applyFill="1" applyAlignment="1">
      <alignment horizontal="center" vertical="top"/>
    </xf>
    <xf numFmtId="10" fontId="110" fillId="0" borderId="0" xfId="85" applyNumberFormat="1" applyFont="1" applyAlignment="1">
      <alignment horizontal="center" wrapText="1"/>
    </xf>
    <xf numFmtId="10" fontId="79" fillId="0" borderId="0" xfId="85" applyNumberFormat="1" applyFont="1" applyAlignment="1">
      <alignment horizontal="center"/>
    </xf>
    <xf numFmtId="0" fontId="79" fillId="0" borderId="0" xfId="129" quotePrefix="1" applyFont="1" applyAlignment="1">
      <alignment horizontal="right"/>
    </xf>
    <xf numFmtId="0" fontId="19" fillId="0" borderId="0" xfId="132" applyNumberFormat="1" applyFont="1" applyFill="1" applyAlignment="1">
      <alignment horizontal="left"/>
    </xf>
    <xf numFmtId="0" fontId="1" fillId="0" borderId="11" xfId="148" applyFont="1" applyBorder="1" applyAlignment="1">
      <alignment horizontal="center" wrapText="1"/>
    </xf>
    <xf numFmtId="176" fontId="24" fillId="0" borderId="0" xfId="133" applyNumberFormat="1" applyFont="1" applyFill="1" applyAlignment="1"/>
    <xf numFmtId="49" fontId="94" fillId="0" borderId="0" xfId="80" applyNumberFormat="1" applyFont="1" applyFill="1" applyBorder="1"/>
    <xf numFmtId="164" fontId="24" fillId="20" borderId="0" xfId="85" applyNumberFormat="1" applyFont="1" applyFill="1" applyBorder="1"/>
    <xf numFmtId="164" fontId="24" fillId="20" borderId="0" xfId="85" applyNumberFormat="1" applyFont="1" applyFill="1" applyBorder="1" applyAlignment="1"/>
    <xf numFmtId="0" fontId="46" fillId="0" borderId="0" xfId="0" applyNumberFormat="1" applyFont="1" applyFill="1" applyBorder="1" applyAlignment="1">
      <alignment horizontal="left" vertical="center" wrapText="1"/>
    </xf>
    <xf numFmtId="0" fontId="116" fillId="0" borderId="0" xfId="0" applyNumberFormat="1" applyFont="1" applyFill="1" applyBorder="1" applyAlignment="1">
      <alignment horizontal="left" vertical="center" wrapText="1"/>
    </xf>
    <xf numFmtId="172" fontId="116" fillId="0" borderId="0" xfId="0" applyFont="1" applyFill="1" applyAlignment="1"/>
    <xf numFmtId="0" fontId="116" fillId="0" borderId="0" xfId="0" applyNumberFormat="1" applyFont="1" applyFill="1" applyAlignment="1">
      <alignment vertical="top" wrapText="1"/>
    </xf>
    <xf numFmtId="0" fontId="46" fillId="0" borderId="0" xfId="0" applyNumberFormat="1" applyFont="1" applyFill="1" applyAlignment="1">
      <alignment vertical="top" wrapText="1"/>
    </xf>
    <xf numFmtId="172" fontId="116" fillId="0" borderId="0" xfId="0" applyFont="1" applyFill="1" applyAlignment="1">
      <alignment horizontal="left" vertical="top" wrapText="1"/>
    </xf>
    <xf numFmtId="0" fontId="46" fillId="0" borderId="0" xfId="0" applyNumberFormat="1" applyFont="1" applyFill="1" applyBorder="1" applyAlignment="1">
      <alignment horizontal="left" vertical="top" wrapText="1"/>
    </xf>
    <xf numFmtId="0" fontId="116" fillId="0" borderId="0" xfId="0" applyNumberFormat="1" applyFont="1" applyFill="1" applyBorder="1" applyAlignment="1">
      <alignment horizontal="left" vertical="top" wrapText="1"/>
    </xf>
    <xf numFmtId="172" fontId="116" fillId="0" borderId="0" xfId="0" applyFont="1" applyFill="1" applyAlignment="1">
      <alignment vertical="top" wrapText="1"/>
    </xf>
    <xf numFmtId="0" fontId="121" fillId="0" borderId="0" xfId="0" applyNumberFormat="1" applyFont="1" applyFill="1" applyBorder="1" applyAlignment="1">
      <alignment horizontal="center"/>
    </xf>
    <xf numFmtId="0" fontId="116" fillId="0" borderId="0" xfId="0" applyNumberFormat="1" applyFont="1" applyFill="1" applyBorder="1" applyAlignment="1">
      <alignment horizontal="left"/>
    </xf>
    <xf numFmtId="0" fontId="46" fillId="0" borderId="0" xfId="0" applyNumberFormat="1" applyFont="1" applyAlignment="1">
      <alignment vertical="top" wrapText="1"/>
    </xf>
    <xf numFmtId="0" fontId="116" fillId="0" borderId="0" xfId="0" applyNumberFormat="1" applyFont="1" applyFill="1" applyBorder="1" applyAlignment="1">
      <alignment horizontal="left" wrapText="1"/>
    </xf>
    <xf numFmtId="0" fontId="46" fillId="0" borderId="0" xfId="0" applyNumberFormat="1" applyFont="1" applyFill="1" applyBorder="1" applyAlignment="1">
      <alignment horizontal="left" wrapText="1"/>
    </xf>
    <xf numFmtId="0" fontId="46" fillId="0" borderId="0" xfId="82" applyFont="1" applyFill="1" applyAlignment="1">
      <alignment horizontal="left" wrapText="1"/>
    </xf>
    <xf numFmtId="0" fontId="46" fillId="0" borderId="0" xfId="82" applyFont="1" applyFill="1" applyAlignment="1">
      <alignment horizontal="left"/>
    </xf>
    <xf numFmtId="0" fontId="46" fillId="0" borderId="0" xfId="82" applyFont="1" applyAlignment="1">
      <alignment horizontal="left" wrapText="1"/>
    </xf>
    <xf numFmtId="0" fontId="47" fillId="0" borderId="0" xfId="82" applyFont="1" applyAlignment="1">
      <alignment horizontal="center"/>
    </xf>
    <xf numFmtId="49" fontId="16" fillId="0" borderId="0" xfId="132" applyNumberFormat="1" applyFont="1" applyAlignment="1">
      <alignment horizontal="center"/>
    </xf>
    <xf numFmtId="0" fontId="16" fillId="0" borderId="0" xfId="132" applyFont="1" applyAlignment="1">
      <alignment horizontal="center"/>
    </xf>
    <xf numFmtId="0" fontId="87" fillId="0" borderId="0" xfId="132" applyFont="1" applyAlignment="1">
      <alignment horizontal="center"/>
    </xf>
    <xf numFmtId="0" fontId="24" fillId="0" borderId="0" xfId="132" applyFont="1" applyFill="1" applyAlignment="1">
      <alignment horizontal="left" vertical="center" wrapText="1"/>
    </xf>
    <xf numFmtId="0" fontId="46" fillId="0" borderId="0" xfId="0" applyNumberFormat="1" applyFont="1" applyFill="1" applyAlignment="1">
      <alignment horizontal="right"/>
    </xf>
    <xf numFmtId="0" fontId="46" fillId="0" borderId="0" xfId="0" applyNumberFormat="1" applyFont="1" applyFill="1" applyAlignment="1">
      <alignment horizontal="center"/>
    </xf>
    <xf numFmtId="0" fontId="24" fillId="0" borderId="0" xfId="132" applyNumberFormat="1" applyFont="1" applyFill="1" applyAlignment="1">
      <alignment horizontal="left" wrapText="1"/>
    </xf>
    <xf numFmtId="0" fontId="46" fillId="0" borderId="0" xfId="0" applyNumberFormat="1" applyFont="1" applyAlignment="1">
      <alignment horizontal="right"/>
    </xf>
    <xf numFmtId="172" fontId="47" fillId="0" borderId="0" xfId="0" applyFont="1" applyFill="1" applyBorder="1" applyAlignment="1">
      <alignment horizontal="center"/>
    </xf>
    <xf numFmtId="3" fontId="46" fillId="0" borderId="0" xfId="0" applyNumberFormat="1" applyFont="1" applyFill="1" applyBorder="1" applyAlignment="1" applyProtection="1">
      <alignment horizontal="center"/>
      <protection locked="0"/>
    </xf>
    <xf numFmtId="172" fontId="46" fillId="0" borderId="0" xfId="0" applyFont="1" applyFill="1" applyBorder="1" applyAlignment="1">
      <alignment horizontal="left"/>
    </xf>
    <xf numFmtId="172" fontId="0" fillId="0" borderId="0" xfId="0" applyAlignment="1"/>
    <xf numFmtId="172" fontId="46" fillId="0" borderId="0" xfId="0" applyFont="1" applyFill="1" applyAlignment="1">
      <alignment horizontal="left" wrapText="1"/>
    </xf>
    <xf numFmtId="172" fontId="68" fillId="0" borderId="0" xfId="0" applyFont="1" applyFill="1" applyAlignment="1">
      <alignment horizontal="left" vertical="top" wrapText="1"/>
    </xf>
    <xf numFmtId="172" fontId="68" fillId="0" borderId="0" xfId="0" applyFont="1" applyAlignment="1">
      <alignment horizontal="center" vertical="center"/>
    </xf>
    <xf numFmtId="172" fontId="68" fillId="0" borderId="0" xfId="0" applyFont="1" applyAlignment="1">
      <alignment horizontal="left" vertical="top" wrapText="1"/>
    </xf>
    <xf numFmtId="172" fontId="68" fillId="0" borderId="0" xfId="0" applyFont="1" applyAlignment="1">
      <alignment horizontal="left" vertical="center"/>
    </xf>
    <xf numFmtId="0" fontId="41" fillId="0" borderId="0" xfId="132" applyFont="1" applyAlignment="1">
      <alignment horizontal="center"/>
    </xf>
    <xf numFmtId="0" fontId="19" fillId="0" borderId="0" xfId="132" applyFont="1" applyFill="1" applyAlignment="1">
      <alignment horizontal="center"/>
    </xf>
    <xf numFmtId="49" fontId="130" fillId="0" borderId="35" xfId="132" applyNumberFormat="1" applyFont="1" applyBorder="1" applyAlignment="1">
      <alignment horizontal="center" vertical="center"/>
    </xf>
    <xf numFmtId="0" fontId="130" fillId="0" borderId="36" xfId="132" applyFont="1" applyBorder="1" applyAlignment="1">
      <alignment horizontal="center" vertical="center"/>
    </xf>
    <xf numFmtId="0" fontId="130" fillId="0" borderId="37" xfId="132" applyFont="1" applyBorder="1" applyAlignment="1">
      <alignment horizontal="center" vertical="center"/>
    </xf>
    <xf numFmtId="0" fontId="41" fillId="0" borderId="39" xfId="132" applyFont="1" applyBorder="1" applyAlignment="1">
      <alignment horizontal="center"/>
    </xf>
    <xf numFmtId="0" fontId="41" fillId="0" borderId="6" xfId="132" applyFont="1" applyBorder="1" applyAlignment="1">
      <alignment horizontal="center"/>
    </xf>
    <xf numFmtId="0" fontId="41" fillId="0" borderId="40" xfId="132" applyFont="1" applyBorder="1" applyAlignment="1">
      <alignment horizontal="center"/>
    </xf>
    <xf numFmtId="0" fontId="67" fillId="0" borderId="0" xfId="132" applyFont="1" applyFill="1" applyBorder="1" applyAlignment="1">
      <alignment horizontal="left" wrapText="1"/>
    </xf>
    <xf numFmtId="0" fontId="41" fillId="0" borderId="29" xfId="132" applyFont="1" applyBorder="1" applyAlignment="1">
      <alignment horizontal="center"/>
    </xf>
    <xf numFmtId="0" fontId="41" fillId="0" borderId="30" xfId="132" applyFont="1" applyBorder="1" applyAlignment="1">
      <alignment horizontal="center"/>
    </xf>
    <xf numFmtId="0" fontId="41" fillId="0" borderId="31" xfId="132" applyFont="1" applyBorder="1" applyAlignment="1">
      <alignment horizontal="center"/>
    </xf>
    <xf numFmtId="0" fontId="41" fillId="0" borderId="35" xfId="132" applyFont="1" applyBorder="1" applyAlignment="1">
      <alignment horizontal="center" vertical="center"/>
    </xf>
    <xf numFmtId="0" fontId="41" fillId="0" borderId="36" xfId="132" applyFont="1" applyBorder="1" applyAlignment="1">
      <alignment horizontal="center" vertical="center"/>
    </xf>
    <xf numFmtId="0" fontId="41" fillId="0" borderId="37" xfId="132" applyFont="1" applyBorder="1" applyAlignment="1">
      <alignment horizontal="center" vertical="center"/>
    </xf>
    <xf numFmtId="0" fontId="107" fillId="20" borderId="30" xfId="148" applyFont="1" applyFill="1" applyBorder="1" applyAlignment="1">
      <alignment horizontal="center"/>
    </xf>
    <xf numFmtId="0" fontId="107" fillId="20" borderId="31" xfId="148" applyFont="1" applyFill="1" applyBorder="1" applyAlignment="1">
      <alignment horizontal="center"/>
    </xf>
    <xf numFmtId="0" fontId="2" fillId="20" borderId="0" xfId="148" applyFont="1" applyFill="1" applyAlignment="1">
      <alignment horizontal="center" wrapText="1"/>
    </xf>
    <xf numFmtId="0" fontId="12" fillId="20" borderId="0" xfId="148" applyFill="1" applyAlignment="1">
      <alignment horizontal="center" wrapText="1"/>
    </xf>
    <xf numFmtId="0" fontId="10" fillId="0" borderId="0" xfId="148" applyFont="1" applyFill="1" applyBorder="1" applyAlignment="1">
      <alignment horizontal="left" wrapText="1"/>
    </xf>
    <xf numFmtId="0" fontId="8" fillId="0" borderId="0" xfId="148" applyFont="1" applyFill="1" applyBorder="1" applyAlignment="1">
      <alignment horizontal="left" wrapText="1"/>
    </xf>
    <xf numFmtId="0" fontId="4" fillId="20" borderId="0" xfId="148" applyFont="1" applyFill="1" applyAlignment="1">
      <alignment horizontal="center" wrapText="1"/>
    </xf>
    <xf numFmtId="172" fontId="68" fillId="0" borderId="0" xfId="0" applyFont="1" applyAlignment="1">
      <alignment horizontal="left" vertical="center" wrapText="1"/>
    </xf>
    <xf numFmtId="0" fontId="17" fillId="0" borderId="0" xfId="129" applyFont="1" applyFill="1" applyAlignment="1">
      <alignment horizontal="center" vertical="top" wrapText="1"/>
    </xf>
    <xf numFmtId="0" fontId="24" fillId="0" borderId="0" xfId="137" applyFont="1" applyBorder="1" applyAlignment="1">
      <alignment horizontal="center"/>
    </xf>
    <xf numFmtId="172" fontId="24" fillId="0" borderId="0" xfId="0" applyFont="1" applyFill="1" applyBorder="1" applyAlignment="1">
      <alignment horizontal="left"/>
    </xf>
    <xf numFmtId="172" fontId="19" fillId="0" borderId="0" xfId="0" applyFont="1" applyFill="1" applyBorder="1" applyAlignment="1">
      <alignment horizontal="center"/>
    </xf>
    <xf numFmtId="3" fontId="24" fillId="0" borderId="0" xfId="0" applyNumberFormat="1" applyFont="1" applyFill="1" applyBorder="1" applyAlignment="1" applyProtection="1">
      <alignment horizontal="center"/>
      <protection locked="0"/>
    </xf>
    <xf numFmtId="49" fontId="19" fillId="0" borderId="0" xfId="0" applyNumberFormat="1" applyFont="1" applyFill="1" applyBorder="1" applyAlignment="1">
      <alignment horizontal="center"/>
    </xf>
    <xf numFmtId="3" fontId="24" fillId="0" borderId="0" xfId="0" applyNumberFormat="1" applyFont="1" applyFill="1" applyBorder="1" applyAlignment="1">
      <alignment horizontal="center"/>
    </xf>
    <xf numFmtId="172" fontId="24" fillId="0" borderId="0" xfId="0" applyFont="1" applyFill="1" applyBorder="1" applyAlignment="1">
      <alignment horizontal="left" wrapText="1"/>
    </xf>
    <xf numFmtId="172" fontId="136" fillId="0" borderId="0" xfId="0" applyFont="1" applyFill="1" applyBorder="1" applyAlignment="1">
      <alignment horizontal="center"/>
    </xf>
    <xf numFmtId="0" fontId="24" fillId="0" borderId="0" xfId="0" applyNumberFormat="1" applyFont="1" applyFill="1" applyBorder="1" applyAlignment="1" applyProtection="1">
      <alignment horizontal="center"/>
      <protection locked="0"/>
    </xf>
    <xf numFmtId="172" fontId="47" fillId="0" borderId="0" xfId="0" applyFont="1" applyAlignment="1">
      <alignment horizontal="center" vertical="center"/>
    </xf>
    <xf numFmtId="0" fontId="77" fillId="0" borderId="0" xfId="0" applyNumberFormat="1" applyFont="1" applyFill="1" applyAlignment="1" applyProtection="1">
      <alignment horizontal="center"/>
      <protection locked="0"/>
    </xf>
    <xf numFmtId="172" fontId="46" fillId="0" borderId="0" xfId="0" applyFont="1" applyFill="1" applyAlignment="1">
      <alignment horizontal="left" vertical="top" wrapText="1"/>
    </xf>
    <xf numFmtId="0" fontId="46" fillId="0" borderId="0" xfId="159" applyFont="1" applyFill="1" applyAlignment="1">
      <alignment horizontal="left" vertical="top" wrapText="1"/>
    </xf>
    <xf numFmtId="0" fontId="135" fillId="0" borderId="0" xfId="159" applyFont="1" applyFill="1" applyAlignment="1">
      <alignment horizontal="left" vertical="top" wrapText="1"/>
    </xf>
    <xf numFmtId="172" fontId="70" fillId="0" borderId="0" xfId="0" applyFont="1" applyAlignment="1">
      <alignment horizontal="center" vertical="center"/>
    </xf>
    <xf numFmtId="0" fontId="137" fillId="0" borderId="0" xfId="78" applyFont="1" applyAlignment="1">
      <alignment horizontal="center"/>
    </xf>
    <xf numFmtId="0" fontId="138" fillId="0" borderId="0" xfId="132" applyFont="1" applyAlignment="1">
      <alignment horizontal="left" vertical="top" wrapText="1"/>
    </xf>
  </cellXfs>
  <cellStyles count="16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heck Cell" xfId="58" builtinId="23" customBuiltin="1"/>
    <cellStyle name="Comma" xfId="59" builtinId="3"/>
    <cellStyle name="Comma [0] 2" xfId="161" xr:uid="{07B2F304-DCA3-486A-934E-08847D73644B}"/>
    <cellStyle name="Comma 2" xfId="60" xr:uid="{00000000-0005-0000-0000-00003B000000}"/>
    <cellStyle name="Comma 2 2" xfId="61" xr:uid="{00000000-0005-0000-0000-00003C000000}"/>
    <cellStyle name="Comma 2 3" xfId="136" xr:uid="{00000000-0005-0000-0000-00003D000000}"/>
    <cellStyle name="Comma 20" xfId="146" xr:uid="{00000000-0005-0000-0000-00003E000000}"/>
    <cellStyle name="Comma 21" xfId="147" xr:uid="{00000000-0005-0000-0000-00003F000000}"/>
    <cellStyle name="Comma 3" xfId="133" xr:uid="{00000000-0005-0000-0000-000040000000}"/>
    <cellStyle name="Comma 3 2" xfId="139" xr:uid="{00000000-0005-0000-0000-000041000000}"/>
    <cellStyle name="Comma 4" xfId="140" xr:uid="{00000000-0005-0000-0000-000042000000}"/>
    <cellStyle name="Comma 5" xfId="149" xr:uid="{00000000-0005-0000-0000-000043000000}"/>
    <cellStyle name="Comma 6" xfId="151" xr:uid="{00000000-0005-0000-0000-000044000000}"/>
    <cellStyle name="Comma 7" xfId="157" xr:uid="{AE705269-E130-4ED3-A4E9-7FFA16C806D0}"/>
    <cellStyle name="Comma 8" xfId="160" xr:uid="{CB53FB3B-9328-4B96-86A7-4090C466A53E}"/>
    <cellStyle name="Comma 9" xfId="155" xr:uid="{A4571CB2-D93D-49BF-A7C2-D44C6A8CEF42}"/>
    <cellStyle name="Comma0" xfId="62" xr:uid="{00000000-0005-0000-0000-000045000000}"/>
    <cellStyle name="Currency" xfId="63" builtinId="4"/>
    <cellStyle name="Currency 2" xfId="131" xr:uid="{00000000-0005-0000-0000-000047000000}"/>
    <cellStyle name="Currency 2 2" xfId="142" xr:uid="{00000000-0005-0000-0000-000048000000}"/>
    <cellStyle name="Currency 3" xfId="138" xr:uid="{00000000-0005-0000-0000-000049000000}"/>
    <cellStyle name="Currency0" xfId="64" xr:uid="{00000000-0005-0000-0000-00004A000000}"/>
    <cellStyle name="Date" xfId="65" xr:uid="{00000000-0005-0000-0000-00004B000000}"/>
    <cellStyle name="Explanatory Text" xfId="66" builtinId="53" customBuiltin="1"/>
    <cellStyle name="Fixed" xfId="67" xr:uid="{00000000-0005-0000-0000-00004D000000}"/>
    <cellStyle name="Good" xfId="68" builtinId="26" customBuiltin="1"/>
    <cellStyle name="Heading 1" xfId="69" builtinId="16" customBuiltin="1"/>
    <cellStyle name="Heading 2" xfId="70" builtinId="17" customBuiltin="1"/>
    <cellStyle name="Heading 3" xfId="71" builtinId="18" customBuiltin="1"/>
    <cellStyle name="Heading 4" xfId="72" builtinId="19" customBuiltin="1"/>
    <cellStyle name="Heading1" xfId="73" xr:uid="{00000000-0005-0000-0000-000053000000}"/>
    <cellStyle name="Heading2" xfId="74" xr:uid="{00000000-0005-0000-0000-000054000000}"/>
    <cellStyle name="Input" xfId="75" builtinId="20" customBuiltin="1"/>
    <cellStyle name="Linked Cell" xfId="76" builtinId="24" customBuiltin="1"/>
    <cellStyle name="Neutral" xfId="77" builtinId="28" customBuiltin="1"/>
    <cellStyle name="Normal" xfId="0" builtinId="0"/>
    <cellStyle name="Normal 10" xfId="154" xr:uid="{767CFB30-76F7-46BF-B7FF-9EBA9CC227CB}"/>
    <cellStyle name="Normal 10 2" xfId="144" xr:uid="{00000000-0005-0000-0000-000059000000}"/>
    <cellStyle name="Normal 11" xfId="159" xr:uid="{3893BC9C-C9FE-4315-95B7-1C6E40B4D033}"/>
    <cellStyle name="Normal 2" xfId="78" xr:uid="{00000000-0005-0000-0000-00005A000000}"/>
    <cellStyle name="Normal 2 2" xfId="79" xr:uid="{00000000-0005-0000-0000-00005B000000}"/>
    <cellStyle name="Normal 2 3" xfId="156" xr:uid="{1453020E-E75E-45DD-938E-F0CC83AC8E22}"/>
    <cellStyle name="Normal 20" xfId="145" xr:uid="{00000000-0005-0000-0000-00005C000000}"/>
    <cellStyle name="Normal 3" xfId="80" xr:uid="{00000000-0005-0000-0000-00005D000000}"/>
    <cellStyle name="Normal 3 2" xfId="81" xr:uid="{00000000-0005-0000-0000-00005E000000}"/>
    <cellStyle name="Normal 4" xfId="129" xr:uid="{00000000-0005-0000-0000-00005F000000}"/>
    <cellStyle name="Normal 4 2" xfId="158" xr:uid="{83DA8D5B-8D39-42E7-B6F0-0C26C0938D1F}"/>
    <cellStyle name="Normal 5" xfId="132" xr:uid="{00000000-0005-0000-0000-000060000000}"/>
    <cellStyle name="Normal 6" xfId="137" xr:uid="{00000000-0005-0000-0000-000061000000}"/>
    <cellStyle name="Normal 6 2" xfId="152" xr:uid="{00000000-0005-0000-0000-000062000000}"/>
    <cellStyle name="Normal 7" xfId="148" xr:uid="{00000000-0005-0000-0000-000063000000}"/>
    <cellStyle name="Normal 8" xfId="150" xr:uid="{00000000-0005-0000-0000-000064000000}"/>
    <cellStyle name="Normal 9" xfId="162" xr:uid="{FF83C6D7-6E35-417E-96AE-B8638D900175}"/>
    <cellStyle name="Normal_21 Exh B" xfId="135" xr:uid="{00000000-0005-0000-0000-000065000000}"/>
    <cellStyle name="Normal_ATSI Attachment H-20A-Appendix A- Schedule 1A_7-29-2010 " xfId="82" xr:uid="{00000000-0005-0000-0000-000066000000}"/>
    <cellStyle name="Normal_Attachment Os for 2002 True-up" xfId="143" xr:uid="{00000000-0005-0000-0000-000067000000}"/>
    <cellStyle name="Note" xfId="83" builtinId="10" customBuiltin="1"/>
    <cellStyle name="Output" xfId="84" builtinId="21" customBuiltin="1"/>
    <cellStyle name="Percent" xfId="85" builtinId="5"/>
    <cellStyle name="Percent 2" xfId="130" xr:uid="{00000000-0005-0000-0000-00006B000000}"/>
    <cellStyle name="Percent 2 2" xfId="86" xr:uid="{00000000-0005-0000-0000-00006C000000}"/>
    <cellStyle name="Percent 2 2 2" xfId="141" xr:uid="{00000000-0005-0000-0000-00006D000000}"/>
    <cellStyle name="Percent 3" xfId="134" xr:uid="{00000000-0005-0000-0000-00006E000000}"/>
    <cellStyle name="Percent 4" xfId="153" xr:uid="{00000000-0005-0000-0000-00006F000000}"/>
    <cellStyle name="PSChar" xfId="87" xr:uid="{00000000-0005-0000-0000-000070000000}"/>
    <cellStyle name="PSDate" xfId="88" xr:uid="{00000000-0005-0000-0000-000071000000}"/>
    <cellStyle name="PSDec" xfId="89" xr:uid="{00000000-0005-0000-0000-000072000000}"/>
    <cellStyle name="PSdesc" xfId="90" xr:uid="{00000000-0005-0000-0000-000073000000}"/>
    <cellStyle name="PSHeading" xfId="91" xr:uid="{00000000-0005-0000-0000-000074000000}"/>
    <cellStyle name="PSInt" xfId="92" xr:uid="{00000000-0005-0000-0000-000075000000}"/>
    <cellStyle name="PSSpacer" xfId="93" xr:uid="{00000000-0005-0000-0000-000076000000}"/>
    <cellStyle name="PStest" xfId="94" xr:uid="{00000000-0005-0000-0000-000077000000}"/>
    <cellStyle name="R00A" xfId="95" xr:uid="{00000000-0005-0000-0000-000078000000}"/>
    <cellStyle name="R00B" xfId="96" xr:uid="{00000000-0005-0000-0000-000079000000}"/>
    <cellStyle name="R00L" xfId="97" xr:uid="{00000000-0005-0000-0000-00007A000000}"/>
    <cellStyle name="R01A" xfId="98" xr:uid="{00000000-0005-0000-0000-00007B000000}"/>
    <cellStyle name="R01B" xfId="99" xr:uid="{00000000-0005-0000-0000-00007C000000}"/>
    <cellStyle name="R01H" xfId="100" xr:uid="{00000000-0005-0000-0000-00007D000000}"/>
    <cellStyle name="R01L" xfId="101" xr:uid="{00000000-0005-0000-0000-00007E000000}"/>
    <cellStyle name="R02A" xfId="102" xr:uid="{00000000-0005-0000-0000-00007F000000}"/>
    <cellStyle name="R02B" xfId="103" xr:uid="{00000000-0005-0000-0000-000080000000}"/>
    <cellStyle name="R02H" xfId="104" xr:uid="{00000000-0005-0000-0000-000081000000}"/>
    <cellStyle name="R02L" xfId="105" xr:uid="{00000000-0005-0000-0000-000082000000}"/>
    <cellStyle name="R03A" xfId="106" xr:uid="{00000000-0005-0000-0000-000083000000}"/>
    <cellStyle name="R03B" xfId="107" xr:uid="{00000000-0005-0000-0000-000084000000}"/>
    <cellStyle name="R03H" xfId="108" xr:uid="{00000000-0005-0000-0000-000085000000}"/>
    <cellStyle name="R03L" xfId="109" xr:uid="{00000000-0005-0000-0000-000086000000}"/>
    <cellStyle name="R04A" xfId="110" xr:uid="{00000000-0005-0000-0000-000087000000}"/>
    <cellStyle name="R04B" xfId="111" xr:uid="{00000000-0005-0000-0000-000088000000}"/>
    <cellStyle name="R04H" xfId="112" xr:uid="{00000000-0005-0000-0000-000089000000}"/>
    <cellStyle name="R04L" xfId="113" xr:uid="{00000000-0005-0000-0000-00008A000000}"/>
    <cellStyle name="R05A" xfId="114" xr:uid="{00000000-0005-0000-0000-00008B000000}"/>
    <cellStyle name="R05B" xfId="115" xr:uid="{00000000-0005-0000-0000-00008C000000}"/>
    <cellStyle name="R05H" xfId="116" xr:uid="{00000000-0005-0000-0000-00008D000000}"/>
    <cellStyle name="R05L" xfId="117" xr:uid="{00000000-0005-0000-0000-00008E000000}"/>
    <cellStyle name="R06A" xfId="118" xr:uid="{00000000-0005-0000-0000-00008F000000}"/>
    <cellStyle name="R06B" xfId="119" xr:uid="{00000000-0005-0000-0000-000090000000}"/>
    <cellStyle name="R06H" xfId="120" xr:uid="{00000000-0005-0000-0000-000091000000}"/>
    <cellStyle name="R06L" xfId="121" xr:uid="{00000000-0005-0000-0000-000092000000}"/>
    <cellStyle name="R07A" xfId="122" xr:uid="{00000000-0005-0000-0000-000093000000}"/>
    <cellStyle name="R07B" xfId="123" xr:uid="{00000000-0005-0000-0000-000094000000}"/>
    <cellStyle name="R07H" xfId="124" xr:uid="{00000000-0005-0000-0000-000095000000}"/>
    <cellStyle name="R07L" xfId="125" xr:uid="{00000000-0005-0000-0000-000096000000}"/>
    <cellStyle name="Title" xfId="126" builtinId="15" customBuiltin="1"/>
    <cellStyle name="Total" xfId="127" builtinId="25" customBuiltin="1"/>
    <cellStyle name="Warning Text" xfId="12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network.com\Data\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orking\Annual%20Update%20-%202013\2013%20Annual%20Update%20201304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ing\Annual%20Update%20-%202013\Data\Capital%20projection%20201304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enetwork.com\Data\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2010 6 - Est &amp; Reconcile WS"/>
      <sheetName val="2010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2010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sheetData sheetId="1">
        <row r="5">
          <cell r="H5">
            <v>2012</v>
          </cell>
          <cell r="P5" t="str">
            <v>Projection</v>
          </cell>
        </row>
        <row r="6">
          <cell r="P6" t="str">
            <v>True-up</v>
          </cell>
        </row>
        <row r="17">
          <cell r="H17">
            <v>7.3398818350960335E-2</v>
          </cell>
        </row>
        <row r="29">
          <cell r="H29">
            <v>0.20421179118054886</v>
          </cell>
        </row>
        <row r="32">
          <cell r="H32">
            <v>0.24176082444075614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5">
          <cell r="D15">
            <v>151699035</v>
          </cell>
          <cell r="E15">
            <v>160882952</v>
          </cell>
          <cell r="F15" t="str">
            <v>114.14c</v>
          </cell>
        </row>
        <row r="16">
          <cell r="D16">
            <v>-1874204</v>
          </cell>
          <cell r="E16">
            <v>-1851300</v>
          </cell>
          <cell r="F16" t="str">
            <v>114.19c</v>
          </cell>
        </row>
        <row r="17">
          <cell r="D17">
            <v>20136120</v>
          </cell>
          <cell r="E17">
            <v>22657380.059999999</v>
          </cell>
          <cell r="F17" t="str">
            <v>214.47d</v>
          </cell>
        </row>
        <row r="19">
          <cell r="D19" t="e">
            <v>#N/A</v>
          </cell>
          <cell r="E19" t="e">
            <v>#N/A</v>
          </cell>
          <cell r="F19" t="str">
            <v>206.58b</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206.75g</v>
          </cell>
        </row>
        <row r="23">
          <cell r="D23">
            <v>847651696</v>
          </cell>
          <cell r="E23">
            <v>853462120</v>
          </cell>
          <cell r="F23" t="str">
            <v>204.5b</v>
          </cell>
        </row>
        <row r="24">
          <cell r="D24">
            <v>853462120</v>
          </cell>
          <cell r="E24">
            <v>854419426</v>
          </cell>
          <cell r="F24" t="str">
            <v>204.5g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204.46g</v>
          </cell>
        </row>
        <row r="29">
          <cell r="D29" t="e">
            <v>#N/A</v>
          </cell>
          <cell r="E29">
            <v>0</v>
          </cell>
          <cell r="F29" t="str">
            <v>206.102g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t="e">
            <v>#N/A</v>
          </cell>
          <cell r="E36">
            <v>2505658617</v>
          </cell>
          <cell r="F36" t="str">
            <v>219.20c</v>
          </cell>
        </row>
        <row r="37">
          <cell r="D37" t="e">
            <v>#N/A</v>
          </cell>
          <cell r="E37">
            <v>0</v>
          </cell>
          <cell r="F37" t="str">
            <v>219.21c</v>
          </cell>
        </row>
        <row r="38">
          <cell r="D38" t="e">
            <v>#N/A</v>
          </cell>
          <cell r="E38">
            <v>264903753</v>
          </cell>
          <cell r="F38" t="str">
            <v>219.22c</v>
          </cell>
        </row>
        <row r="39">
          <cell r="D39" t="e">
            <v>#N/A</v>
          </cell>
          <cell r="E39">
            <v>0</v>
          </cell>
          <cell r="F39" t="str">
            <v>219.23c</v>
          </cell>
        </row>
        <row r="40">
          <cell r="D40" t="e">
            <v>#N/A</v>
          </cell>
          <cell r="E40">
            <v>579208388</v>
          </cell>
          <cell r="F40" t="str">
            <v>219.24c</v>
          </cell>
        </row>
        <row r="41">
          <cell r="D41" t="e">
            <v>#N/A</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e">
            <v>#N/A</v>
          </cell>
          <cell r="E46" t="e">
            <v>#N/A</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D67" t="e">
            <v>#N/A</v>
          </cell>
          <cell r="E67">
            <v>0</v>
          </cell>
          <cell r="F67" t="str">
            <v>350.30d</v>
          </cell>
        </row>
        <row r="68">
          <cell r="D68" t="e">
            <v>#N/A</v>
          </cell>
          <cell r="E68">
            <v>0</v>
          </cell>
          <cell r="F68" t="str">
            <v>350.31d</v>
          </cell>
        </row>
        <row r="69">
          <cell r="D69" t="e">
            <v>#N/A</v>
          </cell>
          <cell r="E69">
            <v>2043517</v>
          </cell>
          <cell r="F69" t="str">
            <v>350.32d</v>
          </cell>
        </row>
        <row r="70">
          <cell r="D70">
            <v>22707903</v>
          </cell>
          <cell r="E70">
            <v>23499915</v>
          </cell>
          <cell r="F70" t="str">
            <v>354.21b</v>
          </cell>
        </row>
        <row r="71">
          <cell r="D71">
            <v>41949915</v>
          </cell>
          <cell r="E71">
            <v>43097996</v>
          </cell>
          <cell r="F71" t="str">
            <v>354.27b</v>
          </cell>
        </row>
        <row r="72">
          <cell r="D72">
            <v>357213635</v>
          </cell>
          <cell r="E72">
            <v>363265480</v>
          </cell>
          <cell r="F72" t="str">
            <v>354.28b</v>
          </cell>
        </row>
      </sheetData>
      <sheetData sheetId="27"/>
      <sheetData sheetId="28"/>
      <sheetData sheetId="29">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204</v>
          </cell>
          <cell r="D13">
            <v>46</v>
          </cell>
          <cell r="E13" t="str">
            <v>g</v>
          </cell>
          <cell r="F13" t="str">
            <v>204.46g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206</v>
          </cell>
          <cell r="D17">
            <v>75</v>
          </cell>
          <cell r="E17" t="str">
            <v>g</v>
          </cell>
          <cell r="F17" t="str">
            <v>206.75g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206</v>
          </cell>
          <cell r="D24">
            <v>102</v>
          </cell>
          <cell r="E24" t="str">
            <v>g</v>
          </cell>
          <cell r="F24" t="str">
            <v>206.102g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t="e">
            <v>#N/A</v>
          </cell>
          <cell r="L27">
            <v>2505658617</v>
          </cell>
        </row>
        <row r="28">
          <cell r="C28">
            <v>219</v>
          </cell>
          <cell r="D28">
            <v>21</v>
          </cell>
          <cell r="E28" t="str">
            <v>c</v>
          </cell>
          <cell r="F28" t="str">
            <v>219.21c</v>
          </cell>
          <cell r="G28" t="str">
            <v>electric_plant</v>
          </cell>
          <cell r="K28" t="e">
            <v>#N/A</v>
          </cell>
          <cell r="L28">
            <v>0</v>
          </cell>
        </row>
        <row r="29">
          <cell r="C29">
            <v>219</v>
          </cell>
          <cell r="D29">
            <v>22</v>
          </cell>
          <cell r="E29" t="str">
            <v>c</v>
          </cell>
          <cell r="F29" t="str">
            <v>219.22c</v>
          </cell>
          <cell r="G29" t="str">
            <v>electric_plant</v>
          </cell>
          <cell r="K29" t="e">
            <v>#N/A</v>
          </cell>
          <cell r="L29">
            <v>264903753</v>
          </cell>
        </row>
        <row r="30">
          <cell r="C30">
            <v>219</v>
          </cell>
          <cell r="D30">
            <v>23</v>
          </cell>
          <cell r="E30" t="str">
            <v>c</v>
          </cell>
          <cell r="F30" t="str">
            <v>219.23c</v>
          </cell>
          <cell r="G30" t="str">
            <v>electric_plant</v>
          </cell>
          <cell r="K30" t="e">
            <v>#N/A</v>
          </cell>
          <cell r="L30">
            <v>0</v>
          </cell>
        </row>
        <row r="31">
          <cell r="C31">
            <v>219</v>
          </cell>
          <cell r="D31">
            <v>24</v>
          </cell>
          <cell r="E31" t="str">
            <v>c</v>
          </cell>
          <cell r="F31" t="str">
            <v>219.24c</v>
          </cell>
          <cell r="G31" t="str">
            <v>electric_plant</v>
          </cell>
          <cell r="K31" t="e">
            <v>#N/A</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cell r="K81" t="e">
            <v>#N/A</v>
          </cell>
          <cell r="L81">
            <v>0</v>
          </cell>
        </row>
        <row r="82">
          <cell r="B82">
            <v>139</v>
          </cell>
          <cell r="C82">
            <v>350</v>
          </cell>
          <cell r="D82">
            <v>31</v>
          </cell>
          <cell r="E82" t="str">
            <v>d</v>
          </cell>
          <cell r="F82" t="str">
            <v>350.31d</v>
          </cell>
          <cell r="G82" t="str">
            <v>tot_expn_to_date</v>
          </cell>
          <cell r="H82">
            <v>183061</v>
          </cell>
          <cell r="I82">
            <v>491725</v>
          </cell>
          <cell r="J82">
            <v>596587</v>
          </cell>
          <cell r="K82" t="e">
            <v>#N/A</v>
          </cell>
          <cell r="L82">
            <v>0</v>
          </cell>
        </row>
        <row r="83">
          <cell r="B83">
            <v>140</v>
          </cell>
          <cell r="C83">
            <v>350</v>
          </cell>
          <cell r="D83">
            <v>32</v>
          </cell>
          <cell r="E83" t="str">
            <v>d</v>
          </cell>
          <cell r="F83" t="str">
            <v>350.32d</v>
          </cell>
          <cell r="G83" t="str">
            <v>tot_expn_to_date</v>
          </cell>
          <cell r="H83">
            <v>0</v>
          </cell>
          <cell r="I83">
            <v>2368722</v>
          </cell>
          <cell r="J83">
            <v>762536</v>
          </cell>
          <cell r="K83" t="e">
            <v>#N/A</v>
          </cell>
          <cell r="L83">
            <v>2043517</v>
          </cell>
        </row>
        <row r="84">
          <cell r="B84">
            <v>141</v>
          </cell>
          <cell r="C84">
            <v>350</v>
          </cell>
          <cell r="D84">
            <v>46</v>
          </cell>
          <cell r="E84" t="str">
            <v>d</v>
          </cell>
          <cell r="F84" t="str">
            <v>350.46d</v>
          </cell>
          <cell r="G84" t="str">
            <v>tot_expn_to_date</v>
          </cell>
          <cell r="H84">
            <v>11630262</v>
          </cell>
          <cell r="I84">
            <v>16464747</v>
          </cell>
          <cell r="J84">
            <v>17926840</v>
          </cell>
          <cell r="K84">
            <v>21857100</v>
          </cell>
          <cell r="L84" t="e">
            <v>#N/A</v>
          </cell>
        </row>
        <row r="85">
          <cell r="B85">
            <v>148</v>
          </cell>
          <cell r="C85">
            <v>354</v>
          </cell>
          <cell r="D85">
            <v>21</v>
          </cell>
          <cell r="E85" t="str">
            <v>b</v>
          </cell>
          <cell r="F85" t="str">
            <v>354.21b</v>
          </cell>
          <cell r="G85" t="str">
            <v>drct_pyrl_dstrbt</v>
          </cell>
          <cell r="H85">
            <v>20976669</v>
          </cell>
          <cell r="I85">
            <v>21701683</v>
          </cell>
          <cell r="J85">
            <v>21424172</v>
          </cell>
          <cell r="K85">
            <v>22707903</v>
          </cell>
          <cell r="L85">
            <v>23499915</v>
          </cell>
        </row>
        <row r="86">
          <cell r="B86">
            <v>151</v>
          </cell>
          <cell r="C86">
            <v>354</v>
          </cell>
          <cell r="D86">
            <v>27</v>
          </cell>
          <cell r="E86" t="str">
            <v>b</v>
          </cell>
          <cell r="F86" t="str">
            <v>354.27b</v>
          </cell>
          <cell r="G86" t="str">
            <v>drct_pyrl_dstrbt</v>
          </cell>
          <cell r="H86">
            <v>39151807</v>
          </cell>
          <cell r="I86">
            <v>6194912</v>
          </cell>
          <cell r="J86">
            <v>39620131</v>
          </cell>
          <cell r="K86">
            <v>41949915</v>
          </cell>
          <cell r="L86">
            <v>43097996</v>
          </cell>
        </row>
        <row r="87">
          <cell r="B87">
            <v>152</v>
          </cell>
          <cell r="C87">
            <v>354</v>
          </cell>
          <cell r="D87">
            <v>28</v>
          </cell>
          <cell r="E87" t="str">
            <v>b</v>
          </cell>
          <cell r="F87" t="str">
            <v>354.28b</v>
          </cell>
          <cell r="G87" t="str">
            <v>drct_pyrl_dstrbt</v>
          </cell>
          <cell r="H87">
            <v>354492178</v>
          </cell>
          <cell r="I87">
            <v>361424755</v>
          </cell>
          <cell r="J87">
            <v>352150935</v>
          </cell>
          <cell r="K87">
            <v>357213635</v>
          </cell>
          <cell r="L87">
            <v>363265480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inal Summary Sheet"/>
      <sheetName val="2012 data (2013 projection)"/>
    </sheetNames>
    <sheetDataSet>
      <sheetData sheetId="0" refreshError="1"/>
      <sheetData sheetId="1">
        <row r="132">
          <cell r="AB132">
            <v>0</v>
          </cell>
          <cell r="AC132">
            <v>0</v>
          </cell>
          <cell r="AD132">
            <v>0</v>
          </cell>
          <cell r="AE132">
            <v>0</v>
          </cell>
          <cell r="AF132">
            <v>0</v>
          </cell>
          <cell r="AG132">
            <v>0</v>
          </cell>
          <cell r="AH132">
            <v>0</v>
          </cell>
          <cell r="AI132">
            <v>0</v>
          </cell>
          <cell r="AJ132">
            <v>0</v>
          </cell>
          <cell r="AK132">
            <v>0</v>
          </cell>
          <cell r="AL132">
            <v>0</v>
          </cell>
          <cell r="AM132">
            <v>0</v>
          </cell>
        </row>
        <row r="133">
          <cell r="AB133">
            <v>-20999.920000000002</v>
          </cell>
          <cell r="AC133">
            <v>66350.159999999989</v>
          </cell>
          <cell r="AD133">
            <v>827519.35000000009</v>
          </cell>
          <cell r="AE133">
            <v>10000</v>
          </cell>
          <cell r="AF133">
            <v>10000</v>
          </cell>
          <cell r="AG133">
            <v>10000</v>
          </cell>
          <cell r="AH133">
            <v>30000</v>
          </cell>
          <cell r="AI133">
            <v>10000</v>
          </cell>
          <cell r="AJ133">
            <v>10000</v>
          </cell>
          <cell r="AK133">
            <v>10000</v>
          </cell>
          <cell r="AL133">
            <v>10000</v>
          </cell>
          <cell r="AM133">
            <v>10000</v>
          </cell>
        </row>
        <row r="134">
          <cell r="AB134">
            <v>-390.07000000000016</v>
          </cell>
          <cell r="AC134">
            <v>0</v>
          </cell>
          <cell r="AD134">
            <v>0</v>
          </cell>
          <cell r="AE134">
            <v>0</v>
          </cell>
          <cell r="AF134">
            <v>345596138.16000003</v>
          </cell>
          <cell r="AG134">
            <v>11111733</v>
          </cell>
          <cell r="AH134">
            <v>2150747</v>
          </cell>
          <cell r="AI134">
            <v>1463558</v>
          </cell>
          <cell r="AJ134">
            <v>1149487</v>
          </cell>
          <cell r="AK134">
            <v>921751</v>
          </cell>
          <cell r="AL134">
            <v>473400</v>
          </cell>
          <cell r="AM134">
            <v>105336</v>
          </cell>
        </row>
        <row r="135">
          <cell r="AB135">
            <v>0</v>
          </cell>
          <cell r="AC135">
            <v>0</v>
          </cell>
          <cell r="AD135">
            <v>0</v>
          </cell>
          <cell r="AE135">
            <v>0</v>
          </cell>
          <cell r="AF135">
            <v>0</v>
          </cell>
          <cell r="AG135">
            <v>0</v>
          </cell>
          <cell r="AH135">
            <v>0</v>
          </cell>
          <cell r="AI135">
            <v>0</v>
          </cell>
          <cell r="AJ135">
            <v>0</v>
          </cell>
          <cell r="AK135">
            <v>0</v>
          </cell>
          <cell r="AL135">
            <v>0</v>
          </cell>
          <cell r="AM135">
            <v>0</v>
          </cell>
        </row>
        <row r="136">
          <cell r="AB136">
            <v>0</v>
          </cell>
          <cell r="AC136">
            <v>0</v>
          </cell>
          <cell r="AD136">
            <v>0</v>
          </cell>
          <cell r="AE136">
            <v>0</v>
          </cell>
          <cell r="AF136">
            <v>0</v>
          </cell>
          <cell r="AG136">
            <v>0</v>
          </cell>
          <cell r="AH136">
            <v>0</v>
          </cell>
          <cell r="AI136">
            <v>0</v>
          </cell>
          <cell r="AJ136">
            <v>0</v>
          </cell>
          <cell r="AK136">
            <v>0</v>
          </cell>
          <cell r="AL136">
            <v>0</v>
          </cell>
          <cell r="AM136">
            <v>0</v>
          </cell>
        </row>
        <row r="137">
          <cell r="AB137">
            <v>-37897.029999998893</v>
          </cell>
          <cell r="AC137">
            <v>119152.57000000028</v>
          </cell>
          <cell r="AD137">
            <v>1511930.7099999997</v>
          </cell>
          <cell r="AE137">
            <v>0</v>
          </cell>
          <cell r="AF137">
            <v>5349832.6900000004</v>
          </cell>
          <cell r="AG137">
            <v>145213</v>
          </cell>
          <cell r="AH137">
            <v>0</v>
          </cell>
          <cell r="AI137">
            <v>0</v>
          </cell>
          <cell r="AJ137">
            <v>0</v>
          </cell>
          <cell r="AK137">
            <v>0</v>
          </cell>
          <cell r="AL137">
            <v>0</v>
          </cell>
          <cell r="AM137">
            <v>0</v>
          </cell>
        </row>
        <row r="138">
          <cell r="AB138">
            <v>0</v>
          </cell>
          <cell r="AC138">
            <v>0</v>
          </cell>
          <cell r="AD138">
            <v>0</v>
          </cell>
          <cell r="AE138">
            <v>0</v>
          </cell>
          <cell r="AF138">
            <v>2000000</v>
          </cell>
          <cell r="AG138">
            <v>0</v>
          </cell>
          <cell r="AH138">
            <v>0</v>
          </cell>
          <cell r="AI138">
            <v>0</v>
          </cell>
          <cell r="AJ138">
            <v>0</v>
          </cell>
          <cell r="AK138">
            <v>0</v>
          </cell>
          <cell r="AL138">
            <v>0</v>
          </cell>
          <cell r="AM138">
            <v>0</v>
          </cell>
        </row>
        <row r="139">
          <cell r="AB139">
            <v>0</v>
          </cell>
          <cell r="AC139">
            <v>0</v>
          </cell>
          <cell r="AD139">
            <v>190296.69</v>
          </cell>
          <cell r="AE139">
            <v>-190296.69</v>
          </cell>
          <cell r="AF139">
            <v>0</v>
          </cell>
          <cell r="AG139">
            <v>0</v>
          </cell>
          <cell r="AH139">
            <v>0</v>
          </cell>
          <cell r="AI139">
            <v>0</v>
          </cell>
          <cell r="AJ139">
            <v>0</v>
          </cell>
          <cell r="AK139">
            <v>0</v>
          </cell>
          <cell r="AL139">
            <v>0</v>
          </cell>
          <cell r="AM139">
            <v>0</v>
          </cell>
        </row>
        <row r="140">
          <cell r="AB140">
            <v>3992288.5300000007</v>
          </cell>
          <cell r="AC140">
            <v>7625573.330000001</v>
          </cell>
          <cell r="AD140">
            <v>5693982.3799999999</v>
          </cell>
          <cell r="AE140">
            <v>10184079.280000003</v>
          </cell>
          <cell r="AF140">
            <v>16641004.163303988</v>
          </cell>
          <cell r="AG140">
            <v>37416529.201457046</v>
          </cell>
          <cell r="AH140">
            <v>7905111.2525474746</v>
          </cell>
          <cell r="AI140">
            <v>8893021.5248183459</v>
          </cell>
          <cell r="AJ140">
            <v>13926173.173849482</v>
          </cell>
          <cell r="AK140">
            <v>22098349.088597469</v>
          </cell>
          <cell r="AL140">
            <v>14469713.982168067</v>
          </cell>
          <cell r="AM140">
            <v>9599588.802168062</v>
          </cell>
        </row>
        <row r="141">
          <cell r="AB141">
            <v>3933001.5100000016</v>
          </cell>
          <cell r="AC141">
            <v>7811076.0600000015</v>
          </cell>
          <cell r="AD141">
            <v>8223729.129999999</v>
          </cell>
          <cell r="AE141">
            <v>10003782.590000004</v>
          </cell>
          <cell r="AF141">
            <v>369596975.013304</v>
          </cell>
          <cell r="AG141">
            <v>48683475.201457046</v>
          </cell>
          <cell r="AH141">
            <v>10085858.252547475</v>
          </cell>
          <cell r="AI141">
            <v>10366579.524818346</v>
          </cell>
          <cell r="AJ141">
            <v>15085660.173849482</v>
          </cell>
          <cell r="AK141">
            <v>23030100.088597469</v>
          </cell>
          <cell r="AL141">
            <v>14953113.982168067</v>
          </cell>
          <cell r="AM141">
            <v>9714924.802168062</v>
          </cell>
        </row>
      </sheetData>
      <sheetData sheetId="2">
        <row r="5">
          <cell r="C5">
            <v>3933001.5100000016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5" Type="http://schemas.openxmlformats.org/officeDocument/2006/relationships/printerSettings" Target="../printerSettings/printerSettings56.bin"/><Relationship Id="rId4" Type="http://schemas.openxmlformats.org/officeDocument/2006/relationships/printerSettings" Target="../printerSettings/printerSettings5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4" Type="http://schemas.openxmlformats.org/officeDocument/2006/relationships/printerSettings" Target="../printerSettings/printerSettings6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4" Type="http://schemas.openxmlformats.org/officeDocument/2006/relationships/printerSettings" Target="../printerSettings/printerSettings69.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4" Type="http://schemas.openxmlformats.org/officeDocument/2006/relationships/printerSettings" Target="../printerSettings/printerSettings7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4" Type="http://schemas.openxmlformats.org/officeDocument/2006/relationships/printerSettings" Target="../printerSettings/printerSettings87.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4" Type="http://schemas.openxmlformats.org/officeDocument/2006/relationships/printerSettings" Target="../printerSettings/printerSettings9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94.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4" Type="http://schemas.openxmlformats.org/officeDocument/2006/relationships/printerSettings" Target="../printerSettings/printerSettings9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5" Type="http://schemas.openxmlformats.org/officeDocument/2006/relationships/printerSettings" Target="../printerSettings/printerSettings100.bin"/><Relationship Id="rId4" Type="http://schemas.openxmlformats.org/officeDocument/2006/relationships/printerSettings" Target="../printerSettings/printerSettings99.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4" Type="http://schemas.openxmlformats.org/officeDocument/2006/relationships/printerSettings" Target="../printerSettings/printerSettings10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4" Type="http://schemas.openxmlformats.org/officeDocument/2006/relationships/printerSettings" Target="../printerSettings/printerSettings108.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4" Type="http://schemas.openxmlformats.org/officeDocument/2006/relationships/printerSettings" Target="../printerSettings/printerSettings112.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4" Type="http://schemas.openxmlformats.org/officeDocument/2006/relationships/printerSettings" Target="../printerSettings/printerSettings116.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9.bin"/><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 Id="rId4" Type="http://schemas.openxmlformats.org/officeDocument/2006/relationships/printerSettings" Target="../printerSettings/printerSettings120.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4" Type="http://schemas.openxmlformats.org/officeDocument/2006/relationships/printerSettings" Target="../printerSettings/printerSettings1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U377"/>
  <sheetViews>
    <sheetView tabSelected="1" view="pageBreakPreview" zoomScale="70" zoomScaleNormal="70" workbookViewId="0"/>
  </sheetViews>
  <sheetFormatPr defaultColWidth="8.90625" defaultRowHeight="15.6"/>
  <cols>
    <col min="1" max="1" width="5.81640625" style="686" bestFit="1" customWidth="1"/>
    <col min="2" max="2" width="58" style="686" customWidth="1"/>
    <col min="3" max="3" width="46.6328125" style="686" customWidth="1"/>
    <col min="4" max="4" width="23.54296875" style="686" bestFit="1" customWidth="1"/>
    <col min="5" max="5" width="10.36328125" style="686" customWidth="1"/>
    <col min="6" max="6" width="17.08984375" style="686" customWidth="1"/>
    <col min="7" max="7" width="13" style="686" bestFit="1" customWidth="1"/>
    <col min="8" max="8" width="4.08984375" style="686" customWidth="1"/>
    <col min="9" max="9" width="18.1796875" style="686" customWidth="1"/>
    <col min="10" max="10" width="15.6328125" style="686" customWidth="1"/>
    <col min="11" max="11" width="16.1796875" style="686" customWidth="1"/>
    <col min="12" max="12" width="15.54296875" style="860" customWidth="1"/>
    <col min="13" max="13" width="10.81640625" style="686" customWidth="1"/>
    <col min="14" max="14" width="10.453125" style="686" customWidth="1"/>
    <col min="15" max="15" width="10.54296875" style="686" customWidth="1"/>
    <col min="16" max="16384" width="8.90625" style="686"/>
  </cols>
  <sheetData>
    <row r="1" spans="1:14" ht="16.5" customHeight="1">
      <c r="B1" s="687"/>
      <c r="C1" s="687"/>
      <c r="D1" s="688"/>
      <c r="E1" s="687"/>
      <c r="F1" s="687"/>
      <c r="G1" s="687"/>
      <c r="H1" s="689"/>
      <c r="I1" s="689"/>
      <c r="K1" s="4" t="s">
        <v>1161</v>
      </c>
      <c r="L1" s="689"/>
      <c r="M1" s="689"/>
      <c r="N1" s="689"/>
    </row>
    <row r="2" spans="1:14" ht="16.5" customHeight="1">
      <c r="B2" s="687"/>
      <c r="C2" s="687"/>
      <c r="D2" s="688"/>
      <c r="E2" s="687"/>
      <c r="F2" s="687"/>
      <c r="G2" s="687"/>
      <c r="H2" s="689"/>
      <c r="I2" s="689"/>
      <c r="J2" s="689"/>
      <c r="K2" s="690" t="s">
        <v>0</v>
      </c>
      <c r="L2" s="689"/>
      <c r="M2" s="689"/>
      <c r="N2" s="689"/>
    </row>
    <row r="3" spans="1:14" ht="16.5" customHeight="1">
      <c r="B3" s="687"/>
      <c r="C3" s="687"/>
      <c r="D3" s="688"/>
      <c r="E3" s="687"/>
      <c r="F3" s="687"/>
      <c r="G3" s="687"/>
      <c r="H3" s="689"/>
      <c r="I3" s="689"/>
      <c r="J3" s="689"/>
      <c r="K3" s="689"/>
      <c r="L3" s="689"/>
      <c r="M3" s="689"/>
      <c r="N3" s="689"/>
    </row>
    <row r="4" spans="1:14">
      <c r="B4" s="687" t="s">
        <v>1</v>
      </c>
      <c r="C4" s="687"/>
      <c r="D4" s="688" t="s">
        <v>2</v>
      </c>
      <c r="E4" s="687"/>
      <c r="F4" s="687"/>
      <c r="G4" s="687"/>
      <c r="H4" s="691"/>
      <c r="I4" s="692"/>
      <c r="J4" s="691"/>
      <c r="K4" s="42" t="s">
        <v>1206</v>
      </c>
      <c r="L4" s="689"/>
      <c r="M4" s="689"/>
      <c r="N4" s="689"/>
    </row>
    <row r="5" spans="1:14">
      <c r="B5" s="687"/>
      <c r="C5" s="693"/>
      <c r="D5" s="694" t="s">
        <v>4</v>
      </c>
      <c r="E5" s="694"/>
      <c r="F5" s="694"/>
      <c r="G5" s="694"/>
      <c r="H5" s="689"/>
      <c r="I5" s="689"/>
      <c r="J5" s="689"/>
      <c r="K5" s="689"/>
      <c r="L5" s="689"/>
      <c r="M5" s="689"/>
      <c r="N5" s="689"/>
    </row>
    <row r="6" spans="1:14">
      <c r="B6" s="689"/>
      <c r="C6" s="689"/>
      <c r="D6" s="689"/>
      <c r="E6" s="689"/>
      <c r="F6" s="689"/>
      <c r="G6" s="689"/>
      <c r="H6" s="689"/>
      <c r="I6" s="689"/>
      <c r="J6" s="689"/>
      <c r="K6" s="689"/>
      <c r="L6" s="689"/>
      <c r="M6" s="689"/>
      <c r="N6" s="689"/>
    </row>
    <row r="7" spans="1:14">
      <c r="A7" s="695"/>
      <c r="B7" s="689"/>
      <c r="C7" s="689"/>
      <c r="D7" s="1117" t="s">
        <v>1201</v>
      </c>
      <c r="E7" s="689"/>
      <c r="F7" s="689"/>
      <c r="G7" s="689"/>
      <c r="H7" s="689"/>
      <c r="I7" s="689"/>
      <c r="J7" s="689"/>
      <c r="K7" s="689"/>
      <c r="L7" s="689"/>
      <c r="M7" s="689"/>
      <c r="N7" s="689"/>
    </row>
    <row r="8" spans="1:14">
      <c r="A8" s="695"/>
      <c r="B8" s="695" t="s">
        <v>19</v>
      </c>
      <c r="C8" s="695" t="s">
        <v>20</v>
      </c>
      <c r="D8" s="695" t="s">
        <v>21</v>
      </c>
      <c r="E8" s="694" t="s">
        <v>3</v>
      </c>
      <c r="F8" s="694"/>
      <c r="G8" s="697" t="s">
        <v>22</v>
      </c>
      <c r="H8" s="694"/>
      <c r="I8" s="698" t="s">
        <v>23</v>
      </c>
      <c r="J8" s="689"/>
      <c r="K8" s="689"/>
      <c r="L8" s="689"/>
      <c r="M8" s="689"/>
      <c r="N8" s="689"/>
    </row>
    <row r="9" spans="1:14">
      <c r="A9" s="695" t="s">
        <v>5</v>
      </c>
      <c r="B9" s="689"/>
      <c r="C9" s="689"/>
      <c r="D9" s="699"/>
      <c r="E9" s="689"/>
      <c r="F9" s="689"/>
      <c r="G9" s="689"/>
      <c r="H9" s="689"/>
      <c r="I9" s="695" t="s">
        <v>6</v>
      </c>
      <c r="J9" s="689"/>
      <c r="K9" s="689"/>
      <c r="L9" s="689"/>
      <c r="M9" s="689"/>
      <c r="N9" s="689"/>
    </row>
    <row r="10" spans="1:14" ht="16.2" thickBot="1">
      <c r="A10" s="700" t="s">
        <v>7</v>
      </c>
      <c r="B10" s="689"/>
      <c r="C10" s="689"/>
      <c r="D10" s="689"/>
      <c r="E10" s="689"/>
      <c r="F10" s="689"/>
      <c r="G10" s="695"/>
      <c r="H10" s="689"/>
      <c r="I10" s="700" t="s">
        <v>8</v>
      </c>
      <c r="J10" s="689"/>
      <c r="K10" s="701"/>
      <c r="L10" s="689"/>
      <c r="M10" s="689"/>
      <c r="N10" s="689"/>
    </row>
    <row r="11" spans="1:14">
      <c r="A11" s="695">
        <v>1</v>
      </c>
      <c r="B11" s="3" t="s">
        <v>1036</v>
      </c>
      <c r="C11" s="719"/>
      <c r="D11" s="702"/>
      <c r="E11" s="689"/>
      <c r="F11" s="689"/>
      <c r="G11" s="689"/>
      <c r="H11" s="689"/>
      <c r="I11" s="703">
        <f>I172</f>
        <v>59233744.033397183</v>
      </c>
      <c r="J11" s="704"/>
      <c r="K11" s="1170"/>
      <c r="L11" s="689"/>
      <c r="M11" s="689"/>
      <c r="N11" s="689"/>
    </row>
    <row r="12" spans="1:14">
      <c r="A12" s="695"/>
      <c r="B12" s="689"/>
      <c r="C12" s="689"/>
      <c r="D12" s="689"/>
      <c r="E12" s="689"/>
      <c r="F12" s="689"/>
      <c r="G12" s="706"/>
      <c r="H12" s="689"/>
      <c r="I12" s="702"/>
      <c r="J12" s="704"/>
      <c r="K12" s="1170"/>
      <c r="L12" s="689"/>
      <c r="M12" s="689"/>
      <c r="N12" s="689"/>
    </row>
    <row r="13" spans="1:14" ht="16.2" thickBot="1">
      <c r="A13" s="695" t="s">
        <v>3</v>
      </c>
      <c r="B13" s="687" t="s">
        <v>98</v>
      </c>
      <c r="C13" s="693" t="s">
        <v>9</v>
      </c>
      <c r="D13" s="700" t="s">
        <v>10</v>
      </c>
      <c r="E13" s="694"/>
      <c r="F13" s="1277" t="s">
        <v>11</v>
      </c>
      <c r="G13" s="708"/>
      <c r="H13" s="689"/>
      <c r="I13" s="702"/>
      <c r="J13" s="704"/>
      <c r="K13" s="1170"/>
      <c r="L13" s="689"/>
      <c r="M13" s="689"/>
      <c r="N13" s="689"/>
    </row>
    <row r="14" spans="1:14">
      <c r="A14" s="709">
        <v>2</v>
      </c>
      <c r="B14" s="710" t="s">
        <v>470</v>
      </c>
      <c r="C14" s="917" t="s">
        <v>1009</v>
      </c>
      <c r="D14" s="711">
        <f>I262</f>
        <v>0</v>
      </c>
      <c r="E14" s="694"/>
      <c r="F14" s="694" t="s">
        <v>13</v>
      </c>
      <c r="G14" s="712">
        <f>I201</f>
        <v>0.9616323328319748</v>
      </c>
      <c r="H14" s="689"/>
      <c r="I14" s="713">
        <f t="shared" ref="I14:I16" si="0">+G14*D14</f>
        <v>0</v>
      </c>
      <c r="J14" s="704"/>
      <c r="K14" s="1170"/>
      <c r="L14" s="689"/>
      <c r="M14" s="689"/>
      <c r="N14" s="689"/>
    </row>
    <row r="15" spans="1:14">
      <c r="A15" s="709">
        <v>3</v>
      </c>
      <c r="B15" s="710" t="s">
        <v>12</v>
      </c>
      <c r="C15" s="917" t="s">
        <v>1010</v>
      </c>
      <c r="D15" s="714">
        <f>I264</f>
        <v>0</v>
      </c>
      <c r="E15" s="694"/>
      <c r="F15" s="694" t="s">
        <v>13</v>
      </c>
      <c r="G15" s="712">
        <f>I201</f>
        <v>0.9616323328319748</v>
      </c>
      <c r="H15" s="694"/>
      <c r="I15" s="713">
        <f t="shared" si="0"/>
        <v>0</v>
      </c>
      <c r="J15" s="713"/>
      <c r="K15" s="1170"/>
      <c r="L15" s="689"/>
      <c r="M15" s="689"/>
      <c r="N15" s="689"/>
    </row>
    <row r="16" spans="1:14">
      <c r="A16" s="709">
        <v>4</v>
      </c>
      <c r="B16" s="710" t="s">
        <v>506</v>
      </c>
      <c r="C16" s="917" t="s">
        <v>1011</v>
      </c>
      <c r="D16" s="714">
        <f>I266</f>
        <v>489230.37</v>
      </c>
      <c r="E16" s="694"/>
      <c r="F16" s="694" t="str">
        <f t="shared" ref="F16" si="1">+F15</f>
        <v>TP</v>
      </c>
      <c r="G16" s="712">
        <f>I201</f>
        <v>0.9616323328319748</v>
      </c>
      <c r="H16" s="694"/>
      <c r="I16" s="713">
        <f t="shared" si="0"/>
        <v>470459.74199535017</v>
      </c>
      <c r="J16" s="704"/>
      <c r="K16" s="1170"/>
      <c r="L16" s="689"/>
      <c r="M16" s="689"/>
      <c r="N16" s="689"/>
    </row>
    <row r="17" spans="1:14">
      <c r="A17" s="695">
        <v>5</v>
      </c>
      <c r="B17" s="715" t="s">
        <v>494</v>
      </c>
      <c r="C17" s="917" t="s">
        <v>892</v>
      </c>
      <c r="D17" s="907">
        <f>'Attachment 11 - TEC'!O82</f>
        <v>358449.4351239992</v>
      </c>
      <c r="E17" s="694"/>
      <c r="F17" s="917" t="s">
        <v>343</v>
      </c>
      <c r="G17" s="712">
        <v>1</v>
      </c>
      <c r="H17" s="694"/>
      <c r="I17" s="1273">
        <f>D17*G17</f>
        <v>358449.4351239992</v>
      </c>
      <c r="J17" s="704"/>
      <c r="K17" s="1170"/>
      <c r="L17" s="694"/>
      <c r="N17" s="689"/>
    </row>
    <row r="18" spans="1:14">
      <c r="A18" s="695">
        <v>6</v>
      </c>
      <c r="B18" s="956" t="s">
        <v>1122</v>
      </c>
      <c r="C18" s="689"/>
      <c r="D18" s="1271">
        <f>SUM(D14:D17)</f>
        <v>847679.80512399925</v>
      </c>
      <c r="E18" s="694"/>
      <c r="F18" s="694"/>
      <c r="G18" s="712"/>
      <c r="H18" s="694"/>
      <c r="I18" s="1272">
        <f>SUM(I14:I17)</f>
        <v>828909.17711934936</v>
      </c>
      <c r="J18" s="713"/>
      <c r="K18" s="1170"/>
      <c r="L18" s="689"/>
      <c r="N18" s="689"/>
    </row>
    <row r="19" spans="1:14">
      <c r="A19" s="695"/>
      <c r="B19" s="687"/>
      <c r="C19" s="689"/>
      <c r="D19" s="717"/>
      <c r="E19" s="694"/>
      <c r="F19" s="694"/>
      <c r="G19" s="712"/>
      <c r="H19" s="694"/>
      <c r="I19" s="718"/>
      <c r="J19" s="719"/>
      <c r="K19" s="707"/>
      <c r="L19" s="4"/>
      <c r="N19" s="689"/>
    </row>
    <row r="20" spans="1:14">
      <c r="A20" s="695">
        <v>7</v>
      </c>
      <c r="B20" s="720" t="s">
        <v>487</v>
      </c>
      <c r="C20" s="3" t="s">
        <v>641</v>
      </c>
      <c r="D20" s="721"/>
      <c r="E20" s="694"/>
      <c r="F20" s="694"/>
      <c r="G20" s="712"/>
      <c r="H20" s="694"/>
      <c r="I20" s="722">
        <f>-'Attachment 13 - Rev Req True-up'!H51</f>
        <v>0</v>
      </c>
      <c r="J20" s="719"/>
      <c r="K20" s="705"/>
      <c r="L20" s="689"/>
      <c r="N20" s="689"/>
    </row>
    <row r="21" spans="1:14" ht="15.75" customHeight="1">
      <c r="A21" s="695">
        <v>8</v>
      </c>
      <c r="B21" s="710" t="s">
        <v>486</v>
      </c>
      <c r="C21" s="3" t="s">
        <v>1013</v>
      </c>
      <c r="D21" s="723"/>
      <c r="E21" s="694"/>
      <c r="F21" s="694"/>
      <c r="G21" s="694"/>
      <c r="H21" s="694"/>
      <c r="I21" s="1270">
        <f>I11-I18+I20</f>
        <v>58404834.856277831</v>
      </c>
      <c r="J21" s="704"/>
      <c r="K21" s="722"/>
      <c r="L21" s="689"/>
      <c r="N21" s="689"/>
    </row>
    <row r="22" spans="1:14" ht="17.25" customHeight="1">
      <c r="A22" s="695"/>
      <c r="B22" s="710"/>
      <c r="C22" s="689"/>
      <c r="D22" s="723"/>
      <c r="E22" s="694"/>
      <c r="F22" s="694"/>
      <c r="G22" s="694"/>
      <c r="H22" s="694"/>
      <c r="I22" s="724"/>
      <c r="J22" s="704"/>
      <c r="K22" s="722"/>
      <c r="L22" s="689"/>
      <c r="N22" s="689"/>
    </row>
    <row r="23" spans="1:14" s="1114" customFormat="1" ht="17.25" customHeight="1">
      <c r="A23" s="709"/>
      <c r="B23" s="916"/>
      <c r="C23" s="719"/>
      <c r="D23" s="1118"/>
      <c r="E23" s="693"/>
      <c r="F23" s="693"/>
      <c r="G23" s="693"/>
      <c r="H23" s="693"/>
      <c r="I23" s="1119"/>
      <c r="J23" s="713"/>
      <c r="K23" s="722"/>
      <c r="L23" s="719"/>
      <c r="N23" s="719"/>
    </row>
    <row r="24" spans="1:14">
      <c r="A24" s="695"/>
      <c r="B24" s="710"/>
      <c r="C24" s="689"/>
      <c r="D24" s="723"/>
      <c r="E24" s="694"/>
      <c r="F24" s="694"/>
      <c r="G24" s="694"/>
      <c r="H24" s="694"/>
      <c r="I24" s="724"/>
      <c r="J24" s="689"/>
      <c r="K24" s="707"/>
      <c r="L24" s="689"/>
      <c r="N24" s="689"/>
    </row>
    <row r="25" spans="1:14">
      <c r="A25" s="695"/>
      <c r="C25" s="694"/>
      <c r="I25" s="694"/>
      <c r="J25" s="689"/>
      <c r="K25" s="707"/>
      <c r="L25" s="689"/>
      <c r="N25" s="689"/>
    </row>
    <row r="26" spans="1:14">
      <c r="A26" s="731"/>
      <c r="B26" s="732"/>
      <c r="C26" s="733"/>
      <c r="D26" s="736"/>
      <c r="E26" s="735"/>
      <c r="F26" s="735"/>
      <c r="G26" s="740"/>
      <c r="H26" s="736"/>
      <c r="I26" s="741"/>
      <c r="J26" s="742"/>
      <c r="K26" s="689" t="s">
        <v>3</v>
      </c>
      <c r="L26" s="689"/>
      <c r="M26" s="689"/>
    </row>
    <row r="27" spans="1:14">
      <c r="A27" s="695"/>
      <c r="B27" s="687"/>
      <c r="C27" s="689"/>
      <c r="D27" s="737"/>
      <c r="E27" s="737"/>
      <c r="F27" s="739"/>
      <c r="G27" s="738"/>
      <c r="H27" s="737"/>
      <c r="I27" s="728"/>
      <c r="J27" s="689"/>
      <c r="K27" s="689" t="s">
        <v>3</v>
      </c>
      <c r="L27" s="689"/>
      <c r="M27" s="689"/>
    </row>
    <row r="28" spans="1:14" ht="16.5" customHeight="1">
      <c r="B28" s="687"/>
      <c r="C28" s="687"/>
      <c r="D28" s="688"/>
      <c r="E28" s="687"/>
      <c r="F28" s="687"/>
      <c r="G28" s="687"/>
      <c r="H28" s="689"/>
      <c r="I28" s="689"/>
      <c r="K28" s="690" t="str">
        <f>K1</f>
        <v>Attachment H -11A</v>
      </c>
      <c r="L28" s="689"/>
      <c r="M28" s="689"/>
    </row>
    <row r="29" spans="1:14" ht="16.5" customHeight="1">
      <c r="B29" s="687"/>
      <c r="C29" s="687"/>
      <c r="D29" s="688"/>
      <c r="E29" s="687"/>
      <c r="F29" s="687"/>
      <c r="G29" s="687"/>
      <c r="H29" s="689"/>
      <c r="I29" s="689"/>
      <c r="J29" s="689"/>
      <c r="K29" s="690" t="s">
        <v>18</v>
      </c>
      <c r="L29" s="689"/>
      <c r="M29" s="689"/>
    </row>
    <row r="30" spans="1:14" ht="16.5" customHeight="1">
      <c r="B30" s="687"/>
      <c r="C30" s="687"/>
      <c r="D30" s="688"/>
      <c r="E30" s="687"/>
      <c r="F30" s="687"/>
      <c r="G30" s="687"/>
      <c r="H30" s="689"/>
      <c r="I30" s="689"/>
      <c r="J30" s="689"/>
      <c r="K30" s="690"/>
      <c r="L30" s="689"/>
      <c r="M30" s="689"/>
    </row>
    <row r="31" spans="1:14">
      <c r="B31" s="687" t="s">
        <v>1</v>
      </c>
      <c r="C31" s="687"/>
      <c r="D31" s="688" t="s">
        <v>2</v>
      </c>
      <c r="E31" s="687"/>
      <c r="F31" s="687"/>
      <c r="G31" s="687"/>
      <c r="H31" s="719"/>
      <c r="I31" s="726"/>
      <c r="J31" s="719"/>
      <c r="K31" s="743" t="str">
        <f>K4</f>
        <v>For the 12 months ended 12/31/2022</v>
      </c>
      <c r="L31" s="689"/>
      <c r="M31" s="689"/>
    </row>
    <row r="32" spans="1:14">
      <c r="B32" s="687"/>
      <c r="C32" s="694" t="s">
        <v>3</v>
      </c>
      <c r="D32" s="694" t="s">
        <v>4</v>
      </c>
      <c r="E32" s="694"/>
      <c r="F32" s="694"/>
      <c r="G32" s="694"/>
      <c r="H32" s="689"/>
      <c r="I32" s="689"/>
      <c r="J32" s="689"/>
      <c r="K32" s="689"/>
      <c r="L32" s="689"/>
      <c r="M32" s="689"/>
    </row>
    <row r="33" spans="1:13">
      <c r="B33" s="687"/>
      <c r="C33" s="694"/>
      <c r="D33" s="694"/>
      <c r="E33" s="694"/>
      <c r="F33" s="694"/>
      <c r="G33" s="694"/>
      <c r="H33" s="689"/>
      <c r="I33" s="689"/>
      <c r="J33" s="689"/>
      <c r="K33" s="689"/>
      <c r="L33" s="689"/>
      <c r="M33" s="689"/>
    </row>
    <row r="34" spans="1:13">
      <c r="B34" s="687"/>
      <c r="C34" s="689"/>
      <c r="D34" s="694" t="str">
        <f>D7</f>
        <v>MON POWER</v>
      </c>
      <c r="E34" s="694"/>
      <c r="F34" s="694"/>
      <c r="G34" s="694"/>
      <c r="H34" s="694"/>
      <c r="I34" s="694"/>
      <c r="J34" s="694"/>
      <c r="K34" s="694"/>
      <c r="L34" s="694"/>
      <c r="M34" s="694"/>
    </row>
    <row r="35" spans="1:13">
      <c r="B35" s="695" t="s">
        <v>19</v>
      </c>
      <c r="C35" s="695" t="s">
        <v>20</v>
      </c>
      <c r="D35" s="695" t="s">
        <v>21</v>
      </c>
      <c r="E35" s="694" t="s">
        <v>3</v>
      </c>
      <c r="F35" s="694"/>
      <c r="G35" s="697" t="s">
        <v>22</v>
      </c>
      <c r="H35" s="694"/>
      <c r="I35" s="698" t="s">
        <v>23</v>
      </c>
      <c r="J35" s="694"/>
      <c r="K35" s="744"/>
      <c r="L35" s="695"/>
      <c r="M35" s="694"/>
    </row>
    <row r="36" spans="1:13">
      <c r="B36" s="687"/>
      <c r="C36" s="745"/>
      <c r="D36" s="694"/>
      <c r="E36" s="694"/>
      <c r="F36" s="694"/>
      <c r="G36" s="695"/>
      <c r="H36" s="694"/>
      <c r="I36" s="746" t="s">
        <v>25</v>
      </c>
      <c r="J36" s="694"/>
      <c r="K36" s="747"/>
      <c r="L36" s="695"/>
      <c r="M36" s="695"/>
    </row>
    <row r="37" spans="1:13">
      <c r="A37" s="695" t="s">
        <v>5</v>
      </c>
      <c r="B37" s="687"/>
      <c r="C37" s="745" t="s">
        <v>323</v>
      </c>
      <c r="D37" s="746" t="s">
        <v>26</v>
      </c>
      <c r="E37" s="748"/>
      <c r="F37" s="746" t="s">
        <v>27</v>
      </c>
      <c r="H37" s="748"/>
      <c r="I37" s="695" t="s">
        <v>28</v>
      </c>
      <c r="J37" s="694"/>
      <c r="K37" s="749"/>
      <c r="L37" s="695"/>
      <c r="M37" s="695"/>
    </row>
    <row r="38" spans="1:13" ht="16.2" thickBot="1">
      <c r="A38" s="700" t="s">
        <v>7</v>
      </c>
      <c r="B38" s="956" t="s">
        <v>29</v>
      </c>
      <c r="C38" s="694"/>
      <c r="D38" s="694"/>
      <c r="E38" s="694"/>
      <c r="F38" s="694"/>
      <c r="G38" s="694"/>
      <c r="H38" s="694"/>
      <c r="I38" s="694"/>
      <c r="J38" s="694"/>
      <c r="K38" s="751"/>
      <c r="L38" s="694"/>
      <c r="M38" s="694"/>
    </row>
    <row r="39" spans="1:13">
      <c r="A39" s="695"/>
      <c r="B39" s="687" t="s">
        <v>30</v>
      </c>
      <c r="C39" s="694"/>
      <c r="D39" s="694"/>
      <c r="E39" s="694"/>
      <c r="F39" s="694"/>
      <c r="G39" s="694"/>
      <c r="H39" s="694"/>
      <c r="I39" s="694"/>
      <c r="J39" s="694"/>
      <c r="K39" s="752"/>
      <c r="L39" s="694"/>
      <c r="M39" s="694"/>
    </row>
    <row r="40" spans="1:13">
      <c r="A40" s="695">
        <v>1</v>
      </c>
      <c r="B40" s="687" t="s">
        <v>31</v>
      </c>
      <c r="C40" s="694" t="s">
        <v>515</v>
      </c>
      <c r="D40" s="714">
        <f>'Attachment 3 - Gross Plant'!E22</f>
        <v>3099318395.1726751</v>
      </c>
      <c r="E40" s="694"/>
      <c r="F40" s="694" t="s">
        <v>32</v>
      </c>
      <c r="G40" s="753" t="s">
        <v>3</v>
      </c>
      <c r="H40" s="694"/>
      <c r="I40" s="694" t="s">
        <v>3</v>
      </c>
      <c r="J40" s="694"/>
      <c r="K40" s="740"/>
      <c r="L40" s="686"/>
      <c r="M40" s="694"/>
    </row>
    <row r="41" spans="1:13">
      <c r="A41" s="695">
        <v>2</v>
      </c>
      <c r="B41" s="687" t="s">
        <v>33</v>
      </c>
      <c r="C41" s="917" t="s">
        <v>516</v>
      </c>
      <c r="D41" s="714">
        <f>'Attachment 3 - Gross Plant'!G22</f>
        <v>632680555.31481194</v>
      </c>
      <c r="E41" s="694"/>
      <c r="F41" s="694" t="s">
        <v>13</v>
      </c>
      <c r="G41" s="753">
        <f>I201</f>
        <v>0.9616323328319748</v>
      </c>
      <c r="H41" s="694"/>
      <c r="I41" s="754">
        <f>+G41*D41</f>
        <v>608406078.34481192</v>
      </c>
      <c r="J41" s="694"/>
      <c r="K41" s="740"/>
      <c r="L41" s="686"/>
      <c r="M41" s="694"/>
    </row>
    <row r="42" spans="1:13">
      <c r="A42" s="695">
        <v>3</v>
      </c>
      <c r="B42" s="687" t="s">
        <v>34</v>
      </c>
      <c r="C42" s="917" t="s">
        <v>893</v>
      </c>
      <c r="D42" s="714">
        <f>'Attachment 3 - Gross Plant'!H22</f>
        <v>2226284078.4013882</v>
      </c>
      <c r="E42" s="694"/>
      <c r="F42" s="694" t="s">
        <v>32</v>
      </c>
      <c r="G42" s="753" t="s">
        <v>3</v>
      </c>
      <c r="H42" s="694"/>
      <c r="I42" s="754" t="s">
        <v>3</v>
      </c>
      <c r="J42" s="694"/>
      <c r="K42" s="740"/>
      <c r="L42" s="686"/>
      <c r="M42" s="694"/>
    </row>
    <row r="43" spans="1:13" s="1167" customFormat="1">
      <c r="A43" s="709">
        <v>4</v>
      </c>
      <c r="B43" s="916" t="s">
        <v>35</v>
      </c>
      <c r="C43" s="909" t="s">
        <v>894</v>
      </c>
      <c r="D43" s="714">
        <f>'Attachment 3 - Gross Plant'!I22+'Attachment 3 - Gross Plant'!J22</f>
        <v>162275827.04760066</v>
      </c>
      <c r="E43" s="693"/>
      <c r="F43" s="909" t="s">
        <v>36</v>
      </c>
      <c r="G43" s="1182">
        <f>I218</f>
        <v>4.071049245958664E-2</v>
      </c>
      <c r="H43" s="693"/>
      <c r="I43" s="714">
        <f>+G43*D43</f>
        <v>6606328.8333945321</v>
      </c>
      <c r="J43" s="693"/>
      <c r="K43" s="740"/>
      <c r="M43" s="709"/>
    </row>
    <row r="44" spans="1:13" ht="16.2" thickBot="1">
      <c r="A44" s="695">
        <v>5</v>
      </c>
      <c r="B44" s="687" t="s">
        <v>37</v>
      </c>
      <c r="C44" s="917" t="s">
        <v>895</v>
      </c>
      <c r="D44" s="755">
        <f>'Attachment 3 - Gross Plant'!K22</f>
        <v>0</v>
      </c>
      <c r="E44" s="694"/>
      <c r="F44" s="694" t="s">
        <v>38</v>
      </c>
      <c r="G44" s="753">
        <f>K223</f>
        <v>4.071049245958664E-2</v>
      </c>
      <c r="H44" s="694"/>
      <c r="I44" s="756">
        <f>+G44*D44</f>
        <v>0</v>
      </c>
      <c r="J44" s="694"/>
      <c r="K44" s="740"/>
      <c r="L44" s="686"/>
      <c r="M44" s="695"/>
    </row>
    <row r="45" spans="1:13">
      <c r="A45" s="695">
        <v>6</v>
      </c>
      <c r="B45" s="687" t="s">
        <v>973</v>
      </c>
      <c r="C45" s="694"/>
      <c r="D45" s="754">
        <f>SUM(D40:D44)</f>
        <v>6120558855.9364758</v>
      </c>
      <c r="E45" s="694"/>
      <c r="F45" s="694" t="s">
        <v>39</v>
      </c>
      <c r="G45" s="1269">
        <f>IF(I45&gt;0,I45/D45,0)</f>
        <v>0.10048304765204427</v>
      </c>
      <c r="H45" s="694"/>
      <c r="I45" s="754">
        <f>SUM(I40:I44)</f>
        <v>615012407.17820644</v>
      </c>
      <c r="J45" s="694"/>
      <c r="K45" s="758"/>
      <c r="L45" s="759"/>
      <c r="M45" s="694"/>
    </row>
    <row r="46" spans="1:13">
      <c r="B46" s="687"/>
      <c r="C46" s="694"/>
      <c r="D46" s="754"/>
      <c r="E46" s="694"/>
      <c r="F46" s="694"/>
      <c r="G46" s="760"/>
      <c r="H46" s="694"/>
      <c r="I46" s="754"/>
      <c r="J46" s="694"/>
      <c r="K46" s="758"/>
      <c r="L46" s="694"/>
      <c r="M46" s="694"/>
    </row>
    <row r="47" spans="1:13">
      <c r="B47" s="687" t="s">
        <v>40</v>
      </c>
      <c r="C47" s="694"/>
      <c r="D47" s="754"/>
      <c r="E47" s="694"/>
      <c r="F47" s="694"/>
      <c r="G47" s="694"/>
      <c r="H47" s="694"/>
      <c r="I47" s="754"/>
      <c r="J47" s="694"/>
      <c r="K47" s="740"/>
      <c r="L47" s="686"/>
      <c r="M47" s="694"/>
    </row>
    <row r="48" spans="1:13">
      <c r="A48" s="695">
        <v>7</v>
      </c>
      <c r="B48" s="687" t="str">
        <f>+B40</f>
        <v xml:space="preserve">  Production</v>
      </c>
      <c r="C48" s="694" t="s">
        <v>517</v>
      </c>
      <c r="D48" s="714">
        <f>'Attachment 4 - Accum Depr'!E22</f>
        <v>1367159504.3437896</v>
      </c>
      <c r="E48" s="694"/>
      <c r="F48" s="694" t="str">
        <f>+F40</f>
        <v>NA</v>
      </c>
      <c r="G48" s="753" t="str">
        <f>+G40</f>
        <v xml:space="preserve"> </v>
      </c>
      <c r="H48" s="694"/>
      <c r="I48" s="754" t="s">
        <v>3</v>
      </c>
      <c r="J48" s="694"/>
      <c r="K48" s="740"/>
      <c r="L48" s="686"/>
      <c r="M48" s="694"/>
    </row>
    <row r="49" spans="1:13">
      <c r="A49" s="695">
        <v>8</v>
      </c>
      <c r="B49" s="687" t="str">
        <f>+B41</f>
        <v xml:space="preserve">  Transmission</v>
      </c>
      <c r="C49" s="917" t="s">
        <v>518</v>
      </c>
      <c r="D49" s="714">
        <f>'Attachment 4 - Accum Depr'!G22</f>
        <v>214136641.57121766</v>
      </c>
      <c r="E49" s="694"/>
      <c r="F49" s="694" t="str">
        <f>+F41</f>
        <v>TP</v>
      </c>
      <c r="G49" s="753">
        <f>I201</f>
        <v>0.9616323328319748</v>
      </c>
      <c r="H49" s="694"/>
      <c r="I49" s="754">
        <f>+G49*D49</f>
        <v>205920718.17893445</v>
      </c>
      <c r="J49" s="694"/>
      <c r="K49" s="740"/>
      <c r="L49" s="694"/>
      <c r="M49" s="694"/>
    </row>
    <row r="50" spans="1:13">
      <c r="A50" s="695">
        <v>9</v>
      </c>
      <c r="B50" s="687" t="str">
        <f>+B42</f>
        <v xml:space="preserve">  Distribution</v>
      </c>
      <c r="C50" s="917" t="s">
        <v>896</v>
      </c>
      <c r="D50" s="714">
        <f>'Attachment 4 - Accum Depr'!H22</f>
        <v>680506918.76525486</v>
      </c>
      <c r="E50" s="694"/>
      <c r="F50" s="694" t="str">
        <f>+F42</f>
        <v>NA</v>
      </c>
      <c r="G50" s="753" t="str">
        <f>+G42</f>
        <v xml:space="preserve"> </v>
      </c>
      <c r="H50" s="694"/>
      <c r="I50" s="754" t="s">
        <v>3</v>
      </c>
      <c r="J50" s="694"/>
      <c r="K50" s="740"/>
      <c r="L50" s="694"/>
      <c r="M50" s="694"/>
    </row>
    <row r="51" spans="1:13" s="1167" customFormat="1">
      <c r="A51" s="709">
        <v>10</v>
      </c>
      <c r="B51" s="710" t="str">
        <f>+B43</f>
        <v xml:space="preserve">  General &amp; Intangible</v>
      </c>
      <c r="C51" s="909" t="s">
        <v>897</v>
      </c>
      <c r="D51" s="714">
        <f>'Attachment 4 - Accum Depr'!I22+'Attachment 4 - Accum Depr'!J22</f>
        <v>87381969.806999475</v>
      </c>
      <c r="E51" s="693"/>
      <c r="F51" s="909" t="s">
        <v>36</v>
      </c>
      <c r="G51" s="1182">
        <f>I218</f>
        <v>4.071049245958664E-2</v>
      </c>
      <c r="H51" s="693"/>
      <c r="I51" s="714">
        <f>+G51*D51</f>
        <v>3557363.0229316796</v>
      </c>
      <c r="J51" s="693"/>
      <c r="K51" s="740"/>
      <c r="M51" s="709"/>
    </row>
    <row r="52" spans="1:13" ht="16.2" thickBot="1">
      <c r="A52" s="695">
        <v>11</v>
      </c>
      <c r="B52" s="687" t="str">
        <f>+B44</f>
        <v xml:space="preserve">  Common</v>
      </c>
      <c r="C52" s="917" t="s">
        <v>898</v>
      </c>
      <c r="D52" s="755">
        <f>'Attachment 4 - Accum Depr'!K22</f>
        <v>0</v>
      </c>
      <c r="E52" s="694"/>
      <c r="F52" s="694" t="str">
        <f>+F44</f>
        <v>CE</v>
      </c>
      <c r="G52" s="753">
        <f>K223</f>
        <v>4.071049245958664E-2</v>
      </c>
      <c r="H52" s="694"/>
      <c r="I52" s="756">
        <f>+G52*D52</f>
        <v>0</v>
      </c>
      <c r="J52" s="694"/>
      <c r="K52" s="740"/>
      <c r="L52" s="694"/>
      <c r="M52" s="695"/>
    </row>
    <row r="53" spans="1:13">
      <c r="A53" s="695">
        <v>12</v>
      </c>
      <c r="B53" s="956" t="s">
        <v>1173</v>
      </c>
      <c r="C53" s="694"/>
      <c r="D53" s="754">
        <f>SUM(D48:D52)</f>
        <v>2349185034.4872618</v>
      </c>
      <c r="E53" s="694"/>
      <c r="F53" s="694"/>
      <c r="G53" s="694"/>
      <c r="H53" s="694"/>
      <c r="I53" s="754">
        <f>SUM(I48:I52)</f>
        <v>209478081.20186612</v>
      </c>
      <c r="J53" s="694"/>
      <c r="K53" s="740"/>
      <c r="L53" s="761"/>
      <c r="M53" s="694"/>
    </row>
    <row r="54" spans="1:13">
      <c r="A54" s="695"/>
      <c r="C54" s="694" t="s">
        <v>3</v>
      </c>
      <c r="E54" s="694"/>
      <c r="F54" s="694"/>
      <c r="G54" s="757"/>
      <c r="H54" s="694"/>
      <c r="I54" s="728"/>
      <c r="J54" s="694"/>
      <c r="K54" s="758"/>
      <c r="L54" s="694"/>
      <c r="M54" s="694"/>
    </row>
    <row r="55" spans="1:13">
      <c r="A55" s="695"/>
      <c r="B55" s="687" t="s">
        <v>43</v>
      </c>
      <c r="C55" s="694"/>
      <c r="D55" s="694"/>
      <c r="E55" s="694"/>
      <c r="F55" s="694"/>
      <c r="G55" s="694"/>
      <c r="H55" s="694"/>
      <c r="I55" s="728"/>
      <c r="J55" s="694"/>
      <c r="K55" s="740"/>
      <c r="L55" s="694"/>
      <c r="M55" s="694"/>
    </row>
    <row r="56" spans="1:13">
      <c r="A56" s="695">
        <v>13</v>
      </c>
      <c r="B56" s="687" t="str">
        <f>+B48</f>
        <v xml:space="preserve">  Production</v>
      </c>
      <c r="C56" s="694" t="s">
        <v>974</v>
      </c>
      <c r="D56" s="754">
        <f>D40-D48</f>
        <v>1732158890.8288856</v>
      </c>
      <c r="E56" s="694"/>
      <c r="F56" s="694"/>
      <c r="G56" s="757"/>
      <c r="H56" s="694"/>
      <c r="I56" s="754" t="s">
        <v>3</v>
      </c>
      <c r="J56" s="694"/>
      <c r="K56" s="758"/>
      <c r="L56" s="694"/>
      <c r="M56" s="694"/>
    </row>
    <row r="57" spans="1:13">
      <c r="A57" s="695">
        <v>14</v>
      </c>
      <c r="B57" s="687" t="str">
        <f>+B49</f>
        <v xml:space="preserve">  Transmission</v>
      </c>
      <c r="C57" s="694" t="s">
        <v>975</v>
      </c>
      <c r="D57" s="754">
        <f>D41-D49</f>
        <v>418543913.74359429</v>
      </c>
      <c r="E57" s="694"/>
      <c r="F57" s="694"/>
      <c r="G57" s="753"/>
      <c r="H57" s="694"/>
      <c r="I57" s="754">
        <f>I41-I49</f>
        <v>402485360.16587746</v>
      </c>
      <c r="J57" s="694"/>
      <c r="K57" s="740"/>
      <c r="L57" s="694"/>
      <c r="M57" s="694"/>
    </row>
    <row r="58" spans="1:13">
      <c r="A58" s="695">
        <v>15</v>
      </c>
      <c r="B58" s="687" t="str">
        <f>+B50</f>
        <v xml:space="preserve">  Distribution</v>
      </c>
      <c r="C58" s="694" t="s">
        <v>976</v>
      </c>
      <c r="D58" s="754">
        <f>D42-D50</f>
        <v>1545777159.6361332</v>
      </c>
      <c r="E58" s="694"/>
      <c r="F58" s="694"/>
      <c r="G58" s="757"/>
      <c r="H58" s="694"/>
      <c r="I58" s="754" t="s">
        <v>3</v>
      </c>
      <c r="J58" s="694"/>
      <c r="K58" s="762"/>
      <c r="L58" s="694"/>
      <c r="M58" s="694"/>
    </row>
    <row r="59" spans="1:13" s="1167" customFormat="1">
      <c r="A59" s="709">
        <v>16</v>
      </c>
      <c r="B59" s="710" t="str">
        <f>+B51</f>
        <v xml:space="preserve">  General &amp; Intangible</v>
      </c>
      <c r="C59" s="693" t="s">
        <v>977</v>
      </c>
      <c r="D59" s="714">
        <f>D43-D51</f>
        <v>74893857.240601182</v>
      </c>
      <c r="E59" s="693"/>
      <c r="F59" s="693"/>
      <c r="G59" s="760"/>
      <c r="H59" s="693"/>
      <c r="I59" s="714">
        <f>I43-I51</f>
        <v>3048965.8104628525</v>
      </c>
      <c r="J59" s="693"/>
      <c r="K59" s="760"/>
      <c r="L59" s="693"/>
      <c r="M59" s="709"/>
    </row>
    <row r="60" spans="1:13" ht="16.2" thickBot="1">
      <c r="A60" s="695">
        <v>17</v>
      </c>
      <c r="B60" s="687" t="str">
        <f>+B52</f>
        <v xml:space="preserve">  Common</v>
      </c>
      <c r="C60" s="694" t="s">
        <v>978</v>
      </c>
      <c r="D60" s="756">
        <f>D44-D52</f>
        <v>0</v>
      </c>
      <c r="E60" s="694"/>
      <c r="F60" s="694"/>
      <c r="G60" s="757"/>
      <c r="H60" s="694"/>
      <c r="I60" s="756">
        <f>I44-I52</f>
        <v>0</v>
      </c>
      <c r="J60" s="694"/>
      <c r="K60" s="757"/>
      <c r="L60" s="694"/>
      <c r="M60" s="695"/>
    </row>
    <row r="61" spans="1:13">
      <c r="A61" s="695">
        <v>18</v>
      </c>
      <c r="B61" s="687" t="s">
        <v>979</v>
      </c>
      <c r="C61" s="694"/>
      <c r="D61" s="754">
        <f>SUM(D56:D60)</f>
        <v>3771373821.449214</v>
      </c>
      <c r="E61" s="694"/>
      <c r="F61" s="693"/>
      <c r="G61" s="760"/>
      <c r="H61" s="694"/>
      <c r="I61" s="754">
        <f>SUM(I56:I60)</f>
        <v>405534325.97634029</v>
      </c>
      <c r="J61" s="694"/>
      <c r="K61" s="694"/>
      <c r="L61" s="723"/>
      <c r="M61" s="694"/>
    </row>
    <row r="62" spans="1:13">
      <c r="A62" s="695"/>
      <c r="C62" s="694"/>
      <c r="D62" s="754"/>
      <c r="E62" s="694"/>
      <c r="H62" s="694"/>
      <c r="I62" s="754"/>
      <c r="J62" s="694"/>
      <c r="K62" s="757"/>
      <c r="L62" s="694"/>
      <c r="M62" s="694"/>
    </row>
    <row r="63" spans="1:13">
      <c r="A63" s="695"/>
      <c r="B63" s="687" t="s">
        <v>586</v>
      </c>
      <c r="C63" s="694"/>
      <c r="D63" s="754"/>
      <c r="E63" s="694"/>
      <c r="F63" s="694"/>
      <c r="G63" s="694"/>
      <c r="H63" s="694"/>
      <c r="I63" s="754"/>
      <c r="J63" s="694"/>
      <c r="K63" s="694"/>
      <c r="L63" s="686"/>
      <c r="M63" s="694"/>
    </row>
    <row r="64" spans="1:13">
      <c r="A64" s="695">
        <v>19</v>
      </c>
      <c r="B64" s="687" t="s">
        <v>44</v>
      </c>
      <c r="C64" s="909" t="s">
        <v>727</v>
      </c>
      <c r="D64" s="714">
        <f>'Attachment 5 - ADIT Summary'!E10</f>
        <v>0</v>
      </c>
      <c r="E64" s="693"/>
      <c r="F64" s="693" t="str">
        <f>+F48</f>
        <v>NA</v>
      </c>
      <c r="G64" s="763"/>
      <c r="H64" s="694"/>
      <c r="I64" s="754"/>
      <c r="J64" s="694"/>
      <c r="K64" s="757"/>
      <c r="L64" s="764"/>
      <c r="M64" s="695"/>
    </row>
    <row r="65" spans="1:21">
      <c r="A65" s="695">
        <v>20</v>
      </c>
      <c r="B65" s="687" t="s">
        <v>45</v>
      </c>
      <c r="C65" s="909" t="s">
        <v>958</v>
      </c>
      <c r="D65" s="714">
        <f>'Attachment 5 - ADIT Summary'!F10</f>
        <v>-94720196.392624617</v>
      </c>
      <c r="E65" s="694"/>
      <c r="F65" s="694" t="s">
        <v>343</v>
      </c>
      <c r="G65" s="753">
        <v>1</v>
      </c>
      <c r="H65" s="694"/>
      <c r="I65" s="754">
        <f t="shared" ref="I65:I72" si="2">D65*G65</f>
        <v>-94720196.392624617</v>
      </c>
      <c r="J65" s="694"/>
      <c r="K65" s="757"/>
      <c r="L65" s="764"/>
      <c r="M65" s="695"/>
    </row>
    <row r="66" spans="1:21">
      <c r="A66" s="695">
        <v>21</v>
      </c>
      <c r="B66" s="687" t="s">
        <v>46</v>
      </c>
      <c r="C66" s="909" t="s">
        <v>728</v>
      </c>
      <c r="D66" s="765">
        <f>'Attachment 5 - ADIT Summary'!G10</f>
        <v>-5332900.578654157</v>
      </c>
      <c r="E66" s="694"/>
      <c r="F66" s="694" t="s">
        <v>343</v>
      </c>
      <c r="G66" s="753">
        <f>+G65</f>
        <v>1</v>
      </c>
      <c r="H66" s="694"/>
      <c r="I66" s="754">
        <f t="shared" si="2"/>
        <v>-5332900.578654157</v>
      </c>
      <c r="J66" s="694"/>
      <c r="K66" s="757"/>
      <c r="L66" s="764"/>
      <c r="M66" s="695"/>
    </row>
    <row r="67" spans="1:21">
      <c r="A67" s="695">
        <v>22</v>
      </c>
      <c r="B67" s="687" t="s">
        <v>47</v>
      </c>
      <c r="C67" s="909" t="s">
        <v>729</v>
      </c>
      <c r="D67" s="765">
        <f>'Attachment 5 - ADIT Summary'!H10</f>
        <v>10018320.676272471</v>
      </c>
      <c r="E67" s="694"/>
      <c r="F67" s="694" t="s">
        <v>343</v>
      </c>
      <c r="G67" s="753">
        <f>+G66</f>
        <v>1</v>
      </c>
      <c r="H67" s="694"/>
      <c r="I67" s="754">
        <f t="shared" si="2"/>
        <v>10018320.676272471</v>
      </c>
      <c r="J67" s="694"/>
      <c r="K67" s="757"/>
      <c r="L67" s="764"/>
      <c r="M67" s="695"/>
    </row>
    <row r="68" spans="1:21">
      <c r="A68" s="695">
        <v>23</v>
      </c>
      <c r="B68" s="686" t="s">
        <v>48</v>
      </c>
      <c r="C68" s="909" t="s">
        <v>730</v>
      </c>
      <c r="D68" s="765">
        <f>'Attachment 5 - ADIT Summary'!I10</f>
        <v>0</v>
      </c>
      <c r="E68" s="694"/>
      <c r="F68" s="694" t="s">
        <v>343</v>
      </c>
      <c r="G68" s="753">
        <f>G67</f>
        <v>1</v>
      </c>
      <c r="H68" s="694"/>
      <c r="I68" s="766">
        <f t="shared" si="2"/>
        <v>0</v>
      </c>
      <c r="J68" s="694"/>
      <c r="K68" s="757"/>
      <c r="L68" s="764"/>
      <c r="M68" s="695"/>
    </row>
    <row r="69" spans="1:21">
      <c r="A69" s="695">
        <v>24</v>
      </c>
      <c r="B69" s="710" t="s">
        <v>539</v>
      </c>
      <c r="C69" s="2" t="s">
        <v>697</v>
      </c>
      <c r="D69" s="765">
        <f>-'Attachment 14 - Other RB'!K20</f>
        <v>0</v>
      </c>
      <c r="E69" s="693"/>
      <c r="F69" s="693" t="s">
        <v>343</v>
      </c>
      <c r="G69" s="753">
        <f>G68</f>
        <v>1</v>
      </c>
      <c r="H69" s="694"/>
      <c r="I69" s="766">
        <f t="shared" si="2"/>
        <v>0</v>
      </c>
      <c r="J69" s="694"/>
      <c r="K69" s="757"/>
      <c r="L69" s="764"/>
      <c r="M69" s="695"/>
    </row>
    <row r="70" spans="1:21">
      <c r="A70" s="695">
        <v>25</v>
      </c>
      <c r="B70" s="710" t="s">
        <v>540</v>
      </c>
      <c r="C70" s="2" t="s">
        <v>698</v>
      </c>
      <c r="D70" s="906">
        <f>-'Attachment 14 - Other RB'!K28</f>
        <v>0</v>
      </c>
      <c r="E70" s="693"/>
      <c r="F70" s="693" t="s">
        <v>343</v>
      </c>
      <c r="G70" s="753">
        <f>G69</f>
        <v>1</v>
      </c>
      <c r="H70" s="694"/>
      <c r="I70" s="766">
        <f t="shared" si="2"/>
        <v>0</v>
      </c>
      <c r="J70" s="694"/>
      <c r="K70" s="757"/>
      <c r="L70" s="764"/>
      <c r="M70" s="695"/>
    </row>
    <row r="71" spans="1:21" s="1234" customFormat="1">
      <c r="A71" s="709">
        <v>26</v>
      </c>
      <c r="B71" s="1234" t="s">
        <v>324</v>
      </c>
      <c r="C71" s="2" t="s">
        <v>948</v>
      </c>
      <c r="D71" s="765">
        <f>'Attachment 17 - CWIP in RB'!AG14</f>
        <v>0</v>
      </c>
      <c r="E71" s="693"/>
      <c r="F71" s="693" t="s">
        <v>343</v>
      </c>
      <c r="G71" s="774">
        <f>G67</f>
        <v>1</v>
      </c>
      <c r="H71" s="693"/>
      <c r="I71" s="765">
        <f t="shared" si="2"/>
        <v>0</v>
      </c>
      <c r="J71" s="693"/>
      <c r="K71" s="760"/>
      <c r="L71" s="693"/>
      <c r="M71" s="709"/>
    </row>
    <row r="72" spans="1:21" s="1234" customFormat="1" ht="16.2" thickBot="1">
      <c r="A72" s="1236">
        <v>27</v>
      </c>
      <c r="B72" s="2" t="s">
        <v>880</v>
      </c>
      <c r="C72" s="2" t="s">
        <v>1035</v>
      </c>
      <c r="D72" s="755">
        <f>'Attachment 19 - Reg Asset'!AA26</f>
        <v>0</v>
      </c>
      <c r="E72" s="693"/>
      <c r="F72" s="909" t="s">
        <v>343</v>
      </c>
      <c r="G72" s="774">
        <v>1</v>
      </c>
      <c r="H72" s="693"/>
      <c r="I72" s="755">
        <f t="shared" si="2"/>
        <v>0</v>
      </c>
      <c r="J72" s="693"/>
      <c r="K72" s="760"/>
      <c r="L72" s="1113"/>
      <c r="M72" s="1113"/>
      <c r="N72" s="1113"/>
      <c r="O72" s="1113"/>
      <c r="P72" s="1113"/>
      <c r="Q72" s="1113"/>
      <c r="R72" s="1113"/>
      <c r="S72" s="1113"/>
      <c r="T72" s="1113"/>
      <c r="U72" s="1113"/>
    </row>
    <row r="73" spans="1:21">
      <c r="A73" s="1236">
        <v>28</v>
      </c>
      <c r="B73" s="916" t="s">
        <v>1174</v>
      </c>
      <c r="C73" s="694"/>
      <c r="D73" s="714">
        <f>SUM(D64:D72)</f>
        <v>-90034776.295006305</v>
      </c>
      <c r="E73" s="767"/>
      <c r="F73" s="767"/>
      <c r="G73" s="767"/>
      <c r="H73" s="767"/>
      <c r="I73" s="754">
        <f>SUM(I64:I72)</f>
        <v>-90034776.295006305</v>
      </c>
      <c r="J73" s="694"/>
      <c r="K73" s="694"/>
      <c r="L73" s="761"/>
      <c r="M73" s="694"/>
      <c r="N73" s="765"/>
    </row>
    <row r="74" spans="1:21">
      <c r="A74" s="709"/>
      <c r="C74" s="694"/>
      <c r="D74" s="754"/>
      <c r="E74" s="694"/>
      <c r="F74" s="694"/>
      <c r="G74" s="757"/>
      <c r="H74" s="694"/>
      <c r="I74" s="754"/>
      <c r="J74" s="694"/>
      <c r="K74" s="757"/>
      <c r="L74" s="694"/>
      <c r="M74" s="694"/>
    </row>
    <row r="75" spans="1:21">
      <c r="A75" s="1236">
        <v>29</v>
      </c>
      <c r="B75" s="916" t="s">
        <v>49</v>
      </c>
      <c r="C75" s="909" t="s">
        <v>701</v>
      </c>
      <c r="D75" s="907">
        <f>'Attachment 14 - Other RB'!E12</f>
        <v>0</v>
      </c>
      <c r="E75" s="694"/>
      <c r="F75" s="694" t="str">
        <f>+F49</f>
        <v>TP</v>
      </c>
      <c r="G75" s="753">
        <f>I201</f>
        <v>0.9616323328319748</v>
      </c>
      <c r="H75" s="694"/>
      <c r="I75" s="754">
        <f>+G75*D75</f>
        <v>0</v>
      </c>
      <c r="J75" s="694"/>
      <c r="K75" s="694"/>
      <c r="L75" s="694"/>
      <c r="M75" s="694"/>
    </row>
    <row r="76" spans="1:21">
      <c r="A76" s="1236"/>
      <c r="B76" s="916"/>
      <c r="C76" s="909"/>
      <c r="D76" s="918"/>
      <c r="E76" s="694"/>
      <c r="F76" s="694"/>
      <c r="G76" s="694"/>
      <c r="H76" s="694"/>
      <c r="I76" s="754"/>
      <c r="J76" s="694"/>
      <c r="K76" s="694"/>
      <c r="L76" s="694"/>
      <c r="M76" s="694"/>
    </row>
    <row r="77" spans="1:21">
      <c r="A77" s="1236">
        <v>30</v>
      </c>
      <c r="B77" s="916" t="s">
        <v>1175</v>
      </c>
      <c r="C77" s="909" t="s">
        <v>3</v>
      </c>
      <c r="D77" s="918"/>
      <c r="E77" s="694"/>
      <c r="F77" s="694"/>
      <c r="G77" s="694"/>
      <c r="H77" s="694"/>
      <c r="I77" s="728"/>
      <c r="J77" s="694"/>
      <c r="K77" s="694"/>
      <c r="L77" s="694"/>
      <c r="M77" s="694"/>
    </row>
    <row r="78" spans="1:21">
      <c r="A78" s="1236">
        <v>31</v>
      </c>
      <c r="B78" s="916" t="s">
        <v>50</v>
      </c>
      <c r="C78" s="919" t="s">
        <v>1037</v>
      </c>
      <c r="D78" s="907">
        <f>(D128-D127-2528624.11)/8</f>
        <v>7753577.129437034</v>
      </c>
      <c r="E78" s="694"/>
      <c r="F78" s="694"/>
      <c r="G78" s="757"/>
      <c r="H78" s="694"/>
      <c r="I78" s="754">
        <f>(I128-I127-102942)/8</f>
        <v>1890914.2338601274</v>
      </c>
      <c r="J78" s="689"/>
      <c r="K78" s="757"/>
      <c r="L78" s="768"/>
      <c r="M78" s="695"/>
    </row>
    <row r="79" spans="1:21">
      <c r="A79" s="1236">
        <v>32</v>
      </c>
      <c r="B79" s="916" t="s">
        <v>1176</v>
      </c>
      <c r="C79" s="909" t="s">
        <v>699</v>
      </c>
      <c r="D79" s="907">
        <f>'Attachment 14 - Other RB'!F12</f>
        <v>0</v>
      </c>
      <c r="E79" s="694"/>
      <c r="F79" s="694" t="s">
        <v>51</v>
      </c>
      <c r="G79" s="753">
        <f>I210</f>
        <v>0.95616614561488222</v>
      </c>
      <c r="H79" s="694"/>
      <c r="I79" s="754">
        <f>+G79*D79</f>
        <v>0</v>
      </c>
      <c r="J79" s="694" t="s">
        <v>3</v>
      </c>
      <c r="K79" s="757"/>
      <c r="L79" s="768"/>
      <c r="M79" s="695"/>
    </row>
    <row r="80" spans="1:21" ht="16.2" thickBot="1">
      <c r="A80" s="1236">
        <v>33</v>
      </c>
      <c r="B80" s="916" t="s">
        <v>52</v>
      </c>
      <c r="C80" s="909" t="s">
        <v>700</v>
      </c>
      <c r="D80" s="908">
        <f>'Attachment 14 - Other RB'!G12</f>
        <v>2702815.2700000005</v>
      </c>
      <c r="E80" s="694"/>
      <c r="F80" s="694" t="s">
        <v>53</v>
      </c>
      <c r="G80" s="753">
        <f>+G45</f>
        <v>0.10048304765204427</v>
      </c>
      <c r="H80" s="694"/>
      <c r="I80" s="755">
        <f>+G80*D80</f>
        <v>271587.11557008297</v>
      </c>
      <c r="J80" s="694"/>
      <c r="K80" s="757"/>
      <c r="L80" s="768"/>
      <c r="M80" s="695"/>
    </row>
    <row r="81" spans="1:13">
      <c r="A81" s="1236">
        <v>34</v>
      </c>
      <c r="B81" s="916" t="s">
        <v>1177</v>
      </c>
      <c r="C81" s="5"/>
      <c r="D81" s="907">
        <f>SUM(D78:D80)</f>
        <v>10456392.399437035</v>
      </c>
      <c r="E81" s="689"/>
      <c r="F81" s="689"/>
      <c r="G81" s="689"/>
      <c r="H81" s="689"/>
      <c r="I81" s="754">
        <f>SUM(I78:I80)</f>
        <v>2162501.3494302104</v>
      </c>
      <c r="J81" s="689"/>
      <c r="K81" s="689"/>
      <c r="L81" s="688"/>
      <c r="M81" s="694"/>
    </row>
    <row r="82" spans="1:13" ht="16.2" thickBot="1">
      <c r="A82" s="2"/>
      <c r="B82" s="2"/>
      <c r="C82" s="909"/>
      <c r="D82" s="908"/>
      <c r="E82" s="694"/>
      <c r="F82" s="694"/>
      <c r="G82" s="694"/>
      <c r="H82" s="694"/>
      <c r="I82" s="756"/>
      <c r="J82" s="694"/>
      <c r="K82" s="694"/>
      <c r="L82" s="694"/>
      <c r="M82" s="694"/>
    </row>
    <row r="83" spans="1:13" ht="16.2" thickBot="1">
      <c r="A83" s="1236">
        <v>35</v>
      </c>
      <c r="B83" s="916" t="s">
        <v>1178</v>
      </c>
      <c r="C83" s="909"/>
      <c r="D83" s="920">
        <f>+D81+D75+D73+D61</f>
        <v>3691795437.5536447</v>
      </c>
      <c r="E83" s="694"/>
      <c r="F83" s="694"/>
      <c r="G83" s="757"/>
      <c r="H83" s="694"/>
      <c r="I83" s="769">
        <f>+I81+I75+I73+I61</f>
        <v>317662051.03076422</v>
      </c>
      <c r="J83" s="694"/>
      <c r="K83" s="757"/>
      <c r="L83" s="694"/>
      <c r="M83" s="694"/>
    </row>
    <row r="84" spans="1:13" ht="16.2" thickTop="1">
      <c r="A84" s="695"/>
      <c r="B84" s="687"/>
      <c r="C84" s="694"/>
      <c r="D84" s="741"/>
      <c r="E84" s="694"/>
      <c r="F84" s="694"/>
      <c r="G84" s="757"/>
      <c r="H84" s="694"/>
      <c r="I84" s="770"/>
      <c r="J84" s="694"/>
      <c r="K84" s="757"/>
      <c r="L84" s="694"/>
      <c r="M84" s="694"/>
    </row>
    <row r="85" spans="1:13">
      <c r="A85" s="695"/>
      <c r="B85" s="687"/>
      <c r="C85" s="693"/>
      <c r="D85" s="741"/>
      <c r="E85" s="694"/>
      <c r="F85" s="694"/>
      <c r="G85" s="757"/>
      <c r="H85" s="694"/>
      <c r="I85" s="770"/>
      <c r="J85" s="694"/>
      <c r="K85" s="757"/>
      <c r="L85" s="694"/>
      <c r="M85" s="694"/>
    </row>
    <row r="86" spans="1:13">
      <c r="A86" s="695"/>
      <c r="B86" s="687"/>
      <c r="C86" s="694"/>
      <c r="D86" s="741"/>
      <c r="E86" s="694"/>
      <c r="F86" s="694"/>
      <c r="G86" s="757"/>
      <c r="H86" s="694"/>
      <c r="I86" s="770"/>
      <c r="J86" s="694"/>
      <c r="K86" s="757"/>
      <c r="L86" s="694"/>
      <c r="M86" s="694"/>
    </row>
    <row r="87" spans="1:13">
      <c r="A87" s="695"/>
      <c r="B87" s="687"/>
      <c r="C87" s="694"/>
      <c r="D87" s="770"/>
      <c r="E87" s="694"/>
      <c r="F87" s="694"/>
      <c r="G87" s="757"/>
      <c r="H87" s="694"/>
      <c r="I87" s="770"/>
      <c r="J87" s="694"/>
      <c r="K87" s="757"/>
      <c r="L87" s="694"/>
      <c r="M87" s="694"/>
    </row>
    <row r="88" spans="1:13">
      <c r="A88" s="695"/>
      <c r="B88" s="687"/>
      <c r="C88" s="694"/>
      <c r="D88" s="770"/>
      <c r="E88" s="694"/>
      <c r="F88" s="694"/>
      <c r="G88" s="757"/>
      <c r="H88" s="694"/>
      <c r="I88" s="770"/>
      <c r="J88" s="694"/>
      <c r="K88" s="757"/>
      <c r="L88" s="694"/>
      <c r="M88" s="694"/>
    </row>
    <row r="89" spans="1:13">
      <c r="A89" s="695"/>
      <c r="B89" s="687"/>
      <c r="C89" s="694"/>
      <c r="D89" s="770"/>
      <c r="E89" s="694"/>
      <c r="F89" s="694"/>
      <c r="G89" s="757"/>
      <c r="H89" s="694"/>
      <c r="I89" s="770"/>
      <c r="J89" s="694"/>
      <c r="K89" s="757"/>
      <c r="L89" s="694"/>
      <c r="M89" s="694"/>
    </row>
    <row r="90" spans="1:13">
      <c r="A90" s="695"/>
      <c r="B90" s="687"/>
      <c r="C90" s="694"/>
      <c r="D90" s="770"/>
      <c r="E90" s="694"/>
      <c r="F90" s="694"/>
      <c r="G90" s="757"/>
      <c r="H90" s="694"/>
      <c r="I90" s="770"/>
      <c r="J90" s="694"/>
      <c r="K90" s="757"/>
      <c r="L90" s="694"/>
      <c r="M90" s="694"/>
    </row>
    <row r="91" spans="1:13">
      <c r="A91" s="695"/>
      <c r="B91" s="687"/>
      <c r="C91" s="694"/>
      <c r="D91" s="770"/>
      <c r="E91" s="694"/>
      <c r="F91" s="694"/>
      <c r="G91" s="757"/>
      <c r="H91" s="694"/>
      <c r="I91" s="770"/>
      <c r="J91" s="694"/>
      <c r="K91" s="757"/>
      <c r="L91" s="694"/>
      <c r="M91" s="694"/>
    </row>
    <row r="92" spans="1:13">
      <c r="A92" s="695"/>
      <c r="B92" s="687"/>
      <c r="C92" s="694"/>
      <c r="D92" s="770"/>
      <c r="E92" s="694"/>
      <c r="F92" s="694"/>
      <c r="G92" s="757"/>
      <c r="H92" s="694"/>
      <c r="I92" s="770"/>
      <c r="J92" s="694"/>
      <c r="K92" s="757"/>
      <c r="L92" s="694"/>
      <c r="M92" s="694"/>
    </row>
    <row r="93" spans="1:13">
      <c r="A93" s="695"/>
      <c r="B93" s="687"/>
      <c r="C93" s="694"/>
      <c r="D93" s="770"/>
      <c r="E93" s="694"/>
      <c r="F93" s="694"/>
      <c r="G93" s="757"/>
      <c r="H93" s="694"/>
      <c r="I93" s="770"/>
      <c r="J93" s="694"/>
      <c r="K93" s="757"/>
      <c r="L93" s="694"/>
      <c r="M93" s="694"/>
    </row>
    <row r="94" spans="1:13">
      <c r="A94" s="695"/>
      <c r="B94" s="687"/>
      <c r="C94" s="694"/>
      <c r="D94" s="770"/>
      <c r="E94" s="694"/>
      <c r="F94" s="694"/>
      <c r="G94" s="757"/>
      <c r="H94" s="694"/>
      <c r="I94" s="770"/>
      <c r="J94" s="694"/>
      <c r="K94" s="757"/>
      <c r="L94" s="694"/>
      <c r="M94" s="694"/>
    </row>
    <row r="95" spans="1:13">
      <c r="A95" s="695"/>
      <c r="B95" s="687"/>
      <c r="C95" s="694"/>
      <c r="D95" s="770"/>
      <c r="E95" s="694"/>
      <c r="F95" s="694"/>
      <c r="G95" s="757"/>
      <c r="H95" s="694"/>
      <c r="I95" s="770"/>
      <c r="J95" s="694"/>
      <c r="K95" s="757"/>
      <c r="L95" s="694"/>
      <c r="M95" s="694"/>
    </row>
    <row r="96" spans="1:13">
      <c r="A96" s="695"/>
      <c r="B96" s="687"/>
      <c r="C96" s="694"/>
      <c r="D96" s="770"/>
      <c r="E96" s="694"/>
      <c r="F96" s="694"/>
      <c r="G96" s="757"/>
      <c r="H96" s="694"/>
      <c r="I96" s="770"/>
      <c r="J96" s="694"/>
      <c r="K96" s="757"/>
      <c r="L96" s="694"/>
      <c r="M96" s="694"/>
    </row>
    <row r="97" spans="1:13">
      <c r="A97" s="695"/>
      <c r="B97" s="687"/>
      <c r="C97" s="694"/>
      <c r="D97" s="770"/>
      <c r="E97" s="694"/>
      <c r="F97" s="694"/>
      <c r="G97" s="757"/>
      <c r="H97" s="694"/>
      <c r="I97" s="770"/>
      <c r="J97" s="694"/>
      <c r="K97" s="757"/>
      <c r="L97" s="694"/>
      <c r="M97" s="694"/>
    </row>
    <row r="98" spans="1:13">
      <c r="A98" s="771"/>
      <c r="B98" s="687"/>
      <c r="C98" s="694"/>
      <c r="D98" s="770"/>
      <c r="E98" s="694"/>
      <c r="F98" s="694"/>
      <c r="G98" s="757"/>
      <c r="H98" s="694"/>
      <c r="I98" s="770"/>
      <c r="J98" s="693"/>
      <c r="K98" s="772"/>
      <c r="L98" s="686"/>
    </row>
    <row r="99" spans="1:13">
      <c r="A99" s="771"/>
      <c r="B99" s="710"/>
      <c r="C99" s="694"/>
      <c r="D99" s="770"/>
      <c r="E99" s="694"/>
      <c r="F99" s="694"/>
      <c r="G99" s="757"/>
      <c r="H99" s="694"/>
      <c r="I99" s="770"/>
      <c r="J99" s="694"/>
      <c r="K99" s="772"/>
      <c r="L99" s="686"/>
    </row>
    <row r="100" spans="1:13">
      <c r="B100" s="687"/>
      <c r="C100" s="687"/>
      <c r="D100" s="688"/>
      <c r="E100" s="687"/>
      <c r="F100" s="687"/>
      <c r="G100" s="687"/>
      <c r="H100" s="689"/>
      <c r="I100" s="695"/>
      <c r="J100" s="695"/>
      <c r="K100" s="690"/>
      <c r="L100" s="689"/>
      <c r="M100" s="689"/>
    </row>
    <row r="101" spans="1:13">
      <c r="B101" s="687"/>
      <c r="C101" s="687"/>
      <c r="D101" s="688"/>
      <c r="E101" s="687"/>
      <c r="F101" s="687"/>
      <c r="G101" s="687"/>
      <c r="H101" s="689"/>
      <c r="I101" s="690"/>
      <c r="J101" s="690"/>
      <c r="K101" s="690"/>
      <c r="L101" s="689"/>
      <c r="M101" s="689"/>
    </row>
    <row r="102" spans="1:13" ht="16.5" customHeight="1">
      <c r="B102" s="687"/>
      <c r="C102" s="687"/>
      <c r="D102" s="688"/>
      <c r="E102" s="687"/>
      <c r="F102" s="687"/>
      <c r="G102" s="687"/>
      <c r="H102" s="689"/>
      <c r="I102" s="689"/>
      <c r="K102" s="690" t="str">
        <f>K28</f>
        <v>Attachment H -11A</v>
      </c>
      <c r="L102" s="689"/>
      <c r="M102" s="689"/>
    </row>
    <row r="103" spans="1:13" ht="16.5" customHeight="1">
      <c r="B103" s="687"/>
      <c r="C103" s="687"/>
      <c r="D103" s="688"/>
      <c r="E103" s="687"/>
      <c r="F103" s="687"/>
      <c r="G103" s="687"/>
      <c r="H103" s="689"/>
      <c r="I103" s="689"/>
      <c r="J103" s="689"/>
      <c r="K103" s="690" t="s">
        <v>143</v>
      </c>
      <c r="L103" s="689"/>
      <c r="M103" s="689"/>
    </row>
    <row r="104" spans="1:13" ht="16.5" customHeight="1">
      <c r="B104" s="687"/>
      <c r="C104" s="687"/>
      <c r="D104" s="688"/>
      <c r="E104" s="687"/>
      <c r="F104" s="687"/>
      <c r="G104" s="687"/>
      <c r="H104" s="689"/>
      <c r="I104" s="689"/>
      <c r="J104" s="689"/>
      <c r="K104" s="690"/>
      <c r="L104" s="689"/>
      <c r="M104" s="689"/>
    </row>
    <row r="105" spans="1:13">
      <c r="B105" s="687" t="s">
        <v>1</v>
      </c>
      <c r="C105" s="687"/>
      <c r="D105" s="688" t="s">
        <v>2</v>
      </c>
      <c r="E105" s="687"/>
      <c r="F105" s="687"/>
      <c r="G105" s="687"/>
      <c r="H105" s="719"/>
      <c r="I105" s="726"/>
      <c r="J105" s="719"/>
      <c r="K105" s="743" t="str">
        <f>K4</f>
        <v>For the 12 months ended 12/31/2022</v>
      </c>
      <c r="L105" s="689"/>
      <c r="M105" s="689"/>
    </row>
    <row r="106" spans="1:13">
      <c r="B106" s="687"/>
      <c r="C106" s="694" t="s">
        <v>3</v>
      </c>
      <c r="D106" s="694" t="s">
        <v>4</v>
      </c>
      <c r="E106" s="694"/>
      <c r="F106" s="694"/>
      <c r="G106" s="694"/>
      <c r="H106" s="689"/>
      <c r="I106" s="689"/>
      <c r="J106" s="689"/>
      <c r="K106" s="689"/>
      <c r="L106" s="689"/>
      <c r="M106" s="689"/>
    </row>
    <row r="107" spans="1:13">
      <c r="B107" s="687"/>
      <c r="C107" s="694"/>
      <c r="D107" s="694"/>
      <c r="E107" s="694"/>
      <c r="F107" s="694"/>
      <c r="G107" s="694"/>
      <c r="H107" s="689"/>
      <c r="I107" s="689"/>
      <c r="J107" s="689"/>
      <c r="K107" s="689"/>
      <c r="L107" s="689"/>
      <c r="M107" s="689"/>
    </row>
    <row r="108" spans="1:13">
      <c r="A108" s="695"/>
      <c r="D108" s="686" t="str">
        <f>D7</f>
        <v>MON POWER</v>
      </c>
      <c r="J108" s="694"/>
      <c r="K108" s="694"/>
      <c r="L108" s="694"/>
      <c r="M108" s="694"/>
    </row>
    <row r="109" spans="1:13">
      <c r="A109" s="695"/>
      <c r="B109" s="695" t="s">
        <v>19</v>
      </c>
      <c r="C109" s="695" t="s">
        <v>20</v>
      </c>
      <c r="D109" s="695" t="s">
        <v>21</v>
      </c>
      <c r="E109" s="694" t="s">
        <v>3</v>
      </c>
      <c r="F109" s="694"/>
      <c r="G109" s="697" t="s">
        <v>22</v>
      </c>
      <c r="H109" s="694"/>
      <c r="I109" s="698" t="s">
        <v>23</v>
      </c>
      <c r="J109" s="694"/>
      <c r="K109" s="694"/>
      <c r="L109" s="689"/>
      <c r="M109" s="694"/>
    </row>
    <row r="110" spans="1:13">
      <c r="A110" s="695" t="s">
        <v>5</v>
      </c>
      <c r="B110" s="687"/>
      <c r="C110" s="745"/>
      <c r="D110" s="694"/>
      <c r="E110" s="694"/>
      <c r="F110" s="694"/>
      <c r="G110" s="695"/>
      <c r="H110" s="694"/>
      <c r="I110" s="746" t="s">
        <v>25</v>
      </c>
      <c r="J110" s="694"/>
      <c r="K110" s="746"/>
      <c r="L110" s="695"/>
      <c r="M110" s="694"/>
    </row>
    <row r="111" spans="1:13" ht="16.2" thickBot="1">
      <c r="A111" s="700" t="s">
        <v>7</v>
      </c>
      <c r="B111" s="687"/>
      <c r="C111" s="745" t="s">
        <v>323</v>
      </c>
      <c r="D111" s="746" t="s">
        <v>26</v>
      </c>
      <c r="E111" s="748"/>
      <c r="F111" s="746" t="s">
        <v>27</v>
      </c>
      <c r="H111" s="748"/>
      <c r="I111" s="695" t="s">
        <v>28</v>
      </c>
      <c r="J111" s="694"/>
      <c r="K111" s="746"/>
      <c r="L111" s="746"/>
      <c r="M111" s="694"/>
    </row>
    <row r="112" spans="1:13">
      <c r="A112" s="695"/>
      <c r="B112" s="956" t="s">
        <v>1062</v>
      </c>
      <c r="C112" s="694"/>
      <c r="D112" s="694"/>
      <c r="E112" s="694"/>
      <c r="F112" s="694"/>
      <c r="G112" s="694"/>
      <c r="H112" s="694"/>
      <c r="I112" s="694"/>
      <c r="J112" s="694"/>
      <c r="K112" s="694"/>
      <c r="L112" s="694"/>
      <c r="M112" s="694"/>
    </row>
    <row r="113" spans="1:13">
      <c r="A113" s="709">
        <v>1</v>
      </c>
      <c r="B113" s="956" t="s">
        <v>1063</v>
      </c>
      <c r="C113" s="917" t="s">
        <v>980</v>
      </c>
      <c r="D113" s="714">
        <f>'Attachment 20 - O&amp;M and A&amp;G'!F39</f>
        <v>124329489.12000002</v>
      </c>
      <c r="E113" s="694"/>
      <c r="F113" s="693" t="s">
        <v>51</v>
      </c>
      <c r="G113" s="774">
        <f>I210</f>
        <v>0.95616614561488222</v>
      </c>
      <c r="H113" s="694"/>
      <c r="I113" s="754">
        <f>+G113*D113</f>
        <v>118879648.39813785</v>
      </c>
      <c r="J113" s="773"/>
      <c r="K113" s="693"/>
      <c r="L113" s="694"/>
      <c r="M113" s="695"/>
    </row>
    <row r="114" spans="1:13">
      <c r="A114" s="709">
        <v>2</v>
      </c>
      <c r="B114" s="916" t="s">
        <v>1179</v>
      </c>
      <c r="C114" s="693"/>
      <c r="D114" s="716">
        <v>137633.99999999997</v>
      </c>
      <c r="E114" s="693"/>
      <c r="F114" s="693" t="s">
        <v>471</v>
      </c>
      <c r="G114" s="774">
        <v>1</v>
      </c>
      <c r="H114" s="694"/>
      <c r="I114" s="754">
        <f>+G114*D114</f>
        <v>137633.99999999997</v>
      </c>
      <c r="J114" s="689"/>
      <c r="K114" s="694"/>
      <c r="L114" s="694"/>
      <c r="M114" s="695"/>
    </row>
    <row r="115" spans="1:13">
      <c r="A115" s="709">
        <v>3</v>
      </c>
      <c r="B115" s="916" t="s">
        <v>54</v>
      </c>
      <c r="C115" s="909" t="s">
        <v>981</v>
      </c>
      <c r="D115" s="714">
        <f>'Attachment 20 - O&amp;M and A&amp;G'!F23</f>
        <v>95525244.700000003</v>
      </c>
      <c r="E115" s="693"/>
      <c r="F115" s="693" t="s">
        <v>471</v>
      </c>
      <c r="G115" s="774">
        <v>1</v>
      </c>
      <c r="H115" s="694"/>
      <c r="I115" s="754">
        <f>+G115*D115</f>
        <v>95525244.700000003</v>
      </c>
      <c r="J115" s="689"/>
      <c r="K115" s="694"/>
      <c r="L115" s="694"/>
      <c r="M115" s="695"/>
    </row>
    <row r="116" spans="1:13">
      <c r="A116" s="709">
        <v>4</v>
      </c>
      <c r="B116" s="1249" t="s">
        <v>1021</v>
      </c>
      <c r="C116" s="909" t="s">
        <v>937</v>
      </c>
      <c r="D116" s="716"/>
      <c r="E116" s="693"/>
      <c r="F116" s="693" t="s">
        <v>471</v>
      </c>
      <c r="G116" s="774">
        <v>1</v>
      </c>
      <c r="H116" s="694"/>
      <c r="I116" s="714">
        <f>G116*D116</f>
        <v>0</v>
      </c>
      <c r="J116" s="689"/>
      <c r="K116" s="694"/>
      <c r="L116" s="694"/>
      <c r="M116" s="775"/>
    </row>
    <row r="117" spans="1:13">
      <c r="A117" s="709">
        <v>5</v>
      </c>
      <c r="B117" s="1249" t="s">
        <v>1022</v>
      </c>
      <c r="C117" s="909" t="s">
        <v>936</v>
      </c>
      <c r="D117" s="716">
        <v>9872153.8499999996</v>
      </c>
      <c r="E117" s="693"/>
      <c r="F117" s="909" t="s">
        <v>343</v>
      </c>
      <c r="G117" s="774">
        <v>1</v>
      </c>
      <c r="H117" s="694"/>
      <c r="I117" s="714">
        <f>G117*D117</f>
        <v>9872153.8499999996</v>
      </c>
      <c r="J117" s="689"/>
      <c r="K117" s="694"/>
      <c r="L117" s="694"/>
      <c r="M117" s="775"/>
    </row>
    <row r="118" spans="1:13">
      <c r="A118" s="709">
        <v>6</v>
      </c>
      <c r="B118" s="956" t="s">
        <v>1064</v>
      </c>
      <c r="C118" s="917" t="s">
        <v>982</v>
      </c>
      <c r="D118" s="714">
        <f>'Attachment 20 - O&amp;M and A&amp;G'!F70</f>
        <v>49606812.910000011</v>
      </c>
      <c r="E118" s="694"/>
      <c r="F118" s="694" t="s">
        <v>36</v>
      </c>
      <c r="G118" s="753">
        <f>I218</f>
        <v>4.071049245958664E-2</v>
      </c>
      <c r="H118" s="694"/>
      <c r="I118" s="754">
        <f>+G118*D118</f>
        <v>2019517.7829166807</v>
      </c>
      <c r="J118" s="694"/>
      <c r="K118" s="694" t="s">
        <v>3</v>
      </c>
      <c r="L118" s="694"/>
      <c r="M118" s="695"/>
    </row>
    <row r="119" spans="1:13">
      <c r="A119" s="709">
        <v>7</v>
      </c>
      <c r="B119" s="1249" t="s">
        <v>1023</v>
      </c>
      <c r="C119" s="909" t="s">
        <v>949</v>
      </c>
      <c r="D119" s="716"/>
      <c r="E119" s="694"/>
      <c r="F119" s="693" t="s">
        <v>36</v>
      </c>
      <c r="G119" s="774">
        <f>I218</f>
        <v>4.071049245958664E-2</v>
      </c>
      <c r="H119" s="694"/>
      <c r="I119" s="1237">
        <f>(G119*D119)</f>
        <v>0</v>
      </c>
      <c r="J119" s="694"/>
      <c r="K119" s="694"/>
      <c r="L119" s="694"/>
      <c r="M119" s="695"/>
    </row>
    <row r="120" spans="1:13">
      <c r="A120" s="709">
        <v>8</v>
      </c>
      <c r="B120" s="687" t="s">
        <v>55</v>
      </c>
      <c r="C120" s="693"/>
      <c r="D120" s="716"/>
      <c r="E120" s="694"/>
      <c r="F120" s="694" t="str">
        <f>+F118</f>
        <v>W/S</v>
      </c>
      <c r="G120" s="753">
        <f>I218</f>
        <v>4.071049245958664E-2</v>
      </c>
      <c r="H120" s="694"/>
      <c r="I120" s="754">
        <f>+G120*D120</f>
        <v>0</v>
      </c>
      <c r="J120" s="694"/>
      <c r="K120" s="694"/>
      <c r="L120" s="694"/>
      <c r="M120" s="695"/>
    </row>
    <row r="121" spans="1:13">
      <c r="A121" s="709">
        <v>9</v>
      </c>
      <c r="B121" s="916" t="s">
        <v>1180</v>
      </c>
      <c r="C121" s="693"/>
      <c r="D121" s="716">
        <v>3867602.58</v>
      </c>
      <c r="E121" s="694"/>
      <c r="F121" s="694" t="str">
        <f>+F120</f>
        <v>W/S</v>
      </c>
      <c r="G121" s="753">
        <f>I218</f>
        <v>4.071049245958664E-2</v>
      </c>
      <c r="H121" s="694"/>
      <c r="I121" s="754">
        <f>+G121*D121</f>
        <v>157452.00566976785</v>
      </c>
      <c r="J121" s="694"/>
      <c r="K121" s="694"/>
      <c r="L121" s="694"/>
      <c r="M121" s="695"/>
    </row>
    <row r="122" spans="1:13">
      <c r="A122" s="709">
        <v>10</v>
      </c>
      <c r="B122" s="710" t="s">
        <v>269</v>
      </c>
      <c r="C122" s="693"/>
      <c r="D122" s="716"/>
      <c r="E122" s="693"/>
      <c r="F122" s="776" t="str">
        <f>+F113</f>
        <v>TE</v>
      </c>
      <c r="G122" s="774">
        <f>I210</f>
        <v>0.95616614561488222</v>
      </c>
      <c r="H122" s="694"/>
      <c r="I122" s="754">
        <f>+G122*D122</f>
        <v>0</v>
      </c>
      <c r="J122" s="694"/>
      <c r="K122" s="694"/>
      <c r="L122" s="694"/>
      <c r="M122" s="695"/>
    </row>
    <row r="123" spans="1:13">
      <c r="A123" s="709">
        <v>11</v>
      </c>
      <c r="B123" s="1249" t="s">
        <v>881</v>
      </c>
      <c r="C123" s="909" t="s">
        <v>1038</v>
      </c>
      <c r="D123" s="1201">
        <f>D116/D113</f>
        <v>0</v>
      </c>
      <c r="E123" s="694"/>
      <c r="F123" s="909" t="s">
        <v>343</v>
      </c>
      <c r="G123" s="774">
        <v>1</v>
      </c>
      <c r="H123" s="693"/>
      <c r="I123" s="1248">
        <f>G123*D123</f>
        <v>0</v>
      </c>
      <c r="J123" s="694"/>
      <c r="K123" s="694"/>
      <c r="L123" s="694"/>
      <c r="M123" s="695"/>
    </row>
    <row r="124" spans="1:13">
      <c r="A124" s="709">
        <v>12</v>
      </c>
      <c r="B124" s="1249" t="s">
        <v>882</v>
      </c>
      <c r="C124" s="909" t="s">
        <v>1039</v>
      </c>
      <c r="D124" s="1202">
        <f>D123*(D118-D119)</f>
        <v>0</v>
      </c>
      <c r="E124" s="694"/>
      <c r="F124" s="693" t="s">
        <v>36</v>
      </c>
      <c r="G124" s="774">
        <f>I218</f>
        <v>4.071049245958664E-2</v>
      </c>
      <c r="H124" s="693"/>
      <c r="I124" s="1202">
        <f>D124*G124</f>
        <v>0</v>
      </c>
      <c r="J124" s="694"/>
      <c r="K124" s="694"/>
      <c r="L124" s="694"/>
      <c r="M124" s="695"/>
    </row>
    <row r="125" spans="1:13">
      <c r="A125" s="1283">
        <v>13</v>
      </c>
      <c r="B125" s="916" t="s">
        <v>342</v>
      </c>
      <c r="C125" s="909" t="s">
        <v>721</v>
      </c>
      <c r="D125" s="907">
        <f>'Attachment 6 - PBOP'!E18</f>
        <v>23574.245496256684</v>
      </c>
      <c r="E125" s="693"/>
      <c r="F125" s="776" t="s">
        <v>471</v>
      </c>
      <c r="G125" s="774">
        <v>1</v>
      </c>
      <c r="H125" s="694"/>
      <c r="I125" s="754">
        <f>D125*G125</f>
        <v>23574.245496256684</v>
      </c>
      <c r="J125" s="694"/>
      <c r="K125" s="694"/>
      <c r="L125" s="686"/>
      <c r="M125" s="695"/>
    </row>
    <row r="126" spans="1:13">
      <c r="A126" s="1283">
        <v>14</v>
      </c>
      <c r="B126" s="916" t="s">
        <v>37</v>
      </c>
      <c r="C126" s="921">
        <v>356.1</v>
      </c>
      <c r="D126" s="922"/>
      <c r="E126" s="694"/>
      <c r="F126" s="694" t="s">
        <v>38</v>
      </c>
      <c r="G126" s="753">
        <f>K223</f>
        <v>4.071049245958664E-2</v>
      </c>
      <c r="H126" s="694"/>
      <c r="I126" s="754">
        <f t="shared" ref="I126" si="3">+G126*D126</f>
        <v>0</v>
      </c>
      <c r="J126" s="694"/>
      <c r="K126" s="694"/>
      <c r="L126" s="694"/>
      <c r="M126" s="695"/>
    </row>
    <row r="127" spans="1:13">
      <c r="A127" s="1283">
        <v>15</v>
      </c>
      <c r="B127" s="916" t="s">
        <v>1032</v>
      </c>
      <c r="C127" s="1235" t="s">
        <v>1034</v>
      </c>
      <c r="D127" s="907">
        <f>'Attachment 19 - Reg Asset'!M26</f>
        <v>0</v>
      </c>
      <c r="E127" s="694"/>
      <c r="F127" s="693" t="s">
        <v>471</v>
      </c>
      <c r="G127" s="774">
        <v>1</v>
      </c>
      <c r="H127" s="693"/>
      <c r="I127" s="714">
        <f>G127*D127</f>
        <v>0</v>
      </c>
      <c r="J127" s="694"/>
      <c r="K127" s="694"/>
      <c r="L127" s="694"/>
      <c r="M127" s="695"/>
    </row>
    <row r="128" spans="1:13">
      <c r="A128" s="1283">
        <v>16</v>
      </c>
      <c r="B128" s="916" t="s">
        <v>1181</v>
      </c>
      <c r="C128" s="909"/>
      <c r="D128" s="907">
        <f>D113+D118+D125+D126-D114-D115-D120-D121+D122-D116-D119-D124+D127-D117</f>
        <v>64557241.145496272</v>
      </c>
      <c r="E128" s="694"/>
      <c r="F128" s="694"/>
      <c r="G128" s="694"/>
      <c r="H128" s="694"/>
      <c r="I128" s="907">
        <f>I113+I118+I125+I126-I114-I115-I120-I121+I122-I116-I119-I124+I127-I117</f>
        <v>15230255.870881019</v>
      </c>
      <c r="J128" s="694"/>
      <c r="K128" s="694"/>
      <c r="L128" s="761"/>
      <c r="M128" s="694"/>
    </row>
    <row r="129" spans="1:20">
      <c r="A129" s="915"/>
      <c r="B129" s="2"/>
      <c r="C129" s="909"/>
      <c r="D129" s="924"/>
      <c r="E129" s="694"/>
      <c r="F129" s="694"/>
      <c r="G129" s="694"/>
      <c r="H129" s="694"/>
      <c r="I129" s="754"/>
      <c r="J129" s="694"/>
      <c r="K129" s="694"/>
      <c r="L129" s="694"/>
      <c r="M129" s="694"/>
    </row>
    <row r="130" spans="1:20">
      <c r="A130" s="915"/>
      <c r="B130" s="916" t="s">
        <v>199</v>
      </c>
      <c r="C130" s="909"/>
      <c r="D130" s="924"/>
      <c r="E130" s="694"/>
      <c r="F130" s="694"/>
      <c r="G130" s="694"/>
      <c r="H130" s="694"/>
      <c r="I130" s="754"/>
      <c r="J130" s="694"/>
      <c r="K130" s="694"/>
      <c r="L130" s="694"/>
      <c r="M130" s="694"/>
    </row>
    <row r="131" spans="1:20">
      <c r="A131" s="915">
        <v>17</v>
      </c>
      <c r="B131" s="916" t="s">
        <v>33</v>
      </c>
      <c r="C131" s="909" t="s">
        <v>293</v>
      </c>
      <c r="D131" s="922">
        <v>12617594.225662196</v>
      </c>
      <c r="E131" s="694"/>
      <c r="F131" s="694" t="s">
        <v>13</v>
      </c>
      <c r="G131" s="753">
        <f>I201</f>
        <v>0.9616323328319748</v>
      </c>
      <c r="H131" s="694"/>
      <c r="I131" s="754">
        <f>+G131*D131</f>
        <v>12133486.569950793</v>
      </c>
      <c r="J131" s="694"/>
      <c r="K131" s="757"/>
      <c r="L131" s="694"/>
      <c r="M131" s="695"/>
    </row>
    <row r="132" spans="1:20" s="726" customFormat="1">
      <c r="A132" s="915">
        <v>18</v>
      </c>
      <c r="B132" s="921" t="s">
        <v>35</v>
      </c>
      <c r="C132" s="909" t="s">
        <v>294</v>
      </c>
      <c r="D132" s="922">
        <v>11383352.331661839</v>
      </c>
      <c r="E132" s="694"/>
      <c r="F132" s="694" t="s">
        <v>36</v>
      </c>
      <c r="G132" s="753">
        <f>I218</f>
        <v>4.071049245958664E-2</v>
      </c>
      <c r="H132" s="694"/>
      <c r="I132" s="754">
        <f>+G132*D132</f>
        <v>463421.87926293729</v>
      </c>
      <c r="J132" s="694"/>
      <c r="K132" s="757"/>
      <c r="L132" s="686"/>
      <c r="M132" s="695"/>
      <c r="N132" s="686"/>
      <c r="O132" s="686"/>
      <c r="P132" s="686"/>
      <c r="Q132" s="686"/>
      <c r="R132" s="686"/>
      <c r="S132" s="686"/>
      <c r="T132" s="686"/>
    </row>
    <row r="133" spans="1:20" s="1108" customFormat="1">
      <c r="A133" s="1236">
        <v>19</v>
      </c>
      <c r="B133" s="1235" t="s">
        <v>874</v>
      </c>
      <c r="C133" s="909" t="s">
        <v>937</v>
      </c>
      <c r="D133" s="922">
        <v>176011.23628500002</v>
      </c>
      <c r="E133" s="694"/>
      <c r="F133" s="693" t="s">
        <v>343</v>
      </c>
      <c r="G133" s="774">
        <v>1</v>
      </c>
      <c r="H133" s="694"/>
      <c r="I133" s="754">
        <f>D133*G133</f>
        <v>176011.23628500002</v>
      </c>
      <c r="J133" s="694"/>
      <c r="K133" s="757"/>
      <c r="L133" s="686"/>
      <c r="M133" s="695"/>
      <c r="N133" s="686"/>
      <c r="O133" s="686"/>
      <c r="P133" s="686"/>
      <c r="Q133" s="686"/>
      <c r="R133" s="686"/>
      <c r="S133" s="686"/>
      <c r="T133" s="686"/>
    </row>
    <row r="134" spans="1:20">
      <c r="A134" s="915">
        <v>20</v>
      </c>
      <c r="B134" s="916" t="str">
        <f>+B126</f>
        <v xml:space="preserve">  Common</v>
      </c>
      <c r="C134" s="909" t="s">
        <v>295</v>
      </c>
      <c r="D134" s="923"/>
      <c r="E134" s="694"/>
      <c r="F134" s="694" t="s">
        <v>38</v>
      </c>
      <c r="G134" s="753">
        <f>K223</f>
        <v>4.071049245958664E-2</v>
      </c>
      <c r="H134" s="694"/>
      <c r="I134" s="766">
        <f>+G134*D134</f>
        <v>0</v>
      </c>
      <c r="J134" s="694"/>
      <c r="K134" s="757"/>
      <c r="L134" s="694"/>
      <c r="M134" s="695"/>
    </row>
    <row r="135" spans="1:20">
      <c r="A135" s="915">
        <v>21</v>
      </c>
      <c r="B135" s="916" t="s">
        <v>1182</v>
      </c>
      <c r="C135" s="909"/>
      <c r="D135" s="924">
        <f>D131+D132+D134-D133</f>
        <v>23824935.321039036</v>
      </c>
      <c r="E135" s="694"/>
      <c r="F135" s="694"/>
      <c r="G135" s="694"/>
      <c r="H135" s="694"/>
      <c r="I135" s="754">
        <f>I131+I132+I134-I133</f>
        <v>12420897.212928731</v>
      </c>
      <c r="J135" s="694"/>
      <c r="K135" s="694"/>
      <c r="L135" s="694"/>
      <c r="M135" s="694"/>
    </row>
    <row r="136" spans="1:20">
      <c r="A136" s="915"/>
      <c r="B136" s="916"/>
      <c r="C136" s="909"/>
      <c r="D136" s="924"/>
      <c r="E136" s="694"/>
      <c r="F136" s="694"/>
      <c r="G136" s="694"/>
      <c r="H136" s="694"/>
      <c r="I136" s="754"/>
      <c r="J136" s="694"/>
      <c r="K136" s="694"/>
      <c r="L136" s="694"/>
      <c r="M136" s="694"/>
    </row>
    <row r="137" spans="1:20">
      <c r="A137" s="915" t="s">
        <v>3</v>
      </c>
      <c r="B137" s="916" t="s">
        <v>1183</v>
      </c>
      <c r="C137" s="2"/>
      <c r="D137" s="924"/>
      <c r="E137" s="694"/>
      <c r="F137" s="694"/>
      <c r="G137" s="694"/>
      <c r="H137" s="694"/>
      <c r="I137" s="754"/>
      <c r="J137" s="694"/>
      <c r="K137" s="694"/>
      <c r="L137" s="694"/>
      <c r="M137" s="694"/>
    </row>
    <row r="138" spans="1:20">
      <c r="A138" s="915"/>
      <c r="B138" s="916" t="s">
        <v>56</v>
      </c>
      <c r="C138" s="2"/>
      <c r="D138" s="924"/>
      <c r="E138" s="694"/>
      <c r="F138" s="694"/>
      <c r="H138" s="694"/>
      <c r="I138" s="754"/>
      <c r="J138" s="694"/>
      <c r="K138" s="757"/>
      <c r="L138" s="768"/>
      <c r="M138" s="695"/>
    </row>
    <row r="139" spans="1:20">
      <c r="A139" s="915">
        <v>22</v>
      </c>
      <c r="B139" s="916" t="s">
        <v>57</v>
      </c>
      <c r="C139" s="909" t="s">
        <v>983</v>
      </c>
      <c r="D139" s="907">
        <f>'Attachment 7 - Taxes Other '!D12</f>
        <v>5328210.2299999986</v>
      </c>
      <c r="E139" s="694"/>
      <c r="F139" s="694" t="s">
        <v>36</v>
      </c>
      <c r="G139" s="712">
        <f>I218</f>
        <v>4.071049245958664E-2</v>
      </c>
      <c r="H139" s="694"/>
      <c r="I139" s="754">
        <f>+G139*D139</f>
        <v>216914.06239150735</v>
      </c>
      <c r="J139" s="694"/>
      <c r="K139" s="757"/>
      <c r="L139" s="777"/>
      <c r="M139" s="695"/>
    </row>
    <row r="140" spans="1:20">
      <c r="A140" s="915">
        <v>23</v>
      </c>
      <c r="B140" s="916" t="s">
        <v>59</v>
      </c>
      <c r="C140" s="909" t="s">
        <v>984</v>
      </c>
      <c r="D140" s="907">
        <f>'Attachment 7 - Taxes Other '!D16</f>
        <v>3437.34</v>
      </c>
      <c r="E140" s="694"/>
      <c r="F140" s="694" t="str">
        <f>+F139</f>
        <v>W/S</v>
      </c>
      <c r="G140" s="712">
        <f>I218</f>
        <v>4.071049245958664E-2</v>
      </c>
      <c r="H140" s="694"/>
      <c r="I140" s="754">
        <f>+G140*D140</f>
        <v>139.93580415103554</v>
      </c>
      <c r="J140" s="694"/>
      <c r="K140" s="757"/>
      <c r="L140" s="777"/>
      <c r="M140" s="695"/>
    </row>
    <row r="141" spans="1:20">
      <c r="A141" s="915">
        <v>24</v>
      </c>
      <c r="B141" s="916" t="s">
        <v>60</v>
      </c>
      <c r="C141" s="909" t="s">
        <v>3</v>
      </c>
      <c r="D141" s="907"/>
      <c r="E141" s="694"/>
      <c r="F141" s="694"/>
      <c r="H141" s="694"/>
      <c r="I141" s="754"/>
      <c r="J141" s="694"/>
      <c r="K141" s="757"/>
      <c r="L141" s="777"/>
      <c r="M141" s="695"/>
    </row>
    <row r="142" spans="1:20">
      <c r="A142" s="915">
        <v>25</v>
      </c>
      <c r="B142" s="916" t="s">
        <v>61</v>
      </c>
      <c r="C142" s="909" t="s">
        <v>985</v>
      </c>
      <c r="D142" s="907">
        <f>'Attachment 7 - Taxes Other '!D23</f>
        <v>25440755.720000003</v>
      </c>
      <c r="E142" s="694"/>
      <c r="F142" s="694" t="s">
        <v>53</v>
      </c>
      <c r="G142" s="712">
        <f>+G45</f>
        <v>0.10048304765204427</v>
      </c>
      <c r="H142" s="694"/>
      <c r="I142" s="754">
        <f>+G142*D142</f>
        <v>2556364.669316778</v>
      </c>
      <c r="J142" s="694"/>
      <c r="K142" s="757"/>
      <c r="L142" s="777"/>
      <c r="M142" s="688"/>
    </row>
    <row r="143" spans="1:20">
      <c r="A143" s="915">
        <v>26</v>
      </c>
      <c r="B143" s="916" t="s">
        <v>1031</v>
      </c>
      <c r="C143" s="909" t="s">
        <v>986</v>
      </c>
      <c r="D143" s="907">
        <f>'Attachment 7 - Taxes Other '!D32</f>
        <v>8089376.2599999998</v>
      </c>
      <c r="E143" s="694"/>
      <c r="F143" s="693" t="str">
        <f>+F64</f>
        <v>NA</v>
      </c>
      <c r="G143" s="778"/>
      <c r="H143" s="694"/>
      <c r="I143" s="754">
        <v>0</v>
      </c>
      <c r="J143" s="694"/>
      <c r="K143" s="757"/>
      <c r="L143" s="777"/>
      <c r="M143" s="695"/>
    </row>
    <row r="144" spans="1:20">
      <c r="A144" s="915">
        <v>27</v>
      </c>
      <c r="B144" s="916" t="s">
        <v>62</v>
      </c>
      <c r="C144" s="909" t="s">
        <v>987</v>
      </c>
      <c r="D144" s="907">
        <f>'Attachment 7 - Taxes Other '!D39</f>
        <v>18434.25</v>
      </c>
      <c r="E144" s="694"/>
      <c r="F144" s="694" t="str">
        <f>+F142</f>
        <v>GP</v>
      </c>
      <c r="G144" s="712">
        <f>+G45</f>
        <v>0.10048304765204427</v>
      </c>
      <c r="H144" s="694"/>
      <c r="I144" s="754">
        <f>+G144*D144</f>
        <v>1852.3296211796971</v>
      </c>
      <c r="J144" s="694"/>
      <c r="K144" s="757"/>
      <c r="L144" s="777"/>
      <c r="M144" s="695"/>
    </row>
    <row r="145" spans="1:13" ht="16.2" thickBot="1">
      <c r="A145" s="915">
        <v>28</v>
      </c>
      <c r="B145" s="916" t="s">
        <v>63</v>
      </c>
      <c r="C145" s="909" t="s">
        <v>988</v>
      </c>
      <c r="D145" s="908">
        <f>'Attachment 7 - Taxes Other '!D41</f>
        <v>0</v>
      </c>
      <c r="E145" s="694"/>
      <c r="F145" s="694" t="s">
        <v>53</v>
      </c>
      <c r="G145" s="712">
        <f>+G45</f>
        <v>0.10048304765204427</v>
      </c>
      <c r="H145" s="694"/>
      <c r="I145" s="756">
        <f>+G145*D145</f>
        <v>0</v>
      </c>
      <c r="J145" s="694"/>
      <c r="K145" s="757"/>
      <c r="L145" s="777"/>
      <c r="M145" s="695"/>
    </row>
    <row r="146" spans="1:13">
      <c r="A146" s="915">
        <v>29</v>
      </c>
      <c r="B146" s="916" t="s">
        <v>1184</v>
      </c>
      <c r="C146" s="909"/>
      <c r="D146" s="907">
        <f>SUM(D139:D145)</f>
        <v>38880213.799999997</v>
      </c>
      <c r="E146" s="694"/>
      <c r="F146" s="694"/>
      <c r="G146" s="712"/>
      <c r="H146" s="694"/>
      <c r="I146" s="754">
        <f>SUM(I139:I145)</f>
        <v>2775270.9971336159</v>
      </c>
      <c r="J146" s="694"/>
      <c r="K146" s="694"/>
      <c r="L146" s="761"/>
      <c r="M146" s="694"/>
    </row>
    <row r="147" spans="1:13">
      <c r="A147" s="915"/>
      <c r="B147" s="916"/>
      <c r="C147" s="909"/>
      <c r="D147" s="917"/>
      <c r="E147" s="694"/>
      <c r="F147" s="694"/>
      <c r="G147" s="712"/>
      <c r="H147" s="694"/>
      <c r="I147" s="728"/>
      <c r="J147" s="694"/>
      <c r="K147" s="694"/>
      <c r="L147" s="761"/>
      <c r="M147" s="694"/>
    </row>
    <row r="148" spans="1:13">
      <c r="A148" s="915" t="s">
        <v>3</v>
      </c>
      <c r="B148" s="916" t="s">
        <v>64</v>
      </c>
      <c r="C148" s="909" t="s">
        <v>147</v>
      </c>
      <c r="D148" s="925"/>
      <c r="E148" s="694"/>
      <c r="G148" s="779"/>
      <c r="H148" s="694"/>
      <c r="I148" s="728"/>
      <c r="J148" s="694"/>
      <c r="L148" s="694"/>
      <c r="M148" s="695"/>
    </row>
    <row r="149" spans="1:13">
      <c r="A149" s="915">
        <v>30</v>
      </c>
      <c r="B149" s="934" t="s">
        <v>65</v>
      </c>
      <c r="C149" s="909"/>
      <c r="D149" s="926">
        <f>IF(D301&gt;0,1-(((1-D302)*(1-D301))/(1-D302*D301*D303)),0)</f>
        <v>0.25659611969999996</v>
      </c>
      <c r="E149" s="748"/>
      <c r="G149" s="779"/>
      <c r="H149" s="694"/>
      <c r="I149" s="728"/>
      <c r="J149" s="694"/>
      <c r="L149" s="780"/>
      <c r="M149" s="695"/>
    </row>
    <row r="150" spans="1:13">
      <c r="A150" s="915">
        <v>31</v>
      </c>
      <c r="B150" s="2" t="s">
        <v>960</v>
      </c>
      <c r="C150" s="909"/>
      <c r="D150" s="926">
        <f>IF(I253&gt;0,(D149/(1-D149))*(1-I250/I253),0)</f>
        <v>0.23601272741960991</v>
      </c>
      <c r="E150" s="694"/>
      <c r="G150" s="779"/>
      <c r="H150" s="694"/>
      <c r="I150" s="728"/>
      <c r="J150" s="694"/>
      <c r="K150" s="780"/>
      <c r="L150" s="780"/>
      <c r="M150" s="695"/>
    </row>
    <row r="151" spans="1:13">
      <c r="A151" s="915"/>
      <c r="B151" s="916" t="s">
        <v>1014</v>
      </c>
      <c r="C151" s="909"/>
      <c r="D151" s="917"/>
      <c r="E151" s="694"/>
      <c r="G151" s="779"/>
      <c r="H151" s="694"/>
      <c r="I151" s="728"/>
      <c r="J151" s="694"/>
      <c r="K151" s="780"/>
      <c r="L151" s="780"/>
      <c r="M151" s="695"/>
    </row>
    <row r="152" spans="1:13">
      <c r="A152" s="915"/>
      <c r="B152" s="916" t="s">
        <v>66</v>
      </c>
      <c r="C152" s="909"/>
      <c r="D152" s="917"/>
      <c r="E152" s="694"/>
      <c r="G152" s="779"/>
      <c r="H152" s="694"/>
      <c r="I152" s="728"/>
      <c r="J152" s="694"/>
      <c r="K152" s="780"/>
      <c r="L152" s="780"/>
      <c r="M152" s="695"/>
    </row>
    <row r="153" spans="1:13">
      <c r="A153" s="915">
        <v>32</v>
      </c>
      <c r="B153" s="934" t="s">
        <v>1040</v>
      </c>
      <c r="C153" s="909"/>
      <c r="D153" s="127">
        <f>IF(D149&gt;0,1/(1-D149),0)</f>
        <v>1.3451638153898939</v>
      </c>
      <c r="E153" s="694"/>
      <c r="G153" s="779"/>
      <c r="H153" s="694"/>
      <c r="I153" s="754"/>
      <c r="J153" s="694"/>
      <c r="K153" s="780"/>
      <c r="L153" s="781"/>
      <c r="M153" s="695"/>
    </row>
    <row r="154" spans="1:13">
      <c r="A154" s="915">
        <v>33</v>
      </c>
      <c r="B154" s="916" t="s">
        <v>270</v>
      </c>
      <c r="C154" s="909"/>
      <c r="D154" s="922"/>
      <c r="E154" s="693"/>
      <c r="G154" s="779"/>
      <c r="H154" s="694"/>
      <c r="I154" s="754"/>
      <c r="J154" s="694"/>
      <c r="K154" s="780"/>
      <c r="L154" s="694"/>
      <c r="M154" s="695"/>
    </row>
    <row r="155" spans="1:13">
      <c r="A155" s="915">
        <v>34</v>
      </c>
      <c r="B155" s="916" t="s">
        <v>883</v>
      </c>
      <c r="C155" s="909" t="s">
        <v>1163</v>
      </c>
      <c r="D155" s="922">
        <v>17893.508726860229</v>
      </c>
      <c r="E155" s="693"/>
      <c r="F155" s="726"/>
      <c r="G155" s="779"/>
      <c r="H155" s="694"/>
      <c r="I155" s="754"/>
      <c r="J155" s="694"/>
      <c r="K155" s="780"/>
      <c r="L155" s="694"/>
      <c r="M155" s="695"/>
    </row>
    <row r="156" spans="1:13">
      <c r="A156" s="915">
        <v>35</v>
      </c>
      <c r="B156" s="916" t="s">
        <v>884</v>
      </c>
      <c r="C156" s="909" t="s">
        <v>1164</v>
      </c>
      <c r="D156" s="907">
        <f>'Attach 15 - Excess_Def ADIT'!H64</f>
        <v>-223134.29994168924</v>
      </c>
      <c r="E156" s="693"/>
      <c r="F156" s="726"/>
      <c r="G156" s="779"/>
      <c r="H156" s="694"/>
      <c r="I156" s="754"/>
      <c r="J156" s="694"/>
      <c r="K156" s="780"/>
      <c r="L156" s="694"/>
      <c r="M156" s="695"/>
    </row>
    <row r="157" spans="1:13">
      <c r="A157" s="915">
        <v>36</v>
      </c>
      <c r="B157" s="934" t="s">
        <v>1041</v>
      </c>
      <c r="C157" s="927"/>
      <c r="D157" s="907">
        <f>D150*D163</f>
        <v>64540152.446434446</v>
      </c>
      <c r="E157" s="693"/>
      <c r="F157" s="693" t="s">
        <v>32</v>
      </c>
      <c r="G157" s="712"/>
      <c r="H157" s="694"/>
      <c r="I157" s="754">
        <f>D150*I163</f>
        <v>5553383.8607152374</v>
      </c>
      <c r="J157" s="694"/>
      <c r="K157" s="782"/>
      <c r="L157" s="694"/>
      <c r="M157" s="694"/>
    </row>
    <row r="158" spans="1:13">
      <c r="A158" s="915">
        <v>37</v>
      </c>
      <c r="B158" s="2" t="s">
        <v>1042</v>
      </c>
      <c r="C158" s="927"/>
      <c r="D158" s="906">
        <f>D153*D154</f>
        <v>0</v>
      </c>
      <c r="E158" s="783"/>
      <c r="F158" s="1246" t="s">
        <v>53</v>
      </c>
      <c r="G158" s="1247">
        <f>+G45</f>
        <v>0.10048304765204427</v>
      </c>
      <c r="H158" s="785"/>
      <c r="I158" s="766">
        <f>G158*D158</f>
        <v>0</v>
      </c>
      <c r="J158" s="694"/>
      <c r="K158" s="777"/>
      <c r="L158" s="694"/>
      <c r="M158" s="694"/>
    </row>
    <row r="159" spans="1:13">
      <c r="A159" s="915">
        <v>38</v>
      </c>
      <c r="B159" s="2" t="s">
        <v>1043</v>
      </c>
      <c r="C159" s="927"/>
      <c r="D159" s="906">
        <f>D153*D155</f>
        <v>24069.700469735668</v>
      </c>
      <c r="E159" s="783"/>
      <c r="F159" s="783" t="s">
        <v>343</v>
      </c>
      <c r="G159" s="784">
        <v>1</v>
      </c>
      <c r="H159" s="785"/>
      <c r="I159" s="766">
        <f>G159*D159</f>
        <v>24069.700469735668</v>
      </c>
      <c r="J159" s="694"/>
      <c r="K159" s="777"/>
      <c r="L159" s="694"/>
      <c r="M159" s="694"/>
    </row>
    <row r="160" spans="1:13" ht="16.2" thickBot="1">
      <c r="A160" s="915">
        <v>39</v>
      </c>
      <c r="B160" s="2" t="s">
        <v>1044</v>
      </c>
      <c r="C160" s="927"/>
      <c r="D160" s="908">
        <f>D153*D156</f>
        <v>-300152.18625391572</v>
      </c>
      <c r="E160" s="783"/>
      <c r="F160" s="783" t="s">
        <v>343</v>
      </c>
      <c r="G160" s="784">
        <f>G159</f>
        <v>1</v>
      </c>
      <c r="H160" s="785"/>
      <c r="I160" s="756">
        <f>D160*G160</f>
        <v>-300152.18625391572</v>
      </c>
      <c r="J160" s="694"/>
      <c r="K160" s="777"/>
      <c r="L160" s="694"/>
      <c r="M160" s="694"/>
    </row>
    <row r="161" spans="1:14">
      <c r="A161" s="915">
        <v>40</v>
      </c>
      <c r="B161" s="934" t="s">
        <v>67</v>
      </c>
      <c r="C161" s="2" t="s">
        <v>1045</v>
      </c>
      <c r="D161" s="1000">
        <f>+D157+D158+D159+D160</f>
        <v>64264069.960650265</v>
      </c>
      <c r="E161" s="694"/>
      <c r="F161" s="694" t="s">
        <v>3</v>
      </c>
      <c r="G161" s="712" t="s">
        <v>3</v>
      </c>
      <c r="H161" s="694"/>
      <c r="I161" s="1001">
        <f>+I157+I158+I159+I160</f>
        <v>5277301.3749310579</v>
      </c>
      <c r="J161" s="694"/>
      <c r="K161" s="694"/>
      <c r="L161" s="694"/>
      <c r="M161" s="694"/>
    </row>
    <row r="162" spans="1:14">
      <c r="A162" s="915" t="s">
        <v>3</v>
      </c>
      <c r="B162" s="2"/>
      <c r="C162" s="935"/>
      <c r="D162" s="924"/>
      <c r="E162" s="694"/>
      <c r="F162" s="694"/>
      <c r="G162" s="712"/>
      <c r="H162" s="694"/>
      <c r="I162" s="754"/>
      <c r="J162" s="694"/>
      <c r="K162" s="694"/>
      <c r="L162" s="694"/>
      <c r="M162" s="694"/>
    </row>
    <row r="163" spans="1:14" ht="31.2">
      <c r="A163" s="915">
        <v>41</v>
      </c>
      <c r="B163" s="916" t="s">
        <v>68</v>
      </c>
      <c r="C163" s="1245" t="s">
        <v>1015</v>
      </c>
      <c r="D163" s="928">
        <f>+$I253*D83</f>
        <v>273460474.57723635</v>
      </c>
      <c r="E163" s="694"/>
      <c r="F163" s="694" t="s">
        <v>32</v>
      </c>
      <c r="G163" s="779"/>
      <c r="H163" s="694"/>
      <c r="I163" s="754">
        <f>+$I253*I83</f>
        <v>23530018.577522766</v>
      </c>
      <c r="J163" s="694"/>
      <c r="L163" s="694"/>
      <c r="M163" s="695"/>
    </row>
    <row r="164" spans="1:14">
      <c r="A164" s="915"/>
      <c r="B164" s="936"/>
      <c r="C164" s="2"/>
      <c r="D164" s="924"/>
      <c r="E164" s="694"/>
      <c r="F164" s="694"/>
      <c r="G164" s="779"/>
      <c r="H164" s="694"/>
      <c r="I164" s="754"/>
      <c r="J164" s="694"/>
      <c r="K164" s="757"/>
      <c r="L164" s="694"/>
      <c r="M164" s="695"/>
    </row>
    <row r="165" spans="1:14">
      <c r="A165" s="915"/>
      <c r="B165" s="916"/>
      <c r="C165" s="2"/>
      <c r="D165" s="929"/>
      <c r="E165" s="694"/>
      <c r="F165" s="694"/>
      <c r="G165" s="779"/>
      <c r="H165" s="694"/>
      <c r="I165" s="766"/>
      <c r="J165" s="694"/>
      <c r="K165" s="757"/>
      <c r="L165" s="694"/>
      <c r="M165" s="695"/>
    </row>
    <row r="166" spans="1:14" s="2" customFormat="1">
      <c r="A166" s="915">
        <v>42</v>
      </c>
      <c r="B166" s="937" t="s">
        <v>485</v>
      </c>
      <c r="C166" s="934" t="s">
        <v>1046</v>
      </c>
      <c r="D166" s="930">
        <f>+D128+D135+D146+D161+D163</f>
        <v>464986934.8044219</v>
      </c>
      <c r="E166" s="909"/>
      <c r="F166" s="909"/>
      <c r="G166" s="909"/>
      <c r="H166" s="909"/>
      <c r="I166" s="930">
        <f>+I128+I135+I146+I161+I163</f>
        <v>59233744.033397183</v>
      </c>
      <c r="J166" s="5"/>
      <c r="K166" s="5"/>
      <c r="L166" s="5"/>
      <c r="M166" s="5"/>
    </row>
    <row r="167" spans="1:14" s="2" customFormat="1">
      <c r="A167" s="915"/>
      <c r="B167" s="934"/>
      <c r="C167" s="909"/>
      <c r="D167" s="932"/>
      <c r="E167" s="909"/>
      <c r="F167" s="909"/>
      <c r="G167" s="909"/>
      <c r="H167" s="909"/>
      <c r="I167" s="932"/>
      <c r="J167" s="5"/>
      <c r="K167" s="5"/>
      <c r="L167" s="5"/>
      <c r="M167" s="5"/>
    </row>
    <row r="168" spans="1:14">
      <c r="A168" s="695">
        <v>43</v>
      </c>
      <c r="B168" s="916" t="s">
        <v>871</v>
      </c>
      <c r="C168" s="5" t="s">
        <v>989</v>
      </c>
      <c r="D168" s="721">
        <f>'Attach 2b - Incent ROE NITS'!AM31</f>
        <v>0</v>
      </c>
      <c r="E168" s="693"/>
      <c r="F168" s="909"/>
      <c r="G168" s="802"/>
      <c r="H168" s="693"/>
      <c r="I168" s="713">
        <f>D168</f>
        <v>0</v>
      </c>
      <c r="J168" s="719"/>
      <c r="K168" s="707"/>
      <c r="L168" s="689"/>
      <c r="N168" s="689"/>
    </row>
    <row r="169" spans="1:14">
      <c r="A169" s="695">
        <v>44</v>
      </c>
      <c r="B169" s="916" t="s">
        <v>872</v>
      </c>
      <c r="C169" s="5" t="s">
        <v>990</v>
      </c>
      <c r="D169" s="721">
        <f>'Attachment 11 - TEC'!N83</f>
        <v>0</v>
      </c>
      <c r="E169" s="693"/>
      <c r="F169" s="909"/>
      <c r="G169" s="802"/>
      <c r="H169" s="693"/>
      <c r="I169" s="713">
        <f>D169</f>
        <v>0</v>
      </c>
      <c r="J169" s="719"/>
      <c r="K169" s="707"/>
      <c r="L169" s="689"/>
      <c r="N169" s="689"/>
    </row>
    <row r="170" spans="1:14" s="2" customFormat="1">
      <c r="A170" s="915"/>
      <c r="B170" s="934"/>
      <c r="C170" s="909"/>
      <c r="D170" s="932"/>
      <c r="E170" s="909"/>
      <c r="F170" s="909"/>
      <c r="G170" s="909"/>
      <c r="H170" s="909"/>
      <c r="I170" s="932"/>
      <c r="J170" s="5"/>
      <c r="K170" s="5"/>
      <c r="L170" s="5"/>
      <c r="M170" s="5"/>
    </row>
    <row r="171" spans="1:14" s="2" customFormat="1" ht="16.2" thickBot="1">
      <c r="A171" s="915"/>
      <c r="C171" s="909"/>
      <c r="J171" s="5"/>
      <c r="K171" s="5"/>
      <c r="L171" s="5"/>
      <c r="M171" s="5"/>
    </row>
    <row r="172" spans="1:14" s="1106" customFormat="1" ht="16.2" thickBot="1">
      <c r="A172" s="915">
        <v>45</v>
      </c>
      <c r="B172" s="934" t="s">
        <v>616</v>
      </c>
      <c r="C172" s="934" t="s">
        <v>1047</v>
      </c>
      <c r="D172" s="933">
        <f>D166+D168+D169</f>
        <v>464986934.8044219</v>
      </c>
      <c r="E172" s="932"/>
      <c r="F172" s="932"/>
      <c r="G172" s="932"/>
      <c r="H172" s="932"/>
      <c r="I172" s="933">
        <f>I166+I168+I169</f>
        <v>59233744.033397183</v>
      </c>
      <c r="J172" s="1105"/>
      <c r="K172" s="1104"/>
      <c r="L172" s="1104"/>
      <c r="M172" s="1104"/>
    </row>
    <row r="173" spans="1:14" ht="16.2" thickTop="1">
      <c r="A173" s="915"/>
      <c r="B173" s="936"/>
      <c r="C173" s="932"/>
      <c r="D173" s="932"/>
      <c r="E173" s="751"/>
      <c r="F173" s="751"/>
      <c r="G173" s="751"/>
      <c r="H173" s="751"/>
      <c r="I173" s="751"/>
      <c r="J173" s="727"/>
      <c r="K173" s="689"/>
      <c r="L173" s="689"/>
      <c r="M173" s="689"/>
    </row>
    <row r="174" spans="1:14">
      <c r="A174" s="915"/>
      <c r="B174" s="934"/>
      <c r="C174" s="909"/>
      <c r="D174" s="931"/>
      <c r="E174" s="694"/>
      <c r="F174" s="694"/>
      <c r="G174" s="694"/>
      <c r="H174" s="694"/>
      <c r="I174" s="770"/>
      <c r="J174" s="689"/>
      <c r="K174" s="689"/>
      <c r="L174" s="689"/>
      <c r="M174" s="689"/>
    </row>
    <row r="175" spans="1:14">
      <c r="A175" s="915"/>
      <c r="B175" s="934"/>
      <c r="C175" s="909"/>
      <c r="D175" s="931"/>
      <c r="E175" s="694"/>
      <c r="F175" s="694"/>
      <c r="G175" s="694"/>
      <c r="H175" s="694"/>
      <c r="I175" s="770"/>
      <c r="J175" s="689"/>
      <c r="K175" s="689"/>
      <c r="L175" s="689"/>
      <c r="M175" s="689"/>
    </row>
    <row r="176" spans="1:14">
      <c r="A176" s="695"/>
      <c r="B176" s="764"/>
      <c r="C176" s="694"/>
      <c r="D176" s="770"/>
      <c r="E176" s="694"/>
      <c r="F176" s="694"/>
      <c r="G176" s="694"/>
      <c r="H176" s="694"/>
      <c r="I176" s="770"/>
      <c r="J176" s="689"/>
      <c r="K176" s="689"/>
      <c r="L176" s="689"/>
      <c r="M176" s="689"/>
    </row>
    <row r="177" spans="1:13">
      <c r="A177" s="695"/>
      <c r="B177" s="764"/>
      <c r="C177" s="694"/>
      <c r="D177" s="770"/>
      <c r="E177" s="694"/>
      <c r="F177" s="694"/>
      <c r="G177" s="694"/>
      <c r="H177" s="694"/>
      <c r="I177" s="770"/>
      <c r="J177" s="689"/>
      <c r="K177" s="689"/>
      <c r="L177" s="689"/>
      <c r="M177" s="689"/>
    </row>
    <row r="178" spans="1:13">
      <c r="A178" s="695"/>
      <c r="B178" s="764"/>
      <c r="C178" s="694"/>
      <c r="D178" s="770"/>
      <c r="E178" s="694"/>
      <c r="F178" s="694"/>
      <c r="G178" s="694"/>
      <c r="H178" s="694"/>
      <c r="I178" s="770"/>
      <c r="J178" s="689"/>
      <c r="K178" s="689"/>
      <c r="L178" s="689"/>
      <c r="M178" s="689"/>
    </row>
    <row r="179" spans="1:13">
      <c r="A179" s="695"/>
      <c r="B179" s="764"/>
      <c r="C179" s="694"/>
      <c r="D179" s="770"/>
      <c r="E179" s="694"/>
      <c r="F179" s="694"/>
      <c r="G179" s="694"/>
      <c r="H179" s="694"/>
      <c r="I179" s="770"/>
      <c r="J179" s="689"/>
      <c r="K179" s="689"/>
      <c r="L179" s="689"/>
      <c r="M179" s="689"/>
    </row>
    <row r="180" spans="1:13">
      <c r="A180" s="695"/>
      <c r="B180" s="764"/>
      <c r="C180" s="694"/>
      <c r="D180" s="770"/>
      <c r="E180" s="694"/>
      <c r="F180" s="694"/>
      <c r="G180" s="694"/>
      <c r="H180" s="694"/>
      <c r="I180" s="770"/>
      <c r="J180" s="689"/>
      <c r="K180" s="689"/>
      <c r="L180" s="689"/>
      <c r="M180" s="689"/>
    </row>
    <row r="181" spans="1:13">
      <c r="A181" s="695"/>
      <c r="B181" s="764"/>
      <c r="C181" s="694"/>
      <c r="D181" s="770"/>
      <c r="E181" s="694"/>
      <c r="F181" s="694"/>
      <c r="G181" s="694"/>
      <c r="H181" s="694"/>
      <c r="I181" s="770"/>
      <c r="J181" s="689"/>
      <c r="K181" s="689"/>
      <c r="L181" s="689"/>
      <c r="M181" s="689"/>
    </row>
    <row r="182" spans="1:13">
      <c r="A182" s="695"/>
      <c r="B182" s="764"/>
      <c r="C182" s="694"/>
      <c r="D182" s="770"/>
      <c r="E182" s="694"/>
      <c r="F182" s="694"/>
      <c r="G182" s="694"/>
      <c r="H182" s="694"/>
      <c r="I182" s="770"/>
      <c r="J182" s="689"/>
      <c r="K182" s="689"/>
      <c r="L182" s="689"/>
      <c r="M182" s="689"/>
    </row>
    <row r="183" spans="1:13">
      <c r="A183" s="771"/>
      <c r="B183" s="687"/>
      <c r="C183" s="694"/>
      <c r="D183" s="770"/>
      <c r="E183" s="694"/>
      <c r="F183" s="694"/>
      <c r="G183" s="757"/>
      <c r="H183" s="694"/>
      <c r="I183" s="770"/>
      <c r="J183" s="693"/>
      <c r="K183" s="772"/>
      <c r="L183" s="686"/>
    </row>
    <row r="184" spans="1:13">
      <c r="A184" s="771"/>
      <c r="B184" s="710"/>
      <c r="C184" s="694"/>
      <c r="D184" s="770"/>
      <c r="E184" s="694"/>
      <c r="F184" s="694"/>
      <c r="G184" s="757"/>
      <c r="H184" s="694"/>
      <c r="I184" s="770"/>
      <c r="J184" s="694"/>
      <c r="K184" s="772"/>
      <c r="L184" s="686"/>
    </row>
    <row r="185" spans="1:13">
      <c r="B185" s="687"/>
      <c r="C185" s="687"/>
      <c r="D185" s="688"/>
      <c r="E185" s="687"/>
      <c r="F185" s="687"/>
      <c r="G185" s="687"/>
      <c r="H185" s="689"/>
      <c r="I185" s="695"/>
      <c r="J185" s="695"/>
      <c r="K185" s="690"/>
      <c r="L185" s="689"/>
      <c r="M185" s="689"/>
    </row>
    <row r="186" spans="1:13">
      <c r="B186" s="687"/>
      <c r="C186" s="687"/>
      <c r="D186" s="688"/>
      <c r="E186" s="687"/>
      <c r="F186" s="687"/>
      <c r="G186" s="687"/>
      <c r="H186" s="689"/>
      <c r="I186" s="690"/>
      <c r="J186" s="690"/>
      <c r="K186" s="690"/>
      <c r="L186" s="689"/>
      <c r="M186" s="689"/>
    </row>
    <row r="187" spans="1:13" ht="16.5" customHeight="1">
      <c r="B187" s="687"/>
      <c r="C187" s="687"/>
      <c r="D187" s="688"/>
      <c r="E187" s="687"/>
      <c r="F187" s="687"/>
      <c r="G187" s="687"/>
      <c r="H187" s="689"/>
      <c r="I187" s="689"/>
      <c r="K187" s="690" t="str">
        <f>K102</f>
        <v>Attachment H -11A</v>
      </c>
      <c r="L187" s="689"/>
      <c r="M187" s="689"/>
    </row>
    <row r="188" spans="1:13" ht="16.5" customHeight="1">
      <c r="B188" s="687"/>
      <c r="C188" s="687"/>
      <c r="D188" s="688"/>
      <c r="E188" s="687"/>
      <c r="F188" s="687"/>
      <c r="G188" s="687"/>
      <c r="H188" s="689"/>
      <c r="I188" s="689"/>
      <c r="J188" s="689"/>
      <c r="K188" s="690" t="s">
        <v>144</v>
      </c>
      <c r="L188" s="689"/>
      <c r="M188" s="689"/>
    </row>
    <row r="189" spans="1:13" ht="16.5" customHeight="1">
      <c r="B189" s="687"/>
      <c r="C189" s="687"/>
      <c r="D189" s="688"/>
      <c r="E189" s="687"/>
      <c r="F189" s="687"/>
      <c r="G189" s="687"/>
      <c r="H189" s="689"/>
      <c r="I189" s="689"/>
      <c r="J189" s="689"/>
      <c r="K189" s="690"/>
      <c r="L189" s="689"/>
      <c r="M189" s="689"/>
    </row>
    <row r="190" spans="1:13">
      <c r="B190" s="687" t="s">
        <v>1</v>
      </c>
      <c r="C190" s="687"/>
      <c r="D190" s="688" t="s">
        <v>2</v>
      </c>
      <c r="E190" s="687"/>
      <c r="F190" s="687"/>
      <c r="G190" s="687"/>
      <c r="H190" s="719"/>
      <c r="I190" s="719"/>
      <c r="J190" s="719"/>
      <c r="K190" s="743" t="str">
        <f>K4</f>
        <v>For the 12 months ended 12/31/2022</v>
      </c>
      <c r="L190" s="689"/>
      <c r="M190" s="689"/>
    </row>
    <row r="191" spans="1:13">
      <c r="B191" s="687"/>
      <c r="C191" s="694" t="s">
        <v>3</v>
      </c>
      <c r="D191" s="694" t="s">
        <v>4</v>
      </c>
      <c r="E191" s="694"/>
      <c r="F191" s="694"/>
      <c r="G191" s="694"/>
      <c r="H191" s="689"/>
      <c r="I191" s="689"/>
      <c r="J191" s="689"/>
      <c r="K191" s="689"/>
      <c r="L191" s="689"/>
      <c r="M191" s="689"/>
    </row>
    <row r="192" spans="1:13" ht="9.75" customHeight="1">
      <c r="A192" s="695"/>
      <c r="J192" s="694"/>
      <c r="K192" s="694"/>
      <c r="L192" s="694"/>
      <c r="M192" s="694"/>
    </row>
    <row r="193" spans="1:13">
      <c r="A193" s="695"/>
      <c r="D193" s="686" t="str">
        <f>D7</f>
        <v>MON POWER</v>
      </c>
      <c r="J193" s="694"/>
      <c r="K193" s="694"/>
      <c r="L193" s="694"/>
      <c r="M193" s="694"/>
    </row>
    <row r="194" spans="1:13">
      <c r="A194" s="695"/>
      <c r="C194" s="750" t="s">
        <v>69</v>
      </c>
      <c r="E194" s="689"/>
      <c r="F194" s="689"/>
      <c r="G194" s="689"/>
      <c r="H194" s="689"/>
      <c r="I194" s="689"/>
      <c r="J194" s="694"/>
      <c r="K194" s="694"/>
      <c r="L194" s="689"/>
      <c r="M194" s="694"/>
    </row>
    <row r="195" spans="1:13">
      <c r="A195" s="695" t="s">
        <v>5</v>
      </c>
      <c r="B195" s="695" t="s">
        <v>19</v>
      </c>
      <c r="C195" s="695" t="s">
        <v>20</v>
      </c>
      <c r="D195" s="695" t="s">
        <v>21</v>
      </c>
      <c r="E195" s="698" t="s">
        <v>22</v>
      </c>
      <c r="F195" s="694"/>
      <c r="G195" s="698" t="s">
        <v>23</v>
      </c>
      <c r="H195" s="694"/>
      <c r="I195" s="698" t="s">
        <v>24</v>
      </c>
      <c r="J195" s="694"/>
      <c r="L195" s="689"/>
      <c r="M195" s="694"/>
    </row>
    <row r="196" spans="1:13" ht="16.2" thickBot="1">
      <c r="A196" s="700" t="s">
        <v>7</v>
      </c>
      <c r="B196" s="710" t="s">
        <v>70</v>
      </c>
      <c r="C196" s="719"/>
      <c r="D196" s="719"/>
      <c r="E196" s="719"/>
      <c r="F196" s="719"/>
      <c r="G196" s="719"/>
      <c r="H196" s="726"/>
      <c r="I196" s="726"/>
      <c r="J196" s="693"/>
      <c r="K196" s="694"/>
      <c r="L196" s="689"/>
      <c r="M196" s="694"/>
    </row>
    <row r="197" spans="1:13">
      <c r="A197" s="695">
        <v>1</v>
      </c>
      <c r="B197" s="719" t="s">
        <v>991</v>
      </c>
      <c r="C197" s="719"/>
      <c r="D197" s="693"/>
      <c r="E197" s="693"/>
      <c r="F197" s="693"/>
      <c r="G197" s="693"/>
      <c r="H197" s="693"/>
      <c r="I197" s="714">
        <f>D41</f>
        <v>632680555.31481194</v>
      </c>
      <c r="J197" s="693"/>
      <c r="K197" s="694"/>
      <c r="L197" s="689"/>
      <c r="M197" s="694"/>
    </row>
    <row r="198" spans="1:13">
      <c r="A198" s="695">
        <v>2</v>
      </c>
      <c r="B198" s="719" t="s">
        <v>271</v>
      </c>
      <c r="C198" s="726"/>
      <c r="D198" s="726"/>
      <c r="E198" s="726"/>
      <c r="F198" s="726"/>
      <c r="G198" s="726"/>
      <c r="H198" s="726"/>
      <c r="I198" s="716"/>
      <c r="J198" s="693"/>
      <c r="K198" s="694"/>
      <c r="L198" s="694"/>
      <c r="M198" s="694"/>
    </row>
    <row r="199" spans="1:13" ht="16.2" thickBot="1">
      <c r="A199" s="695">
        <v>3</v>
      </c>
      <c r="B199" s="786" t="s">
        <v>272</v>
      </c>
      <c r="C199" s="786"/>
      <c r="D199" s="751"/>
      <c r="E199" s="751"/>
      <c r="F199" s="693"/>
      <c r="G199" s="787"/>
      <c r="H199" s="693"/>
      <c r="I199" s="788">
        <v>24274476.969999999</v>
      </c>
      <c r="J199" s="693"/>
      <c r="K199" s="694"/>
      <c r="L199" s="694"/>
      <c r="M199" s="694"/>
    </row>
    <row r="200" spans="1:13">
      <c r="A200" s="695">
        <v>4</v>
      </c>
      <c r="B200" s="719" t="s">
        <v>992</v>
      </c>
      <c r="C200" s="719"/>
      <c r="D200" s="751"/>
      <c r="E200" s="751"/>
      <c r="F200" s="693"/>
      <c r="G200" s="787"/>
      <c r="H200" s="693"/>
      <c r="I200" s="714">
        <f>I197-I198-I199</f>
        <v>608406078.34481192</v>
      </c>
      <c r="J200" s="693"/>
      <c r="K200" s="694"/>
      <c r="L200" s="689"/>
      <c r="M200" s="694"/>
    </row>
    <row r="201" spans="1:13">
      <c r="A201" s="695">
        <v>5</v>
      </c>
      <c r="B201" s="719" t="s">
        <v>993</v>
      </c>
      <c r="C201" s="696"/>
      <c r="D201" s="789"/>
      <c r="E201" s="789"/>
      <c r="F201" s="790"/>
      <c r="G201" s="791"/>
      <c r="H201" s="693" t="s">
        <v>71</v>
      </c>
      <c r="I201" s="792">
        <f>IF(I197&gt;0,I200/I197,0)</f>
        <v>0.9616323328319748</v>
      </c>
      <c r="J201" s="693"/>
      <c r="K201" s="694"/>
      <c r="L201" s="689"/>
      <c r="M201" s="694"/>
    </row>
    <row r="202" spans="1:13" ht="9.75" customHeight="1">
      <c r="A202" s="695"/>
      <c r="B202" s="719"/>
      <c r="C202" s="696"/>
      <c r="D202" s="789"/>
      <c r="E202" s="789"/>
      <c r="F202" s="790"/>
      <c r="G202" s="791"/>
      <c r="H202" s="693"/>
      <c r="I202" s="792"/>
      <c r="J202" s="693"/>
      <c r="K202" s="694"/>
      <c r="L202" s="689"/>
      <c r="M202" s="694"/>
    </row>
    <row r="203" spans="1:13">
      <c r="A203" s="695"/>
      <c r="B203" s="710" t="s">
        <v>72</v>
      </c>
      <c r="C203" s="726"/>
      <c r="D203" s="752"/>
      <c r="E203" s="752"/>
      <c r="F203" s="726"/>
      <c r="G203" s="726"/>
      <c r="H203" s="726"/>
      <c r="I203" s="726"/>
      <c r="J203" s="693"/>
      <c r="K203" s="694"/>
      <c r="L203" s="689"/>
      <c r="M203" s="694"/>
    </row>
    <row r="204" spans="1:13" ht="9.75" customHeight="1">
      <c r="A204" s="695"/>
      <c r="B204" s="726"/>
      <c r="C204" s="726"/>
      <c r="D204" s="752"/>
      <c r="E204" s="752"/>
      <c r="F204" s="726"/>
      <c r="G204" s="726"/>
      <c r="H204" s="726"/>
      <c r="I204" s="726"/>
      <c r="J204" s="693"/>
      <c r="K204" s="694"/>
      <c r="L204" s="689"/>
      <c r="M204" s="694"/>
    </row>
    <row r="205" spans="1:13" ht="15.6" customHeight="1">
      <c r="A205" s="695">
        <v>6</v>
      </c>
      <c r="B205" s="726" t="s">
        <v>994</v>
      </c>
      <c r="C205" s="726"/>
      <c r="D205" s="727"/>
      <c r="E205" s="727"/>
      <c r="F205" s="719"/>
      <c r="G205" s="709"/>
      <c r="H205" s="719"/>
      <c r="I205" s="714">
        <f>D113</f>
        <v>124329489.12000002</v>
      </c>
      <c r="J205" s="909"/>
      <c r="K205" s="693"/>
      <c r="L205" s="694"/>
      <c r="M205" s="694"/>
    </row>
    <row r="206" spans="1:13" ht="16.2" thickBot="1">
      <c r="A206" s="695">
        <v>7</v>
      </c>
      <c r="B206" s="1171" t="s">
        <v>957</v>
      </c>
      <c r="C206" s="786"/>
      <c r="D206" s="751"/>
      <c r="E206" s="751"/>
      <c r="F206" s="693"/>
      <c r="G206" s="693"/>
      <c r="H206" s="693"/>
      <c r="I206" s="788">
        <v>706723.6</v>
      </c>
      <c r="J206" s="693"/>
      <c r="K206" s="693"/>
      <c r="L206" s="694"/>
      <c r="M206" s="694"/>
    </row>
    <row r="207" spans="1:13">
      <c r="A207" s="695">
        <v>8</v>
      </c>
      <c r="B207" s="719" t="s">
        <v>995</v>
      </c>
      <c r="C207" s="696"/>
      <c r="D207" s="789"/>
      <c r="E207" s="789"/>
      <c r="F207" s="790"/>
      <c r="G207" s="791"/>
      <c r="H207" s="790"/>
      <c r="I207" s="714">
        <f>SUM(I205-I206)</f>
        <v>123622765.52000003</v>
      </c>
      <c r="J207" s="726"/>
      <c r="L207" s="694"/>
      <c r="M207" s="694"/>
    </row>
    <row r="208" spans="1:13" ht="15.6" customHeight="1">
      <c r="A208" s="695">
        <v>9</v>
      </c>
      <c r="B208" s="719" t="s">
        <v>996</v>
      </c>
      <c r="C208" s="719"/>
      <c r="D208" s="950"/>
      <c r="E208" s="693"/>
      <c r="F208" s="693"/>
      <c r="G208" s="693"/>
      <c r="H208" s="693"/>
      <c r="I208" s="774">
        <f>IF(I205&gt;0,I207/I205,0)</f>
        <v>0.99431572022854631</v>
      </c>
      <c r="J208" s="726"/>
      <c r="L208" s="694"/>
      <c r="M208" s="694"/>
    </row>
    <row r="209" spans="1:18" ht="15" customHeight="1">
      <c r="A209" s="695">
        <v>10</v>
      </c>
      <c r="B209" s="719" t="s">
        <v>997</v>
      </c>
      <c r="C209" s="719"/>
      <c r="D209" s="951"/>
      <c r="E209" s="693"/>
      <c r="F209" s="693"/>
      <c r="G209" s="693"/>
      <c r="H209" s="719" t="s">
        <v>13</v>
      </c>
      <c r="I209" s="793">
        <f>I201</f>
        <v>0.9616323328319748</v>
      </c>
      <c r="J209" s="726"/>
      <c r="L209" s="694"/>
      <c r="M209" s="694"/>
    </row>
    <row r="210" spans="1:18">
      <c r="A210" s="695">
        <v>11</v>
      </c>
      <c r="B210" s="719" t="s">
        <v>998</v>
      </c>
      <c r="C210" s="719"/>
      <c r="D210" s="951"/>
      <c r="E210" s="719"/>
      <c r="F210" s="719"/>
      <c r="G210" s="719"/>
      <c r="H210" s="719" t="s">
        <v>73</v>
      </c>
      <c r="I210" s="794">
        <f>+I209*I208</f>
        <v>0.95616614561488222</v>
      </c>
      <c r="J210" s="726"/>
      <c r="L210" s="694"/>
      <c r="M210" s="694"/>
    </row>
    <row r="211" spans="1:18" ht="9.75" customHeight="1">
      <c r="A211" s="695"/>
      <c r="C211" s="689"/>
      <c r="D211" s="951"/>
      <c r="E211" s="694"/>
      <c r="F211" s="694"/>
      <c r="G211" s="768"/>
      <c r="H211" s="694"/>
      <c r="L211" s="694"/>
      <c r="M211" s="694"/>
    </row>
    <row r="212" spans="1:18">
      <c r="A212" s="695" t="s">
        <v>3</v>
      </c>
      <c r="B212" s="687" t="s">
        <v>74</v>
      </c>
      <c r="C212" s="694"/>
      <c r="D212" s="694"/>
      <c r="E212" s="694"/>
      <c r="F212" s="694"/>
      <c r="G212" s="694"/>
      <c r="H212" s="694"/>
      <c r="I212" s="694"/>
      <c r="J212" s="694"/>
      <c r="K212" s="694"/>
      <c r="L212" s="694"/>
      <c r="M212" s="694"/>
    </row>
    <row r="213" spans="1:18" ht="16.2" thickBot="1">
      <c r="A213" s="695" t="s">
        <v>3</v>
      </c>
      <c r="B213" s="687"/>
      <c r="C213" s="795" t="s">
        <v>75</v>
      </c>
      <c r="D213" s="725" t="s">
        <v>76</v>
      </c>
      <c r="E213" s="725" t="s">
        <v>13</v>
      </c>
      <c r="F213" s="909" t="s">
        <v>1133</v>
      </c>
      <c r="G213" s="725" t="s">
        <v>77</v>
      </c>
      <c r="H213" s="694"/>
      <c r="I213" s="694"/>
      <c r="J213" s="694"/>
      <c r="K213" s="694"/>
      <c r="L213" s="694"/>
      <c r="M213" s="694"/>
    </row>
    <row r="214" spans="1:18">
      <c r="A214" s="695">
        <v>12</v>
      </c>
      <c r="B214" s="687" t="s">
        <v>31</v>
      </c>
      <c r="C214" s="694" t="s">
        <v>138</v>
      </c>
      <c r="D214" s="716">
        <v>36507033</v>
      </c>
      <c r="E214" s="796">
        <v>0</v>
      </c>
      <c r="F214" s="796"/>
      <c r="G214" s="754">
        <f>D214*E214</f>
        <v>0</v>
      </c>
      <c r="H214" s="694"/>
      <c r="I214" s="694"/>
      <c r="J214" s="694"/>
      <c r="K214" s="694"/>
      <c r="L214" s="694"/>
      <c r="M214" s="694"/>
    </row>
    <row r="215" spans="1:18">
      <c r="A215" s="695">
        <v>13</v>
      </c>
      <c r="B215" s="687" t="s">
        <v>33</v>
      </c>
      <c r="C215" s="694" t="s">
        <v>139</v>
      </c>
      <c r="D215" s="716">
        <v>2667302</v>
      </c>
      <c r="E215" s="796">
        <f>+I201</f>
        <v>0.9616323328319748</v>
      </c>
      <c r="F215" s="1281"/>
      <c r="G215" s="754">
        <f>D215*E215</f>
        <v>2564963.844627392</v>
      </c>
      <c r="H215" s="694"/>
      <c r="I215" s="1279" t="s">
        <v>1131</v>
      </c>
      <c r="J215" s="694"/>
      <c r="K215" s="694"/>
      <c r="L215" s="694"/>
      <c r="M215" s="694"/>
    </row>
    <row r="216" spans="1:18">
      <c r="A216" s="695">
        <v>14</v>
      </c>
      <c r="B216" s="687" t="s">
        <v>34</v>
      </c>
      <c r="C216" s="694" t="s">
        <v>140</v>
      </c>
      <c r="D216" s="716">
        <v>15609022</v>
      </c>
      <c r="E216" s="796">
        <v>0</v>
      </c>
      <c r="F216" s="796"/>
      <c r="G216" s="754">
        <f>D216*E216</f>
        <v>0</v>
      </c>
      <c r="H216" s="694"/>
      <c r="I216" s="797" t="s">
        <v>78</v>
      </c>
      <c r="J216" s="694"/>
      <c r="K216" s="694"/>
      <c r="L216" s="694"/>
      <c r="M216" s="694"/>
    </row>
    <row r="217" spans="1:18" ht="16.2" thickBot="1">
      <c r="A217" s="695">
        <v>15</v>
      </c>
      <c r="B217" s="687" t="s">
        <v>79</v>
      </c>
      <c r="C217" s="917" t="s">
        <v>723</v>
      </c>
      <c r="D217" s="788">
        <v>8221625</v>
      </c>
      <c r="E217" s="796">
        <v>0</v>
      </c>
      <c r="F217" s="796"/>
      <c r="G217" s="756">
        <f>D217*E217</f>
        <v>0</v>
      </c>
      <c r="H217" s="694"/>
      <c r="I217" s="700" t="s">
        <v>80</v>
      </c>
      <c r="J217" s="694"/>
      <c r="K217" s="694"/>
      <c r="L217" s="694"/>
      <c r="M217" s="694"/>
    </row>
    <row r="218" spans="1:18">
      <c r="A218" s="695">
        <v>16</v>
      </c>
      <c r="B218" s="687" t="s">
        <v>999</v>
      </c>
      <c r="C218" s="694"/>
      <c r="D218" s="714">
        <f>SUM(D214:D217)</f>
        <v>63004982</v>
      </c>
      <c r="E218" s="694"/>
      <c r="F218" s="694"/>
      <c r="G218" s="754">
        <f>SUM(G214:G217)</f>
        <v>2564963.844627392</v>
      </c>
      <c r="H218" s="695" t="s">
        <v>81</v>
      </c>
      <c r="I218" s="753">
        <f>IF(G218&gt;0,G218/D218,1)</f>
        <v>4.071049245958664E-2</v>
      </c>
      <c r="J218" s="798" t="s">
        <v>149</v>
      </c>
      <c r="K218" s="694"/>
      <c r="L218" s="694"/>
      <c r="M218" s="694"/>
    </row>
    <row r="219" spans="1:18" ht="24" customHeight="1">
      <c r="A219" s="695"/>
      <c r="B219" s="687"/>
      <c r="C219" s="694"/>
      <c r="D219" s="694"/>
      <c r="E219" s="694"/>
      <c r="F219" s="694"/>
      <c r="G219" s="694"/>
      <c r="H219" s="694"/>
      <c r="I219" s="694"/>
      <c r="J219" s="694"/>
      <c r="K219" s="694"/>
      <c r="L219" s="694"/>
      <c r="M219" s="694"/>
    </row>
    <row r="220" spans="1:18">
      <c r="A220" s="695"/>
      <c r="B220" s="687" t="s">
        <v>148</v>
      </c>
      <c r="C220" s="694"/>
      <c r="D220" s="694"/>
      <c r="E220" s="694"/>
      <c r="F220" s="694"/>
      <c r="G220" s="694"/>
      <c r="H220" s="694"/>
      <c r="I220" s="694"/>
      <c r="J220" s="694"/>
      <c r="K220" s="694"/>
      <c r="L220" s="694"/>
      <c r="M220" s="694"/>
    </row>
    <row r="221" spans="1:18">
      <c r="A221" s="695"/>
      <c r="B221" s="687"/>
      <c r="C221" s="694"/>
      <c r="D221" s="799" t="s">
        <v>76</v>
      </c>
      <c r="E221" s="694"/>
      <c r="F221" s="694"/>
      <c r="G221" s="787" t="s">
        <v>82</v>
      </c>
      <c r="H221" s="800" t="s">
        <v>3</v>
      </c>
      <c r="I221" s="760" t="str">
        <f>+I216</f>
        <v>W&amp;S Allocator</v>
      </c>
      <c r="J221" s="726"/>
      <c r="K221" s="726"/>
      <c r="L221" s="694"/>
      <c r="M221" s="694"/>
    </row>
    <row r="222" spans="1:18">
      <c r="A222" s="695">
        <v>17</v>
      </c>
      <c r="B222" s="687" t="s">
        <v>83</v>
      </c>
      <c r="C222" s="694" t="s">
        <v>84</v>
      </c>
      <c r="D222" s="801"/>
      <c r="E222" s="694"/>
      <c r="G222" s="709" t="s">
        <v>1000</v>
      </c>
      <c r="H222" s="800"/>
      <c r="I222" s="709" t="s">
        <v>1001</v>
      </c>
      <c r="J222" s="693"/>
      <c r="K222" s="709" t="s">
        <v>38</v>
      </c>
      <c r="L222" s="694"/>
      <c r="M222" s="694"/>
    </row>
    <row r="223" spans="1:18">
      <c r="A223" s="695">
        <v>18</v>
      </c>
      <c r="B223" s="687" t="s">
        <v>85</v>
      </c>
      <c r="C223" s="694" t="s">
        <v>86</v>
      </c>
      <c r="D223" s="801"/>
      <c r="E223" s="694"/>
      <c r="G223" s="802">
        <f>IF(D225&gt;0,D222/D225,1)</f>
        <v>1</v>
      </c>
      <c r="H223" s="787" t="s">
        <v>87</v>
      </c>
      <c r="I223" s="802">
        <f>I218</f>
        <v>4.071049245958664E-2</v>
      </c>
      <c r="J223" s="800" t="s">
        <v>81</v>
      </c>
      <c r="K223" s="802">
        <f>G223*I223</f>
        <v>4.071049245958664E-2</v>
      </c>
      <c r="L223" s="694"/>
      <c r="M223" s="803"/>
      <c r="N223" s="803"/>
      <c r="O223" s="804"/>
      <c r="P223" s="805"/>
      <c r="Q223" s="805"/>
      <c r="R223" s="805"/>
    </row>
    <row r="224" spans="1:18" ht="16.2" thickBot="1">
      <c r="A224" s="695">
        <v>19</v>
      </c>
      <c r="B224" s="806" t="s">
        <v>88</v>
      </c>
      <c r="C224" s="795" t="s">
        <v>89</v>
      </c>
      <c r="D224" s="807"/>
      <c r="E224" s="694"/>
      <c r="F224" s="694"/>
      <c r="G224" s="694" t="s">
        <v>3</v>
      </c>
      <c r="H224" s="694"/>
      <c r="I224" s="694"/>
      <c r="J224" s="694"/>
      <c r="K224" s="694"/>
      <c r="L224" s="694"/>
      <c r="M224" s="808"/>
      <c r="N224" s="808"/>
      <c r="O224" s="805"/>
      <c r="P224" s="805"/>
      <c r="Q224" s="805"/>
      <c r="R224" s="805"/>
    </row>
    <row r="225" spans="1:18">
      <c r="A225" s="695">
        <v>20</v>
      </c>
      <c r="B225" s="687" t="s">
        <v>1002</v>
      </c>
      <c r="C225" s="694"/>
      <c r="D225" s="739">
        <f>SUM(D222:D224)</f>
        <v>0</v>
      </c>
      <c r="E225" s="694"/>
      <c r="F225" s="694"/>
      <c r="G225" s="694"/>
      <c r="H225" s="694"/>
      <c r="I225" s="694"/>
      <c r="J225" s="694"/>
      <c r="K225" s="694"/>
      <c r="L225" s="694"/>
      <c r="M225" s="809"/>
      <c r="N225" s="810"/>
      <c r="O225" s="811"/>
      <c r="P225" s="812"/>
      <c r="Q225" s="810"/>
      <c r="R225" s="810"/>
    </row>
    <row r="226" spans="1:18">
      <c r="A226" s="695"/>
      <c r="B226" s="687"/>
      <c r="C226" s="694"/>
      <c r="D226" s="739"/>
      <c r="E226" s="694"/>
      <c r="F226" s="694"/>
      <c r="G226" s="694"/>
      <c r="H226" s="694"/>
      <c r="I226" s="694"/>
      <c r="J226" s="694"/>
      <c r="K226" s="694"/>
      <c r="L226" s="694"/>
      <c r="M226" s="809"/>
      <c r="N226" s="810"/>
      <c r="O226" s="811"/>
      <c r="P226" s="812"/>
      <c r="Q226" s="810"/>
      <c r="R226" s="810"/>
    </row>
    <row r="227" spans="1:18" s="1216" customFormat="1">
      <c r="A227" s="709"/>
      <c r="B227" s="916" t="s">
        <v>901</v>
      </c>
      <c r="C227" s="693"/>
      <c r="E227" s="693"/>
      <c r="F227" s="693"/>
      <c r="G227" s="693"/>
      <c r="H227" s="693"/>
      <c r="I227" s="693"/>
      <c r="J227" s="693"/>
      <c r="K227" s="693"/>
      <c r="L227" s="693"/>
      <c r="M227" s="1311"/>
      <c r="N227" s="1311"/>
      <c r="O227" s="1311"/>
      <c r="P227" s="1311"/>
      <c r="Q227" s="1311"/>
      <c r="R227" s="1311"/>
    </row>
    <row r="228" spans="1:18" s="1216" customFormat="1">
      <c r="A228" s="709"/>
      <c r="B228" s="916"/>
      <c r="C228" s="693"/>
      <c r="E228" s="693"/>
      <c r="F228" s="693"/>
      <c r="G228" s="693"/>
      <c r="H228" s="693"/>
      <c r="I228" s="693"/>
      <c r="J228" s="693"/>
      <c r="K228" s="693"/>
      <c r="L228" s="693"/>
      <c r="M228" s="1220"/>
      <c r="N228" s="1220"/>
      <c r="O228" s="1220"/>
      <c r="P228" s="1220"/>
      <c r="Q228" s="1220"/>
      <c r="R228" s="1220"/>
    </row>
    <row r="229" spans="1:18" s="1216" customFormat="1">
      <c r="A229" s="709">
        <v>21</v>
      </c>
      <c r="B229" s="916" t="s">
        <v>924</v>
      </c>
      <c r="C229" s="693"/>
      <c r="E229" s="693"/>
      <c r="F229" s="693"/>
      <c r="G229" s="693"/>
      <c r="H229" s="693"/>
      <c r="I229" s="693"/>
      <c r="J229" s="693"/>
      <c r="K229" s="693"/>
      <c r="L229" s="693"/>
      <c r="M229" s="1220"/>
      <c r="N229" s="1220"/>
      <c r="O229" s="1220"/>
      <c r="P229" s="1220"/>
      <c r="Q229" s="1220"/>
      <c r="R229" s="1220"/>
    </row>
    <row r="230" spans="1:18" s="1216" customFormat="1">
      <c r="A230" s="709">
        <v>22</v>
      </c>
      <c r="B230" s="916" t="s">
        <v>172</v>
      </c>
      <c r="C230" s="5" t="s">
        <v>1048</v>
      </c>
      <c r="E230" s="693"/>
      <c r="F230" s="693"/>
      <c r="G230" s="693"/>
      <c r="H230" s="693"/>
      <c r="I230" s="693">
        <f>IF(I161=0, 0, I161/I57)</f>
        <v>1.3111784669027734E-2</v>
      </c>
      <c r="J230" s="693"/>
      <c r="K230" s="693"/>
      <c r="L230" s="693"/>
      <c r="M230" s="1220"/>
      <c r="N230" s="1220"/>
      <c r="O230" s="1220"/>
      <c r="P230" s="1220"/>
      <c r="Q230" s="1220"/>
      <c r="R230" s="1220"/>
    </row>
    <row r="231" spans="1:18" s="1216" customFormat="1">
      <c r="A231" s="709">
        <v>23</v>
      </c>
      <c r="B231" s="916" t="s">
        <v>176</v>
      </c>
      <c r="C231" s="5" t="s">
        <v>1016</v>
      </c>
      <c r="E231" s="693"/>
      <c r="F231" s="693"/>
      <c r="G231" s="693"/>
      <c r="H231" s="693"/>
      <c r="I231" s="693">
        <f>IF(I163=0, 0, I163/I57)</f>
        <v>5.8461799872237021E-2</v>
      </c>
      <c r="J231" s="693"/>
      <c r="K231" s="693"/>
      <c r="L231" s="693"/>
      <c r="M231" s="1220"/>
      <c r="N231" s="1220"/>
      <c r="O231" s="1220"/>
      <c r="P231" s="1220"/>
      <c r="Q231" s="1220"/>
      <c r="R231" s="1220"/>
    </row>
    <row r="232" spans="1:18" s="1216" customFormat="1">
      <c r="A232" s="709">
        <v>24</v>
      </c>
      <c r="B232" s="916" t="s">
        <v>972</v>
      </c>
      <c r="C232" s="5" t="s">
        <v>1017</v>
      </c>
      <c r="E232" s="693"/>
      <c r="F232" s="693"/>
      <c r="G232" s="693"/>
      <c r="H232" s="693"/>
      <c r="I232" s="693">
        <f>SUM(I230:I231)</f>
        <v>7.1573584541264751E-2</v>
      </c>
      <c r="J232" s="693"/>
      <c r="K232" s="693"/>
      <c r="L232" s="693"/>
      <c r="M232" s="1220"/>
      <c r="N232" s="1220"/>
      <c r="O232" s="1220"/>
      <c r="P232" s="1220"/>
      <c r="Q232" s="1220"/>
      <c r="R232" s="1220"/>
    </row>
    <row r="233" spans="1:18" s="1216" customFormat="1">
      <c r="A233" s="709"/>
      <c r="B233" s="916"/>
      <c r="C233" s="719"/>
      <c r="E233" s="693"/>
      <c r="F233" s="693"/>
      <c r="G233" s="693"/>
      <c r="H233" s="693"/>
      <c r="I233" s="693"/>
      <c r="J233" s="693"/>
      <c r="K233" s="693"/>
      <c r="L233" s="693"/>
      <c r="M233" s="1220"/>
      <c r="N233" s="1220"/>
      <c r="O233" s="1220"/>
      <c r="P233" s="1220"/>
      <c r="Q233" s="1220"/>
      <c r="R233" s="1220"/>
    </row>
    <row r="234" spans="1:18" s="1216" customFormat="1">
      <c r="A234" s="709">
        <v>25</v>
      </c>
      <c r="B234" s="916" t="s">
        <v>1006</v>
      </c>
      <c r="C234" s="719"/>
      <c r="E234" s="693"/>
      <c r="F234" s="693"/>
      <c r="G234" s="693"/>
      <c r="H234" s="693"/>
      <c r="I234" s="693"/>
      <c r="J234" s="693"/>
      <c r="K234" s="693"/>
      <c r="L234" s="693"/>
      <c r="M234" s="1220"/>
      <c r="N234" s="1220"/>
      <c r="O234" s="1220"/>
      <c r="P234" s="1220"/>
      <c r="Q234" s="1220"/>
      <c r="R234" s="1220"/>
    </row>
    <row r="235" spans="1:18" s="1216" customFormat="1">
      <c r="A235" s="709">
        <v>26</v>
      </c>
      <c r="B235" s="916" t="s">
        <v>172</v>
      </c>
      <c r="C235" s="5" t="s">
        <v>878</v>
      </c>
      <c r="E235" s="693"/>
      <c r="F235" s="693"/>
      <c r="G235" s="693"/>
      <c r="H235" s="693"/>
      <c r="I235" s="693">
        <f>'Attach 2a - Scaled ROE Adder'!I57/I57</f>
        <v>1.4327443597459988E-2</v>
      </c>
      <c r="J235" s="693"/>
      <c r="K235" s="693"/>
      <c r="L235" s="693"/>
      <c r="M235" s="1220"/>
      <c r="N235" s="1220"/>
      <c r="O235" s="1220"/>
      <c r="P235" s="1220"/>
      <c r="Q235" s="1220"/>
      <c r="R235" s="1220"/>
    </row>
    <row r="236" spans="1:18" s="1216" customFormat="1">
      <c r="A236" s="709">
        <v>27</v>
      </c>
      <c r="B236" s="916" t="s">
        <v>176</v>
      </c>
      <c r="C236" s="5" t="s">
        <v>879</v>
      </c>
      <c r="E236" s="693"/>
      <c r="F236" s="693"/>
      <c r="G236" s="710"/>
      <c r="H236" s="693"/>
      <c r="I236" s="710">
        <f>'Attach 2a - Scaled ROE Adder'!I40/I57</f>
        <v>6.198377660974369E-2</v>
      </c>
      <c r="J236" s="693"/>
      <c r="K236" s="693"/>
      <c r="L236" s="693"/>
      <c r="M236" s="1220"/>
      <c r="N236" s="1220"/>
      <c r="O236" s="1220"/>
      <c r="P236" s="1220"/>
      <c r="Q236" s="1220"/>
      <c r="R236" s="1220"/>
    </row>
    <row r="237" spans="1:18" s="1216" customFormat="1">
      <c r="A237" s="709">
        <v>28</v>
      </c>
      <c r="B237" s="916" t="s">
        <v>1007</v>
      </c>
      <c r="C237" s="5" t="s">
        <v>1018</v>
      </c>
      <c r="E237" s="693"/>
      <c r="F237" s="693"/>
      <c r="G237" s="693"/>
      <c r="H237" s="693"/>
      <c r="I237" s="693">
        <f>SUM(I235:I236)</f>
        <v>7.6311220207203684E-2</v>
      </c>
      <c r="J237" s="693"/>
      <c r="K237" s="693"/>
      <c r="L237" s="693"/>
      <c r="M237" s="1220"/>
      <c r="N237" s="1220"/>
      <c r="O237" s="1220"/>
      <c r="P237" s="1220"/>
      <c r="Q237" s="1220"/>
      <c r="R237" s="1220"/>
    </row>
    <row r="238" spans="1:18" s="1216" customFormat="1">
      <c r="A238" s="709"/>
      <c r="B238" s="916"/>
      <c r="C238" s="719"/>
      <c r="E238" s="693"/>
      <c r="F238" s="693"/>
      <c r="G238" s="693"/>
      <c r="H238" s="693"/>
      <c r="I238" s="693"/>
      <c r="J238" s="693"/>
      <c r="K238" s="693"/>
      <c r="L238" s="693"/>
      <c r="M238" s="1220"/>
      <c r="N238" s="1220"/>
      <c r="O238" s="1220"/>
      <c r="P238" s="1220"/>
      <c r="Q238" s="1220"/>
      <c r="R238" s="1220"/>
    </row>
    <row r="239" spans="1:18" s="1216" customFormat="1">
      <c r="A239" s="709">
        <v>29</v>
      </c>
      <c r="B239" s="916" t="s">
        <v>869</v>
      </c>
      <c r="C239" s="5" t="s">
        <v>1019</v>
      </c>
      <c r="E239" s="693"/>
      <c r="F239" s="693"/>
      <c r="G239" s="693"/>
      <c r="H239" s="693"/>
      <c r="I239" s="693">
        <f>I237-I232</f>
        <v>4.7376356659389329E-3</v>
      </c>
      <c r="J239" s="693"/>
      <c r="K239" s="693"/>
      <c r="L239" s="693"/>
      <c r="M239" s="1220"/>
      <c r="N239" s="1220"/>
      <c r="O239" s="1220"/>
      <c r="P239" s="1220"/>
      <c r="Q239" s="1220"/>
      <c r="R239" s="1220"/>
    </row>
    <row r="240" spans="1:18" s="1216" customFormat="1">
      <c r="A240" s="709"/>
      <c r="B240" s="916"/>
      <c r="C240" s="693"/>
      <c r="E240" s="693"/>
      <c r="F240" s="693"/>
      <c r="G240" s="693"/>
      <c r="H240" s="693"/>
      <c r="I240" s="693"/>
      <c r="J240" s="693"/>
      <c r="K240" s="693"/>
      <c r="L240" s="693"/>
      <c r="M240" s="1220"/>
      <c r="N240" s="1220"/>
      <c r="O240" s="1220"/>
      <c r="P240" s="1220"/>
      <c r="Q240" s="1220"/>
      <c r="R240" s="1220"/>
    </row>
    <row r="241" spans="1:18" s="1216" customFormat="1">
      <c r="A241" s="709"/>
      <c r="B241" s="916"/>
      <c r="C241" s="693"/>
      <c r="E241" s="693"/>
      <c r="F241" s="693"/>
      <c r="G241" s="693"/>
      <c r="H241" s="693"/>
      <c r="I241" s="693"/>
      <c r="J241" s="693"/>
      <c r="K241" s="693"/>
      <c r="L241" s="693"/>
      <c r="M241" s="1220"/>
      <c r="N241" s="1220"/>
      <c r="O241" s="1220"/>
      <c r="P241" s="1220"/>
      <c r="Q241" s="1220"/>
      <c r="R241" s="1220"/>
    </row>
    <row r="242" spans="1:18">
      <c r="A242" s="978" t="s">
        <v>3</v>
      </c>
      <c r="B242" s="687"/>
      <c r="C242" s="694"/>
      <c r="E242" s="694"/>
      <c r="F242" s="694"/>
      <c r="G242" s="694"/>
      <c r="H242" s="694"/>
      <c r="I242" s="694"/>
      <c r="J242" s="694"/>
      <c r="K242" s="694"/>
      <c r="L242" s="694"/>
      <c r="M242" s="1107"/>
      <c r="N242" s="1107"/>
      <c r="O242" s="1107"/>
      <c r="P242" s="1107"/>
      <c r="Q242" s="1107"/>
      <c r="R242" s="1107"/>
    </row>
    <row r="243" spans="1:18" ht="16.2" thickBot="1">
      <c r="A243" s="695"/>
      <c r="B243" s="687" t="s">
        <v>90</v>
      </c>
      <c r="C243" s="694"/>
      <c r="D243" s="694"/>
      <c r="E243" s="694"/>
      <c r="F243" s="694"/>
      <c r="G243" s="694"/>
      <c r="H243" s="694"/>
      <c r="I243" s="725" t="s">
        <v>76</v>
      </c>
      <c r="J243" s="694"/>
      <c r="K243" s="694"/>
      <c r="L243" s="694"/>
      <c r="M243" s="810"/>
      <c r="N243" s="810"/>
      <c r="O243" s="811"/>
      <c r="P243" s="812"/>
      <c r="Q243" s="810"/>
      <c r="R243" s="810"/>
    </row>
    <row r="244" spans="1:18">
      <c r="A244" s="695"/>
      <c r="B244" s="689"/>
      <c r="C244" s="693"/>
      <c r="D244" s="693"/>
      <c r="E244" s="693"/>
      <c r="F244" s="693"/>
      <c r="G244" s="693"/>
      <c r="H244" s="693"/>
      <c r="I244" s="714"/>
      <c r="J244" s="693"/>
      <c r="K244" s="694"/>
      <c r="L244" s="694"/>
      <c r="M244" s="811"/>
      <c r="N244" s="811"/>
      <c r="O244" s="811"/>
      <c r="P244" s="812"/>
      <c r="Q244" s="810"/>
      <c r="R244" s="810"/>
    </row>
    <row r="245" spans="1:18">
      <c r="A245" s="709">
        <v>30</v>
      </c>
      <c r="B245" s="693" t="s">
        <v>150</v>
      </c>
      <c r="D245" s="693"/>
      <c r="E245" s="693"/>
      <c r="F245" s="693"/>
      <c r="G245" s="693"/>
      <c r="H245" s="693"/>
      <c r="I245" s="714">
        <v>0</v>
      </c>
      <c r="J245" s="693"/>
      <c r="K245" s="694"/>
      <c r="L245" s="694"/>
      <c r="M245" s="811"/>
      <c r="N245" s="810"/>
      <c r="O245" s="813"/>
      <c r="P245" s="813"/>
      <c r="Q245" s="810"/>
      <c r="R245" s="810"/>
    </row>
    <row r="246" spans="1:18">
      <c r="A246" s="709"/>
      <c r="B246" s="687"/>
      <c r="C246" s="694"/>
      <c r="D246" s="694"/>
      <c r="E246" s="694"/>
      <c r="F246" s="694"/>
      <c r="G246" s="694"/>
      <c r="H246" s="694"/>
      <c r="I246" s="754"/>
      <c r="J246" s="694"/>
      <c r="K246" s="694"/>
      <c r="L246" s="694"/>
      <c r="M246" s="811"/>
      <c r="N246" s="810"/>
      <c r="O246" s="810"/>
      <c r="P246" s="810"/>
      <c r="Q246" s="810"/>
      <c r="R246" s="810"/>
    </row>
    <row r="247" spans="1:18">
      <c r="A247" s="709"/>
      <c r="B247" s="727"/>
      <c r="C247" s="751"/>
      <c r="D247" s="727"/>
      <c r="E247" s="727"/>
      <c r="F247" s="727"/>
      <c r="G247" s="727"/>
      <c r="H247" s="727"/>
      <c r="I247" s="765"/>
      <c r="J247" s="694"/>
      <c r="K247" s="694"/>
      <c r="L247" s="694"/>
      <c r="M247" s="811"/>
      <c r="N247" s="810"/>
      <c r="O247" s="811"/>
      <c r="P247" s="812"/>
      <c r="Q247" s="810"/>
      <c r="R247" s="810"/>
    </row>
    <row r="248" spans="1:18">
      <c r="A248" s="709"/>
      <c r="B248" s="687"/>
      <c r="C248" s="694"/>
      <c r="D248" s="694"/>
      <c r="E248" s="787"/>
      <c r="F248" s="694"/>
      <c r="G248" s="768" t="s">
        <v>92</v>
      </c>
      <c r="H248" s="694"/>
      <c r="I248" s="694"/>
      <c r="J248" s="694"/>
      <c r="K248" s="694"/>
      <c r="L248" s="694"/>
      <c r="M248" s="811"/>
      <c r="N248" s="810"/>
      <c r="O248" s="811"/>
      <c r="P248" s="812"/>
      <c r="Q248" s="810"/>
      <c r="R248" s="810"/>
    </row>
    <row r="249" spans="1:18" ht="16.2" thickBot="1">
      <c r="A249" s="709"/>
      <c r="B249" s="687"/>
      <c r="C249" s="694"/>
      <c r="D249" s="700" t="s">
        <v>76</v>
      </c>
      <c r="E249" s="700" t="s">
        <v>93</v>
      </c>
      <c r="F249" s="694"/>
      <c r="G249" s="700" t="s">
        <v>94</v>
      </c>
      <c r="H249" s="694"/>
      <c r="I249" s="700" t="s">
        <v>95</v>
      </c>
      <c r="J249" s="694"/>
      <c r="K249" s="694"/>
      <c r="L249" s="694"/>
      <c r="M249" s="770"/>
      <c r="N249" s="812"/>
      <c r="O249" s="809"/>
      <c r="P249" s="809"/>
      <c r="Q249" s="809"/>
      <c r="R249" s="809"/>
    </row>
    <row r="250" spans="1:18">
      <c r="A250" s="709">
        <v>31</v>
      </c>
      <c r="B250" s="956" t="s">
        <v>1146</v>
      </c>
      <c r="D250" s="714">
        <f>'Attachment 8 - Cap Structure'!M23</f>
        <v>1649999999.9999957</v>
      </c>
      <c r="E250" s="814">
        <f>IF($D$253&gt;0,D250/$D$253,0)</f>
        <v>0.55375718594918666</v>
      </c>
      <c r="F250" s="815"/>
      <c r="G250" s="815">
        <f>'Attachment 10 - Debt Cost'!W25</f>
        <v>4.2299999999999997E-2</v>
      </c>
      <c r="I250" s="815">
        <f>G250*E250</f>
        <v>2.3423928965650594E-2</v>
      </c>
      <c r="J250" s="798" t="s">
        <v>96</v>
      </c>
      <c r="L250" s="686"/>
      <c r="M250" s="770"/>
      <c r="N250" s="809"/>
      <c r="O250" s="809"/>
      <c r="P250" s="809"/>
      <c r="Q250" s="809"/>
      <c r="R250" s="809"/>
    </row>
    <row r="251" spans="1:18">
      <c r="A251" s="709">
        <v>32</v>
      </c>
      <c r="B251" s="956" t="s">
        <v>1147</v>
      </c>
      <c r="D251" s="714">
        <f>'Attachment 8 - Cap Structure'!G23</f>
        <v>0</v>
      </c>
      <c r="E251" s="814">
        <f>IF($D$253&gt;0,D251/$D$253,0)</f>
        <v>0</v>
      </c>
      <c r="F251" s="815"/>
      <c r="G251" s="815">
        <f>IF(D251&gt;0,I245/D251,0)</f>
        <v>0</v>
      </c>
      <c r="I251" s="815">
        <f>G251*E251</f>
        <v>0</v>
      </c>
      <c r="J251" s="694"/>
      <c r="L251" s="694"/>
      <c r="M251" s="770"/>
      <c r="N251" s="809"/>
      <c r="O251" s="809"/>
      <c r="P251" s="809"/>
      <c r="Q251" s="809"/>
      <c r="R251" s="809"/>
    </row>
    <row r="252" spans="1:18" ht="16.2" thickBot="1">
      <c r="A252" s="709">
        <v>33</v>
      </c>
      <c r="B252" s="956" t="s">
        <v>1148</v>
      </c>
      <c r="D252" s="756">
        <f>'Attachment 8 - Cap Structure'!L23</f>
        <v>1329645306.4022253</v>
      </c>
      <c r="E252" s="814">
        <f>IF($D$253&gt;0,D252/$D$253,0)</f>
        <v>0.44624281405081345</v>
      </c>
      <c r="F252" s="815"/>
      <c r="G252" s="816">
        <v>0.1135</v>
      </c>
      <c r="I252" s="817">
        <f>G252*E252</f>
        <v>5.0648559394767326E-2</v>
      </c>
      <c r="J252" s="694"/>
      <c r="L252" s="694"/>
      <c r="M252" s="694"/>
    </row>
    <row r="253" spans="1:18">
      <c r="A253" s="709">
        <v>34</v>
      </c>
      <c r="B253" s="956" t="s">
        <v>1020</v>
      </c>
      <c r="D253" s="714">
        <f>SUM(D250:D252)</f>
        <v>2979645306.4022207</v>
      </c>
      <c r="E253" s="694" t="s">
        <v>3</v>
      </c>
      <c r="F253" s="694"/>
      <c r="G253" s="818"/>
      <c r="H253" s="694"/>
      <c r="I253" s="815">
        <f>SUM(I250:I252)</f>
        <v>7.4072488360417924E-2</v>
      </c>
      <c r="J253" s="798" t="s">
        <v>97</v>
      </c>
      <c r="L253" s="694"/>
      <c r="M253" s="694"/>
    </row>
    <row r="254" spans="1:18" ht="9.75" customHeight="1">
      <c r="A254" s="709"/>
      <c r="K254" s="694"/>
      <c r="L254" s="694"/>
      <c r="M254" s="694"/>
    </row>
    <row r="255" spans="1:18" ht="11.25" customHeight="1">
      <c r="A255" s="709"/>
      <c r="K255" s="694"/>
      <c r="L255" s="694"/>
      <c r="M255" s="694"/>
    </row>
    <row r="256" spans="1:18">
      <c r="A256" s="709"/>
      <c r="B256" s="687" t="s">
        <v>98</v>
      </c>
      <c r="C256" s="689"/>
      <c r="D256" s="689"/>
      <c r="E256" s="689"/>
      <c r="F256" s="689"/>
      <c r="G256" s="689"/>
      <c r="H256" s="689"/>
      <c r="I256" s="689"/>
      <c r="J256" s="689"/>
      <c r="K256" s="689"/>
      <c r="L256" s="768"/>
      <c r="M256" s="694"/>
    </row>
    <row r="257" spans="1:13">
      <c r="A257" s="709"/>
      <c r="B257" s="687" t="s">
        <v>99</v>
      </c>
      <c r="C257" s="689"/>
      <c r="D257" s="689" t="s">
        <v>100</v>
      </c>
      <c r="E257" s="689" t="s">
        <v>101</v>
      </c>
      <c r="F257" s="689"/>
      <c r="G257" s="689" t="s">
        <v>3</v>
      </c>
      <c r="I257" s="819"/>
      <c r="J257" s="819"/>
      <c r="L257" s="686"/>
      <c r="M257" s="694"/>
    </row>
    <row r="258" spans="1:13">
      <c r="A258" s="709">
        <v>35</v>
      </c>
      <c r="B258" s="686" t="s">
        <v>273</v>
      </c>
      <c r="C258" s="689"/>
      <c r="D258" s="689"/>
      <c r="F258" s="689"/>
      <c r="I258" s="820"/>
      <c r="J258" s="821"/>
      <c r="L258" s="694"/>
      <c r="M258" s="694"/>
    </row>
    <row r="259" spans="1:13" ht="16.2" thickBot="1">
      <c r="A259" s="709">
        <v>36</v>
      </c>
      <c r="B259" s="1233" t="s">
        <v>1134</v>
      </c>
      <c r="C259" s="822"/>
      <c r="D259" s="809"/>
      <c r="E259" s="733"/>
      <c r="F259" s="733"/>
      <c r="G259" s="733"/>
      <c r="H259" s="689"/>
      <c r="I259" s="823"/>
      <c r="J259" s="824"/>
      <c r="L259" s="694"/>
      <c r="M259" s="694"/>
    </row>
    <row r="260" spans="1:13">
      <c r="A260" s="709">
        <v>37</v>
      </c>
      <c r="B260" s="686" t="s">
        <v>102</v>
      </c>
      <c r="C260" s="689"/>
      <c r="E260" s="689"/>
      <c r="F260" s="689"/>
      <c r="G260" s="689"/>
      <c r="H260" s="689"/>
      <c r="I260" s="825">
        <f>+I258-I259</f>
        <v>0</v>
      </c>
      <c r="J260" s="821"/>
      <c r="L260" s="686"/>
      <c r="M260" s="694"/>
    </row>
    <row r="261" spans="1:13">
      <c r="A261" s="709"/>
      <c r="B261" s="686" t="s">
        <v>3</v>
      </c>
      <c r="C261" s="689"/>
      <c r="E261" s="689"/>
      <c r="F261" s="689"/>
      <c r="G261" s="730"/>
      <c r="H261" s="689"/>
      <c r="I261" s="825"/>
      <c r="J261" s="819"/>
      <c r="K261" s="826"/>
      <c r="L261" s="768"/>
      <c r="M261" s="694"/>
    </row>
    <row r="262" spans="1:13" ht="15.6" customHeight="1">
      <c r="A262" s="709">
        <v>38</v>
      </c>
      <c r="B262" s="686" t="s">
        <v>302</v>
      </c>
      <c r="C262" s="689"/>
      <c r="D262" s="686" t="s">
        <v>303</v>
      </c>
      <c r="F262" s="689"/>
      <c r="G262" s="730"/>
      <c r="H262" s="689"/>
      <c r="I262" s="827"/>
      <c r="J262" s="952"/>
      <c r="K262" s="952"/>
      <c r="L262" s="777"/>
      <c r="M262" s="694"/>
    </row>
    <row r="263" spans="1:13">
      <c r="A263" s="709"/>
      <c r="C263" s="689"/>
      <c r="F263" s="689"/>
      <c r="G263" s="730"/>
      <c r="H263" s="689"/>
      <c r="I263" s="825"/>
      <c r="J263" s="952"/>
      <c r="K263" s="952"/>
      <c r="L263" s="777"/>
      <c r="M263" s="694"/>
    </row>
    <row r="264" spans="1:13">
      <c r="A264" s="709">
        <v>39</v>
      </c>
      <c r="B264" s="687" t="s">
        <v>274</v>
      </c>
      <c r="C264" s="689"/>
      <c r="D264" s="686" t="s">
        <v>304</v>
      </c>
      <c r="F264" s="689"/>
      <c r="G264" s="729"/>
      <c r="H264" s="689"/>
      <c r="I264" s="827"/>
      <c r="J264" s="952"/>
      <c r="K264" s="952"/>
      <c r="L264" s="777"/>
      <c r="M264" s="694"/>
    </row>
    <row r="265" spans="1:13" ht="15.75" customHeight="1">
      <c r="A265" s="709"/>
      <c r="C265" s="689"/>
      <c r="D265" s="689"/>
      <c r="F265" s="689"/>
      <c r="G265" s="689"/>
      <c r="H265" s="689"/>
      <c r="I265" s="825"/>
      <c r="J265" s="952"/>
      <c r="K265" s="952"/>
      <c r="L265" s="777"/>
      <c r="M265" s="694"/>
    </row>
    <row r="266" spans="1:13">
      <c r="A266" s="709">
        <v>40</v>
      </c>
      <c r="B266" s="710" t="s">
        <v>507</v>
      </c>
      <c r="C266" s="719"/>
      <c r="D266" s="689" t="s">
        <v>103</v>
      </c>
      <c r="F266" s="689"/>
      <c r="G266" s="689"/>
      <c r="H266" s="689"/>
      <c r="I266" s="828">
        <v>489230.37</v>
      </c>
      <c r="J266" s="952"/>
      <c r="K266" s="952"/>
      <c r="L266" s="777"/>
      <c r="M266" s="689"/>
    </row>
    <row r="267" spans="1:13">
      <c r="B267" s="733"/>
      <c r="C267" s="733"/>
      <c r="D267" s="694"/>
      <c r="E267" s="694"/>
      <c r="F267" s="694"/>
      <c r="G267" s="694"/>
      <c r="H267" s="694"/>
      <c r="J267" s="952"/>
      <c r="K267" s="952"/>
      <c r="L267" s="797"/>
      <c r="M267" s="689"/>
    </row>
    <row r="268" spans="1:13">
      <c r="A268" s="695"/>
      <c r="B268" s="732"/>
      <c r="C268" s="733"/>
      <c r="D268" s="733"/>
      <c r="E268" s="733"/>
      <c r="F268" s="733"/>
      <c r="G268" s="689"/>
      <c r="H268" s="689"/>
      <c r="I268" s="830"/>
      <c r="J268" s="952"/>
      <c r="K268" s="952"/>
      <c r="L268" s="797"/>
      <c r="M268" s="689"/>
    </row>
    <row r="269" spans="1:13">
      <c r="A269" s="695"/>
      <c r="B269" s="831"/>
      <c r="C269" s="731"/>
      <c r="D269" s="694"/>
      <c r="E269" s="694"/>
      <c r="F269" s="694"/>
      <c r="G269" s="694"/>
      <c r="H269" s="689"/>
      <c r="I269" s="832"/>
      <c r="J269" s="952"/>
      <c r="K269" s="952"/>
      <c r="L269" s="695"/>
      <c r="M269" s="689"/>
    </row>
    <row r="270" spans="1:13">
      <c r="A270" s="695"/>
      <c r="B270" s="831"/>
      <c r="C270" s="731"/>
      <c r="D270" s="694"/>
      <c r="E270" s="694"/>
      <c r="F270" s="694"/>
      <c r="G270" s="694"/>
      <c r="H270" s="689"/>
      <c r="I270" s="832"/>
      <c r="J270" s="952"/>
      <c r="K270" s="952"/>
      <c r="L270" s="695"/>
      <c r="M270" s="689"/>
    </row>
    <row r="271" spans="1:13">
      <c r="A271" s="695"/>
      <c r="B271" s="833"/>
      <c r="C271" s="695"/>
      <c r="D271" s="694"/>
      <c r="E271" s="694"/>
      <c r="F271" s="694"/>
      <c r="G271" s="694"/>
      <c r="H271" s="689"/>
      <c r="I271" s="832"/>
      <c r="J271" s="829"/>
      <c r="K271" s="832"/>
      <c r="L271" s="695"/>
      <c r="M271" s="689"/>
    </row>
    <row r="272" spans="1:13">
      <c r="A272" s="695"/>
      <c r="B272" s="833"/>
      <c r="C272" s="695"/>
      <c r="D272" s="694"/>
      <c r="E272" s="694"/>
      <c r="F272" s="694"/>
      <c r="G272" s="694"/>
      <c r="H272" s="689"/>
      <c r="I272" s="832"/>
      <c r="J272" s="829"/>
      <c r="K272" s="832"/>
      <c r="L272" s="695"/>
      <c r="M272" s="689"/>
    </row>
    <row r="273" spans="1:13" s="726" customFormat="1">
      <c r="A273" s="709"/>
      <c r="B273" s="834"/>
      <c r="C273" s="709"/>
      <c r="D273" s="693"/>
      <c r="E273" s="693"/>
      <c r="F273" s="693"/>
      <c r="G273" s="693"/>
      <c r="H273" s="719"/>
      <c r="I273" s="832"/>
      <c r="J273" s="835"/>
      <c r="K273" s="832"/>
      <c r="L273" s="709"/>
      <c r="M273" s="719"/>
    </row>
    <row r="274" spans="1:13">
      <c r="A274" s="771"/>
      <c r="B274" s="687"/>
      <c r="C274" s="694"/>
      <c r="D274" s="770"/>
      <c r="E274" s="694"/>
      <c r="F274" s="694"/>
      <c r="G274" s="757"/>
      <c r="H274" s="694"/>
      <c r="I274" s="770"/>
      <c r="J274" s="693"/>
      <c r="K274" s="772"/>
      <c r="L274" s="686"/>
    </row>
    <row r="275" spans="1:13">
      <c r="A275" s="771"/>
      <c r="B275" s="710"/>
      <c r="C275" s="694"/>
      <c r="D275" s="770"/>
      <c r="E275" s="694"/>
      <c r="F275" s="694"/>
      <c r="G275" s="757"/>
      <c r="H275" s="694"/>
      <c r="I275" s="770"/>
      <c r="J275" s="694"/>
      <c r="K275" s="772"/>
      <c r="L275" s="686"/>
    </row>
    <row r="276" spans="1:13">
      <c r="B276" s="687"/>
      <c r="C276" s="687"/>
      <c r="D276" s="688"/>
      <c r="E276" s="687"/>
      <c r="F276" s="687"/>
      <c r="G276" s="687"/>
      <c r="H276" s="689"/>
      <c r="I276" s="695"/>
      <c r="J276" s="695"/>
      <c r="K276" s="690"/>
      <c r="L276" s="689"/>
      <c r="M276" s="689"/>
    </row>
    <row r="277" spans="1:13">
      <c r="B277" s="687"/>
      <c r="C277" s="687"/>
      <c r="D277" s="688"/>
      <c r="E277" s="687"/>
      <c r="F277" s="687"/>
      <c r="G277" s="687"/>
      <c r="H277" s="689"/>
      <c r="I277" s="690"/>
      <c r="J277" s="690"/>
      <c r="K277" s="690"/>
      <c r="L277" s="689"/>
      <c r="M277" s="689"/>
    </row>
    <row r="278" spans="1:13" ht="16.5" customHeight="1">
      <c r="B278" s="687"/>
      <c r="C278" s="687"/>
      <c r="D278" s="688"/>
      <c r="E278" s="687"/>
      <c r="F278" s="687"/>
      <c r="G278" s="687"/>
      <c r="H278" s="689"/>
      <c r="I278" s="689"/>
      <c r="K278" s="690" t="str">
        <f>K187</f>
        <v>Attachment H -11A</v>
      </c>
      <c r="L278" s="689"/>
      <c r="M278" s="689"/>
    </row>
    <row r="279" spans="1:13" ht="16.5" customHeight="1">
      <c r="B279" s="687"/>
      <c r="C279" s="687"/>
      <c r="D279" s="688"/>
      <c r="E279" s="687"/>
      <c r="F279" s="687"/>
      <c r="G279" s="687"/>
      <c r="H279" s="689"/>
      <c r="I279" s="689"/>
      <c r="J279" s="689"/>
      <c r="K279" s="690" t="s">
        <v>104</v>
      </c>
      <c r="L279" s="689"/>
      <c r="M279" s="689"/>
    </row>
    <row r="280" spans="1:13" ht="16.5" customHeight="1">
      <c r="B280" s="687"/>
      <c r="C280" s="687"/>
      <c r="D280" s="688"/>
      <c r="E280" s="687"/>
      <c r="F280" s="687"/>
      <c r="G280" s="687"/>
      <c r="H280" s="689"/>
      <c r="I280" s="689"/>
      <c r="J280" s="689"/>
      <c r="K280" s="690"/>
      <c r="L280" s="689"/>
      <c r="M280" s="689"/>
    </row>
    <row r="281" spans="1:13">
      <c r="B281" s="687" t="s">
        <v>1</v>
      </c>
      <c r="C281" s="687"/>
      <c r="D281" s="688" t="s">
        <v>2</v>
      </c>
      <c r="E281" s="687"/>
      <c r="F281" s="687"/>
      <c r="G281" s="687"/>
      <c r="H281" s="719"/>
      <c r="I281" s="726"/>
      <c r="J281" s="719"/>
      <c r="K281" s="743" t="str">
        <f>K4</f>
        <v>For the 12 months ended 12/31/2022</v>
      </c>
      <c r="L281" s="689"/>
      <c r="M281" s="689"/>
    </row>
    <row r="282" spans="1:13">
      <c r="B282" s="687"/>
      <c r="C282" s="694" t="s">
        <v>3</v>
      </c>
      <c r="D282" s="694" t="s">
        <v>4</v>
      </c>
      <c r="E282" s="694"/>
      <c r="F282" s="694"/>
      <c r="G282" s="694"/>
      <c r="H282" s="689"/>
      <c r="I282" s="689"/>
      <c r="J282" s="689"/>
      <c r="K282" s="689"/>
      <c r="L282" s="689"/>
      <c r="M282" s="689"/>
    </row>
    <row r="283" spans="1:13">
      <c r="A283" s="695"/>
      <c r="B283" s="833"/>
      <c r="C283" s="695"/>
      <c r="D283" s="694"/>
      <c r="E283" s="694"/>
      <c r="F283" s="694"/>
      <c r="G283" s="694"/>
      <c r="H283" s="689"/>
      <c r="I283" s="836"/>
      <c r="J283" s="819"/>
      <c r="K283" s="835"/>
      <c r="L283" s="695"/>
      <c r="M283" s="689"/>
    </row>
    <row r="284" spans="1:13">
      <c r="A284" s="695"/>
      <c r="B284" s="833"/>
      <c r="C284" s="695"/>
      <c r="D284" s="694" t="str">
        <f>D7</f>
        <v>MON POWER</v>
      </c>
      <c r="E284" s="694"/>
      <c r="F284" s="694"/>
      <c r="G284" s="694"/>
      <c r="H284" s="689"/>
      <c r="I284" s="836"/>
      <c r="J284" s="819"/>
      <c r="K284" s="835"/>
      <c r="L284" s="695"/>
      <c r="M284" s="689"/>
    </row>
    <row r="285" spans="1:13">
      <c r="A285" s="695"/>
      <c r="B285" s="833"/>
      <c r="C285" s="695"/>
      <c r="D285" s="694"/>
      <c r="E285" s="694"/>
      <c r="F285" s="694"/>
      <c r="G285" s="694"/>
      <c r="H285" s="689"/>
      <c r="I285" s="836"/>
      <c r="J285" s="819"/>
      <c r="K285" s="835"/>
      <c r="L285" s="695"/>
      <c r="M285" s="689"/>
    </row>
    <row r="286" spans="1:13">
      <c r="A286" s="695"/>
      <c r="B286" s="687" t="s">
        <v>1003</v>
      </c>
      <c r="C286" s="695"/>
      <c r="D286" s="694"/>
      <c r="E286" s="694"/>
      <c r="F286" s="694"/>
      <c r="G286" s="694"/>
      <c r="H286" s="689"/>
      <c r="I286" s="694"/>
      <c r="J286" s="689"/>
      <c r="K286" s="694"/>
      <c r="L286" s="695"/>
      <c r="M286" s="689"/>
    </row>
    <row r="287" spans="1:13">
      <c r="A287" s="695"/>
      <c r="B287" s="837" t="s">
        <v>1004</v>
      </c>
      <c r="C287" s="695"/>
      <c r="D287" s="694"/>
      <c r="E287" s="694"/>
      <c r="F287" s="694"/>
      <c r="G287" s="694"/>
      <c r="H287" s="689"/>
      <c r="I287" s="694"/>
      <c r="J287" s="689"/>
      <c r="K287" s="694"/>
      <c r="L287" s="695"/>
      <c r="M287" s="689"/>
    </row>
    <row r="288" spans="1:13">
      <c r="A288" s="695" t="s">
        <v>105</v>
      </c>
      <c r="B288" s="687"/>
      <c r="C288" s="689"/>
      <c r="D288" s="694"/>
      <c r="E288" s="694"/>
      <c r="F288" s="694"/>
      <c r="G288" s="694"/>
      <c r="H288" s="689"/>
      <c r="I288" s="694"/>
      <c r="J288" s="689"/>
      <c r="K288" s="694"/>
      <c r="L288" s="695"/>
      <c r="M288" s="689"/>
    </row>
    <row r="289" spans="1:13" ht="16.2" thickBot="1">
      <c r="A289" s="700" t="s">
        <v>106</v>
      </c>
      <c r="B289" s="687"/>
      <c r="C289" s="689"/>
      <c r="D289" s="694"/>
      <c r="E289" s="694"/>
      <c r="F289" s="694"/>
      <c r="G289" s="694"/>
      <c r="H289" s="689"/>
      <c r="I289" s="694"/>
      <c r="J289" s="689"/>
      <c r="K289" s="694"/>
      <c r="L289" s="695"/>
      <c r="M289" s="689"/>
    </row>
    <row r="290" spans="1:13" ht="35.4" customHeight="1">
      <c r="A290" s="1116" t="s">
        <v>107</v>
      </c>
      <c r="B290" s="1308" t="s">
        <v>1052</v>
      </c>
      <c r="C290" s="1309"/>
      <c r="D290" s="1309"/>
      <c r="E290" s="1309"/>
      <c r="F290" s="1309"/>
      <c r="G290" s="1309"/>
      <c r="H290" s="1309"/>
      <c r="I290" s="1309"/>
      <c r="J290" s="1309"/>
      <c r="K290" s="1309"/>
      <c r="L290" s="686"/>
    </row>
    <row r="291" spans="1:13" ht="16.5" customHeight="1">
      <c r="A291" s="838" t="s">
        <v>108</v>
      </c>
      <c r="B291" s="1312" t="s">
        <v>585</v>
      </c>
      <c r="C291" s="1312"/>
      <c r="D291" s="1312"/>
      <c r="E291" s="1312"/>
      <c r="F291" s="1312"/>
      <c r="G291" s="1312"/>
      <c r="H291" s="1312"/>
      <c r="I291" s="1312"/>
      <c r="J291" s="1312"/>
      <c r="K291" s="1312"/>
      <c r="L291" s="709"/>
      <c r="M291" s="719"/>
    </row>
    <row r="292" spans="1:13" ht="19.5" customHeight="1">
      <c r="A292" s="838" t="s">
        <v>109</v>
      </c>
      <c r="B292" s="1305" t="s">
        <v>570</v>
      </c>
      <c r="C292" s="1305"/>
      <c r="D292" s="1305"/>
      <c r="E292" s="1305"/>
      <c r="F292" s="1305"/>
      <c r="G292" s="1305"/>
      <c r="H292" s="1305"/>
      <c r="I292" s="1305"/>
      <c r="J292" s="1305"/>
      <c r="K292" s="1305"/>
      <c r="L292" s="839"/>
      <c r="M292" s="719"/>
    </row>
    <row r="293" spans="1:13" ht="32.25" customHeight="1">
      <c r="A293" s="838" t="s">
        <v>110</v>
      </c>
      <c r="B293" s="1314" t="s">
        <v>469</v>
      </c>
      <c r="C293" s="1314"/>
      <c r="D293" s="1314"/>
      <c r="E293" s="1314"/>
      <c r="F293" s="1314"/>
      <c r="G293" s="1314"/>
      <c r="H293" s="1314"/>
      <c r="I293" s="1314"/>
      <c r="J293" s="1314"/>
      <c r="K293" s="1314"/>
      <c r="L293" s="787"/>
      <c r="M293" s="719"/>
    </row>
    <row r="294" spans="1:13" ht="48" customHeight="1">
      <c r="A294" s="838" t="s">
        <v>111</v>
      </c>
      <c r="B294" s="1315" t="s">
        <v>735</v>
      </c>
      <c r="C294" s="1314"/>
      <c r="D294" s="1314"/>
      <c r="E294" s="1314"/>
      <c r="F294" s="1314"/>
      <c r="G294" s="1314"/>
      <c r="H294" s="1314"/>
      <c r="I294" s="1314"/>
      <c r="J294" s="1314"/>
      <c r="K294" s="1314"/>
      <c r="L294" s="775"/>
      <c r="M294" s="719"/>
    </row>
    <row r="295" spans="1:13" ht="53.1" customHeight="1">
      <c r="A295" s="838" t="s">
        <v>112</v>
      </c>
      <c r="B295" s="1313" t="s">
        <v>1121</v>
      </c>
      <c r="C295" s="1313"/>
      <c r="D295" s="1313"/>
      <c r="E295" s="1313"/>
      <c r="F295" s="1313"/>
      <c r="G295" s="1313"/>
      <c r="H295" s="1313"/>
      <c r="I295" s="1313"/>
      <c r="J295" s="1313"/>
      <c r="K295" s="1313"/>
      <c r="L295" s="709"/>
      <c r="M295" s="719"/>
    </row>
    <row r="296" spans="1:13">
      <c r="A296" s="838" t="s">
        <v>113</v>
      </c>
      <c r="B296" s="1305" t="s">
        <v>114</v>
      </c>
      <c r="C296" s="1305"/>
      <c r="D296" s="1305"/>
      <c r="E296" s="1305"/>
      <c r="F296" s="1305"/>
      <c r="G296" s="1305"/>
      <c r="H296" s="1305"/>
      <c r="I296" s="1305"/>
      <c r="J296" s="1305"/>
      <c r="K296" s="1305"/>
      <c r="L296" s="709"/>
      <c r="M296" s="719"/>
    </row>
    <row r="297" spans="1:13" ht="36.6" customHeight="1">
      <c r="A297" s="840" t="s">
        <v>115</v>
      </c>
      <c r="B297" s="1306" t="s">
        <v>1049</v>
      </c>
      <c r="C297" s="1306"/>
      <c r="D297" s="1306"/>
      <c r="E297" s="1306"/>
      <c r="F297" s="1306"/>
      <c r="G297" s="1306"/>
      <c r="H297" s="1306"/>
      <c r="I297" s="1306"/>
      <c r="J297" s="1306"/>
      <c r="K297" s="1306"/>
      <c r="L297" s="709"/>
      <c r="M297" s="719"/>
    </row>
    <row r="298" spans="1:13" ht="32.25" customHeight="1">
      <c r="A298" s="838" t="s">
        <v>116</v>
      </c>
      <c r="B298" s="1306" t="s">
        <v>1050</v>
      </c>
      <c r="C298" s="1306"/>
      <c r="D298" s="1306"/>
      <c r="E298" s="1306"/>
      <c r="F298" s="1306"/>
      <c r="G298" s="1306"/>
      <c r="H298" s="1306"/>
      <c r="I298" s="1306"/>
      <c r="J298" s="1306"/>
      <c r="K298" s="1306"/>
      <c r="L298" s="709"/>
      <c r="M298" s="719"/>
    </row>
    <row r="299" spans="1:13" ht="32.25" customHeight="1">
      <c r="A299" s="838" t="s">
        <v>117</v>
      </c>
      <c r="B299" s="1306" t="s">
        <v>1156</v>
      </c>
      <c r="C299" s="1306"/>
      <c r="D299" s="1306"/>
      <c r="E299" s="1306"/>
      <c r="F299" s="1306"/>
      <c r="G299" s="1306"/>
      <c r="H299" s="1306"/>
      <c r="I299" s="1306"/>
      <c r="J299" s="1306"/>
      <c r="K299" s="1306"/>
      <c r="L299" s="709"/>
      <c r="M299" s="719"/>
    </row>
    <row r="300" spans="1:13" ht="78" customHeight="1">
      <c r="A300" s="838" t="s">
        <v>118</v>
      </c>
      <c r="B300" s="1313" t="s">
        <v>1185</v>
      </c>
      <c r="C300" s="1313"/>
      <c r="D300" s="1313"/>
      <c r="E300" s="1313"/>
      <c r="F300" s="1313"/>
      <c r="G300" s="1313"/>
      <c r="H300" s="1313"/>
      <c r="I300" s="1313"/>
      <c r="J300" s="1313"/>
      <c r="K300" s="1313"/>
      <c r="L300" s="709"/>
      <c r="M300" s="719"/>
    </row>
    <row r="301" spans="1:13">
      <c r="A301" s="838" t="s">
        <v>3</v>
      </c>
      <c r="B301" s="841" t="s">
        <v>151</v>
      </c>
      <c r="C301" s="842" t="s">
        <v>119</v>
      </c>
      <c r="D301" s="843">
        <f>'Attachment 18 - Tax Rates'!D6</f>
        <v>0.21</v>
      </c>
      <c r="E301" s="1305"/>
      <c r="F301" s="1305"/>
      <c r="G301" s="1305"/>
      <c r="H301" s="1305"/>
      <c r="I301" s="1305"/>
      <c r="J301" s="1305"/>
      <c r="K301" s="1305"/>
      <c r="L301" s="709"/>
      <c r="M301" s="719"/>
    </row>
    <row r="302" spans="1:13">
      <c r="A302" s="838"/>
      <c r="B302" s="842"/>
      <c r="C302" s="842" t="s">
        <v>120</v>
      </c>
      <c r="D302" s="843">
        <f>'Attachment 18 - Tax Rates'!G16</f>
        <v>5.8982429999999995E-2</v>
      </c>
      <c r="E302" s="1305" t="s">
        <v>275</v>
      </c>
      <c r="F302" s="1305"/>
      <c r="G302" s="1305"/>
      <c r="H302" s="1305"/>
      <c r="I302" s="1305"/>
      <c r="J302" s="1305"/>
      <c r="K302" s="1305"/>
      <c r="L302" s="709"/>
      <c r="M302" s="719"/>
    </row>
    <row r="303" spans="1:13">
      <c r="A303" s="838"/>
      <c r="B303" s="842"/>
      <c r="C303" s="842" t="s">
        <v>121</v>
      </c>
      <c r="D303" s="844"/>
      <c r="E303" s="1305" t="s">
        <v>276</v>
      </c>
      <c r="F303" s="1305"/>
      <c r="G303" s="1305"/>
      <c r="H303" s="1305"/>
      <c r="I303" s="1305"/>
      <c r="J303" s="1305"/>
      <c r="K303" s="1305"/>
      <c r="L303" s="709"/>
      <c r="M303" s="719"/>
    </row>
    <row r="304" spans="1:13" s="726" customFormat="1" ht="36.75" customHeight="1">
      <c r="A304" s="840" t="s">
        <v>122</v>
      </c>
      <c r="B304" s="1305" t="s">
        <v>640</v>
      </c>
      <c r="C304" s="1305"/>
      <c r="D304" s="1305"/>
      <c r="E304" s="1305"/>
      <c r="F304" s="1305"/>
      <c r="G304" s="1305"/>
      <c r="H304" s="1305"/>
      <c r="I304" s="1305"/>
      <c r="J304" s="1305"/>
      <c r="K304" s="1305"/>
      <c r="L304" s="709"/>
      <c r="M304" s="719"/>
    </row>
    <row r="305" spans="1:13" s="726" customFormat="1" ht="32.25" customHeight="1">
      <c r="A305" s="840" t="s">
        <v>123</v>
      </c>
      <c r="B305" s="1305" t="s">
        <v>637</v>
      </c>
      <c r="C305" s="1305"/>
      <c r="D305" s="1305"/>
      <c r="E305" s="1305"/>
      <c r="F305" s="1305"/>
      <c r="G305" s="1305"/>
      <c r="H305" s="1305"/>
      <c r="I305" s="1305"/>
      <c r="J305" s="1305"/>
      <c r="K305" s="1305"/>
      <c r="L305" s="709"/>
      <c r="M305" s="719"/>
    </row>
    <row r="306" spans="1:13" s="726" customFormat="1" ht="48" customHeight="1">
      <c r="A306" s="840" t="s">
        <v>124</v>
      </c>
      <c r="B306" s="1305" t="s">
        <v>296</v>
      </c>
      <c r="C306" s="1305"/>
      <c r="D306" s="1305"/>
      <c r="E306" s="1305"/>
      <c r="F306" s="1305"/>
      <c r="G306" s="1305"/>
      <c r="H306" s="1305"/>
      <c r="I306" s="1305"/>
      <c r="J306" s="1305"/>
      <c r="K306" s="1305"/>
      <c r="L306" s="709"/>
      <c r="M306" s="719"/>
    </row>
    <row r="307" spans="1:13" s="726" customFormat="1">
      <c r="A307" s="840" t="s">
        <v>125</v>
      </c>
      <c r="B307" s="1305" t="s">
        <v>126</v>
      </c>
      <c r="C307" s="1305"/>
      <c r="D307" s="1305"/>
      <c r="E307" s="1305"/>
      <c r="F307" s="1305"/>
      <c r="G307" s="1305"/>
      <c r="H307" s="1305"/>
      <c r="I307" s="1305"/>
      <c r="J307" s="1305"/>
      <c r="K307" s="1305"/>
      <c r="L307" s="709"/>
      <c r="M307" s="719"/>
    </row>
    <row r="308" spans="1:13" s="726" customFormat="1" ht="32.25" customHeight="1">
      <c r="A308" s="840" t="s">
        <v>127</v>
      </c>
      <c r="B308" s="1306" t="s">
        <v>1110</v>
      </c>
      <c r="C308" s="1305"/>
      <c r="D308" s="1305"/>
      <c r="E308" s="1305"/>
      <c r="F308" s="1305"/>
      <c r="G308" s="1305"/>
      <c r="H308" s="1305"/>
      <c r="I308" s="1305"/>
      <c r="J308" s="1305"/>
      <c r="K308" s="1305"/>
      <c r="L308" s="775"/>
      <c r="M308" s="719"/>
    </row>
    <row r="309" spans="1:13" s="726" customFormat="1" ht="23.25" customHeight="1">
      <c r="A309" s="840" t="s">
        <v>128</v>
      </c>
      <c r="B309" s="1306" t="s">
        <v>1135</v>
      </c>
      <c r="C309" s="1305"/>
      <c r="D309" s="1305"/>
      <c r="E309" s="1305"/>
      <c r="F309" s="1305"/>
      <c r="G309" s="1305"/>
      <c r="H309" s="1305"/>
      <c r="I309" s="1305"/>
      <c r="J309" s="1305"/>
      <c r="K309" s="1305"/>
      <c r="L309" s="709"/>
      <c r="M309" s="719"/>
    </row>
    <row r="310" spans="1:13" s="726" customFormat="1">
      <c r="A310" s="840" t="s">
        <v>129</v>
      </c>
      <c r="B310" s="1305" t="s">
        <v>130</v>
      </c>
      <c r="C310" s="1305"/>
      <c r="D310" s="1305"/>
      <c r="E310" s="1305"/>
      <c r="F310" s="1305"/>
      <c r="G310" s="1305"/>
      <c r="H310" s="1305"/>
      <c r="I310" s="1305"/>
      <c r="J310" s="1305"/>
      <c r="K310" s="1305"/>
      <c r="L310" s="709"/>
      <c r="M310" s="719"/>
    </row>
    <row r="311" spans="1:13" s="726" customFormat="1" ht="20.25" customHeight="1">
      <c r="A311" s="840" t="s">
        <v>131</v>
      </c>
      <c r="B311" s="1305" t="s">
        <v>305</v>
      </c>
      <c r="C311" s="1305"/>
      <c r="D311" s="1305"/>
      <c r="E311" s="1305"/>
      <c r="F311" s="1305"/>
      <c r="G311" s="1305"/>
      <c r="H311" s="1305"/>
      <c r="I311" s="1305"/>
      <c r="J311" s="1305"/>
      <c r="K311" s="1305"/>
      <c r="L311" s="709"/>
      <c r="M311" s="719"/>
    </row>
    <row r="312" spans="1:13" s="726" customFormat="1" ht="53.25" customHeight="1">
      <c r="A312" s="845" t="s">
        <v>132</v>
      </c>
      <c r="B312" s="1306" t="s">
        <v>1159</v>
      </c>
      <c r="C312" s="1306"/>
      <c r="D312" s="1306"/>
      <c r="E312" s="1306"/>
      <c r="F312" s="1306"/>
      <c r="G312" s="1306"/>
      <c r="H312" s="1306"/>
      <c r="I312" s="1306"/>
      <c r="J312" s="1306"/>
      <c r="K312" s="1306"/>
      <c r="L312" s="719"/>
      <c r="M312" s="719"/>
    </row>
    <row r="313" spans="1:13" s="1167" customFormat="1" ht="15.75" customHeight="1">
      <c r="A313" s="845" t="s">
        <v>133</v>
      </c>
      <c r="B313" s="1306" t="s">
        <v>933</v>
      </c>
      <c r="C313" s="1305"/>
      <c r="D313" s="1305"/>
      <c r="E313" s="1305"/>
      <c r="F313" s="1305"/>
      <c r="G313" s="1305"/>
      <c r="H313" s="1305"/>
      <c r="I313" s="1305"/>
      <c r="J313" s="1305"/>
      <c r="K313" s="1305"/>
      <c r="L313" s="719"/>
      <c r="M313" s="719"/>
    </row>
    <row r="314" spans="1:13" s="726" customFormat="1" ht="33" customHeight="1">
      <c r="A314" s="845" t="s">
        <v>134</v>
      </c>
      <c r="B314" s="1306" t="s">
        <v>1158</v>
      </c>
      <c r="C314" s="1305"/>
      <c r="D314" s="1305"/>
      <c r="E314" s="1305"/>
      <c r="F314" s="1305"/>
      <c r="G314" s="1305"/>
      <c r="H314" s="1305"/>
      <c r="I314" s="1305"/>
      <c r="J314" s="1305"/>
      <c r="K314" s="1305"/>
      <c r="L314" s="846"/>
    </row>
    <row r="315" spans="1:13" s="726" customFormat="1" ht="15.75" customHeight="1">
      <c r="A315" s="845" t="s">
        <v>135</v>
      </c>
      <c r="B315" s="1310" t="s">
        <v>145</v>
      </c>
      <c r="C315" s="1310"/>
      <c r="D315" s="1310"/>
      <c r="E315" s="1310"/>
      <c r="F315" s="1310"/>
      <c r="G315" s="1310"/>
      <c r="H315" s="1310"/>
      <c r="I315" s="1310"/>
      <c r="J315" s="1310"/>
      <c r="K315" s="1310"/>
      <c r="L315" s="847"/>
    </row>
    <row r="316" spans="1:13" s="726" customFormat="1" ht="15.75" customHeight="1">
      <c r="A316" s="845" t="s">
        <v>141</v>
      </c>
      <c r="B316" s="1306" t="s">
        <v>1186</v>
      </c>
      <c r="C316" s="1305"/>
      <c r="D316" s="1305"/>
      <c r="E316" s="1305"/>
      <c r="F316" s="1305"/>
      <c r="G316" s="1305"/>
      <c r="H316" s="1305"/>
      <c r="I316" s="1305"/>
      <c r="J316" s="1305"/>
      <c r="K316" s="1305"/>
      <c r="L316" s="847"/>
    </row>
    <row r="317" spans="1:13" s="726" customFormat="1" ht="15.75" customHeight="1">
      <c r="A317" s="845" t="s">
        <v>142</v>
      </c>
      <c r="B317" s="1306" t="s">
        <v>277</v>
      </c>
      <c r="C317" s="1305"/>
      <c r="D317" s="1305"/>
      <c r="E317" s="1305"/>
      <c r="F317" s="1305"/>
      <c r="G317" s="1305"/>
      <c r="H317" s="1305"/>
      <c r="I317" s="1305"/>
      <c r="J317" s="1305"/>
      <c r="K317" s="1305"/>
      <c r="L317" s="847"/>
    </row>
    <row r="318" spans="1:13" s="726" customFormat="1" ht="19.5" customHeight="1">
      <c r="A318" s="845" t="s">
        <v>535</v>
      </c>
      <c r="B318" s="1307" t="s">
        <v>536</v>
      </c>
      <c r="C318" s="1307"/>
      <c r="D318" s="1307"/>
      <c r="E318" s="1307"/>
      <c r="F318" s="1307"/>
      <c r="G318" s="1307"/>
      <c r="H318" s="1307"/>
      <c r="I318" s="1307"/>
      <c r="J318" s="1307"/>
      <c r="K318" s="1307"/>
      <c r="L318" s="847"/>
    </row>
    <row r="319" spans="1:13" s="726" customFormat="1">
      <c r="A319" s="848" t="s">
        <v>537</v>
      </c>
      <c r="B319" s="1308" t="s">
        <v>1157</v>
      </c>
      <c r="C319" s="1309"/>
      <c r="D319" s="1309"/>
      <c r="E319" s="1309"/>
      <c r="F319" s="1309"/>
      <c r="G319" s="1309"/>
      <c r="H319" s="1309"/>
      <c r="I319" s="1309"/>
      <c r="J319" s="1309"/>
      <c r="K319" s="1309"/>
      <c r="L319" s="847"/>
    </row>
    <row r="320" spans="1:13" s="1234" customFormat="1">
      <c r="A320" s="1116" t="s">
        <v>538</v>
      </c>
      <c r="B320" s="1240" t="s">
        <v>1008</v>
      </c>
      <c r="C320" s="701"/>
      <c r="D320" s="1241"/>
      <c r="F320" s="740"/>
      <c r="G320" s="710"/>
      <c r="H320" s="719"/>
      <c r="K320" s="743"/>
      <c r="L320" s="847"/>
    </row>
    <row r="321" spans="1:12" s="1244" customFormat="1" ht="24" customHeight="1">
      <c r="A321" s="1242" t="s">
        <v>919</v>
      </c>
      <c r="B321" s="1302" t="s">
        <v>1166</v>
      </c>
      <c r="C321" s="1303"/>
      <c r="D321" s="1303"/>
      <c r="E321" s="1303"/>
      <c r="F321" s="1303"/>
      <c r="G321" s="1303"/>
      <c r="H321" s="1303"/>
      <c r="I321" s="1303"/>
      <c r="J321" s="1303"/>
      <c r="K321" s="1303"/>
      <c r="L321" s="1243"/>
    </row>
    <row r="322" spans="1:12" s="1244" customFormat="1" ht="14.4" customHeight="1">
      <c r="A322" s="1242" t="s">
        <v>920</v>
      </c>
      <c r="B322" s="1302" t="s">
        <v>1130</v>
      </c>
      <c r="C322" s="1303"/>
      <c r="D322" s="1303"/>
      <c r="E322" s="1303"/>
      <c r="F322" s="1303"/>
      <c r="G322" s="1303"/>
      <c r="H322" s="1303"/>
      <c r="I322" s="1303"/>
      <c r="J322" s="1303"/>
      <c r="K322" s="1303"/>
      <c r="L322" s="1243"/>
    </row>
    <row r="323" spans="1:12" s="1278" customFormat="1">
      <c r="A323" s="1280" t="s">
        <v>1129</v>
      </c>
      <c r="B323" s="916" t="s">
        <v>1200</v>
      </c>
      <c r="C323" s="710"/>
      <c r="D323" s="775"/>
      <c r="E323" s="710"/>
      <c r="F323" s="710"/>
      <c r="G323" s="710"/>
      <c r="H323" s="719"/>
      <c r="I323" s="719"/>
      <c r="L323" s="847"/>
    </row>
    <row r="324" spans="1:12">
      <c r="A324" s="726"/>
      <c r="B324" s="710"/>
      <c r="C324" s="775"/>
      <c r="D324" s="726"/>
      <c r="E324" s="710"/>
      <c r="F324" s="710"/>
      <c r="G324" s="719"/>
      <c r="H324" s="726"/>
      <c r="I324" s="726"/>
      <c r="J324" s="726"/>
      <c r="K324" s="726"/>
    </row>
    <row r="325" spans="1:12">
      <c r="A325" s="726"/>
      <c r="B325" s="710"/>
      <c r="C325" s="693"/>
      <c r="D325" s="726"/>
      <c r="E325" s="693"/>
      <c r="F325" s="693"/>
      <c r="G325" s="693"/>
      <c r="H325" s="719"/>
      <c r="I325" s="719"/>
      <c r="J325" s="726"/>
      <c r="K325" s="726"/>
    </row>
    <row r="326" spans="1:12">
      <c r="A326" s="726"/>
      <c r="B326" s="719"/>
      <c r="C326" s="719"/>
      <c r="D326" s="719"/>
      <c r="E326" s="719"/>
      <c r="F326" s="719"/>
      <c r="G326" s="719"/>
      <c r="H326" s="719"/>
      <c r="I326" s="719"/>
      <c r="J326" s="726"/>
      <c r="K326" s="726"/>
    </row>
    <row r="327" spans="1:12">
      <c r="A327" s="709"/>
      <c r="B327" s="726"/>
      <c r="C327" s="850"/>
      <c r="D327" s="726"/>
      <c r="E327" s="719"/>
      <c r="F327" s="719"/>
      <c r="G327" s="719"/>
      <c r="H327" s="719"/>
      <c r="I327" s="719"/>
      <c r="J327" s="726"/>
      <c r="K327" s="726"/>
    </row>
    <row r="328" spans="1:12">
      <c r="A328" s="709"/>
      <c r="B328" s="726"/>
      <c r="C328" s="719"/>
      <c r="D328" s="696"/>
      <c r="E328" s="719"/>
      <c r="F328" s="719"/>
      <c r="G328" s="719"/>
      <c r="H328" s="719"/>
      <c r="I328" s="719"/>
      <c r="J328" s="726"/>
      <c r="K328" s="726"/>
    </row>
    <row r="329" spans="1:12">
      <c r="A329" s="709"/>
      <c r="B329" s="1304"/>
      <c r="C329" s="1304"/>
      <c r="D329" s="1304"/>
      <c r="E329" s="1304"/>
      <c r="F329" s="1304"/>
      <c r="G329" s="1304"/>
      <c r="H329" s="1304"/>
      <c r="I329" s="1304"/>
      <c r="J329" s="1304"/>
      <c r="K329" s="1304"/>
    </row>
    <row r="330" spans="1:12">
      <c r="A330" s="709"/>
      <c r="B330" s="1304"/>
      <c r="C330" s="1304"/>
      <c r="D330" s="1304"/>
      <c r="E330" s="1304"/>
      <c r="F330" s="1304"/>
      <c r="G330" s="1304"/>
      <c r="H330" s="1304"/>
      <c r="I330" s="1304"/>
      <c r="J330" s="1304"/>
      <c r="K330" s="1304"/>
    </row>
    <row r="331" spans="1:12">
      <c r="A331" s="709"/>
      <c r="B331" s="1304"/>
      <c r="C331" s="1304"/>
      <c r="D331" s="1304"/>
      <c r="E331" s="1304"/>
      <c r="F331" s="1304"/>
      <c r="G331" s="1304"/>
      <c r="H331" s="1304"/>
      <c r="I331" s="1304"/>
      <c r="J331" s="1304"/>
      <c r="K331" s="1304"/>
    </row>
    <row r="332" spans="1:12">
      <c r="A332" s="709"/>
      <c r="B332" s="1304"/>
      <c r="C332" s="1304"/>
      <c r="D332" s="1304"/>
      <c r="E332" s="1304"/>
      <c r="F332" s="1304"/>
      <c r="G332" s="1304"/>
      <c r="H332" s="1304"/>
      <c r="I332" s="1304"/>
      <c r="J332" s="1304"/>
      <c r="K332" s="1304"/>
    </row>
    <row r="333" spans="1:12">
      <c r="A333" s="709"/>
      <c r="B333" s="726"/>
      <c r="C333" s="719"/>
      <c r="D333" s="696"/>
      <c r="E333" s="719"/>
      <c r="F333" s="719"/>
      <c r="G333" s="719"/>
      <c r="H333" s="719"/>
      <c r="I333" s="719"/>
      <c r="J333" s="726"/>
      <c r="K333" s="726"/>
    </row>
    <row r="334" spans="1:12">
      <c r="A334" s="709"/>
      <c r="B334" s="1304"/>
      <c r="C334" s="1304"/>
      <c r="D334" s="1304"/>
      <c r="E334" s="1304"/>
      <c r="F334" s="1304"/>
      <c r="G334" s="1304"/>
      <c r="H334" s="1304"/>
      <c r="I334" s="1304"/>
      <c r="J334" s="1304"/>
      <c r="K334" s="1304"/>
    </row>
    <row r="335" spans="1:12">
      <c r="A335" s="709"/>
      <c r="B335" s="1304"/>
      <c r="C335" s="1304"/>
      <c r="D335" s="1304"/>
      <c r="E335" s="1304"/>
      <c r="F335" s="1304"/>
      <c r="G335" s="1304"/>
      <c r="H335" s="1304"/>
      <c r="I335" s="1304"/>
      <c r="J335" s="1304"/>
      <c r="K335" s="1304"/>
    </row>
    <row r="336" spans="1:12">
      <c r="A336" s="709"/>
      <c r="B336" s="1304"/>
      <c r="C336" s="1304"/>
      <c r="D336" s="1304"/>
      <c r="E336" s="1304"/>
      <c r="F336" s="1304"/>
      <c r="G336" s="1304"/>
      <c r="H336" s="1304"/>
      <c r="I336" s="1304"/>
      <c r="J336" s="1304"/>
      <c r="K336" s="1304"/>
    </row>
    <row r="337" spans="1:11">
      <c r="A337" s="709"/>
      <c r="B337" s="726"/>
      <c r="C337" s="719"/>
      <c r="D337" s="696"/>
      <c r="E337" s="719"/>
      <c r="F337" s="719"/>
      <c r="G337" s="719"/>
      <c r="H337" s="719"/>
      <c r="I337" s="719"/>
      <c r="J337" s="726"/>
      <c r="K337" s="726"/>
    </row>
    <row r="338" spans="1:11">
      <c r="A338" s="709"/>
      <c r="B338" s="726"/>
      <c r="C338" s="719"/>
      <c r="D338" s="696"/>
      <c r="E338" s="719"/>
      <c r="F338" s="719"/>
      <c r="G338" s="719"/>
      <c r="H338" s="719"/>
      <c r="I338" s="719"/>
      <c r="J338" s="726"/>
      <c r="K338" s="726"/>
    </row>
    <row r="339" spans="1:11">
      <c r="A339" s="734"/>
      <c r="B339" s="752"/>
      <c r="C339" s="727"/>
      <c r="D339" s="851"/>
      <c r="E339" s="727"/>
      <c r="F339" s="727"/>
      <c r="G339" s="727"/>
      <c r="H339" s="727"/>
      <c r="I339" s="734"/>
      <c r="J339" s="726"/>
      <c r="K339" s="726"/>
    </row>
    <row r="340" spans="1:11">
      <c r="A340" s="734"/>
      <c r="B340" s="752"/>
      <c r="C340" s="727"/>
      <c r="D340" s="727"/>
      <c r="E340" s="727"/>
      <c r="F340" s="727"/>
      <c r="G340" s="734"/>
      <c r="H340" s="727"/>
      <c r="I340" s="734"/>
      <c r="J340" s="726"/>
      <c r="K340" s="726"/>
    </row>
    <row r="341" spans="1:11">
      <c r="A341" s="734"/>
      <c r="B341" s="752"/>
      <c r="C341" s="727"/>
      <c r="D341" s="715"/>
      <c r="E341" s="727"/>
      <c r="F341" s="727"/>
      <c r="G341" s="727"/>
      <c r="H341" s="727"/>
      <c r="I341" s="705"/>
      <c r="J341" s="726"/>
      <c r="K341" s="726"/>
    </row>
    <row r="342" spans="1:11">
      <c r="A342" s="752"/>
      <c r="B342" s="752"/>
      <c r="C342" s="734"/>
      <c r="D342" s="734"/>
      <c r="E342" s="751"/>
      <c r="F342" s="751"/>
      <c r="G342" s="852"/>
      <c r="H342" s="751"/>
      <c r="I342" s="744"/>
      <c r="J342" s="726"/>
      <c r="K342" s="726"/>
    </row>
    <row r="343" spans="1:11">
      <c r="A343" s="752"/>
      <c r="B343" s="752"/>
      <c r="C343" s="853"/>
      <c r="D343" s="751"/>
      <c r="E343" s="751"/>
      <c r="F343" s="751"/>
      <c r="G343" s="734"/>
      <c r="H343" s="751"/>
      <c r="I343" s="854"/>
      <c r="J343" s="726"/>
      <c r="K343" s="726"/>
    </row>
    <row r="344" spans="1:11">
      <c r="A344" s="734"/>
      <c r="B344" s="849"/>
      <c r="C344" s="855"/>
      <c r="D344" s="854"/>
      <c r="E344" s="856"/>
      <c r="F344" s="854"/>
      <c r="G344" s="752"/>
      <c r="H344" s="856"/>
      <c r="I344" s="734"/>
      <c r="J344" s="726"/>
      <c r="K344" s="726"/>
    </row>
    <row r="345" spans="1:11">
      <c r="A345" s="734"/>
      <c r="B345" s="857"/>
      <c r="C345" s="751"/>
      <c r="D345" s="751"/>
      <c r="E345" s="751"/>
      <c r="F345" s="751"/>
      <c r="G345" s="751"/>
      <c r="H345" s="751"/>
      <c r="I345" s="751"/>
      <c r="J345" s="726"/>
      <c r="K345" s="726"/>
    </row>
    <row r="346" spans="1:11">
      <c r="A346" s="734"/>
      <c r="B346" s="849"/>
      <c r="C346" s="751"/>
      <c r="D346" s="751"/>
      <c r="E346" s="751"/>
      <c r="F346" s="751"/>
      <c r="G346" s="751"/>
      <c r="H346" s="751"/>
      <c r="I346" s="751"/>
      <c r="J346" s="726"/>
      <c r="K346" s="726"/>
    </row>
    <row r="347" spans="1:11">
      <c r="A347" s="734"/>
      <c r="B347" s="849"/>
      <c r="C347" s="751"/>
      <c r="D347" s="751"/>
      <c r="E347" s="751"/>
      <c r="F347" s="751"/>
      <c r="G347" s="751"/>
      <c r="H347" s="751"/>
      <c r="I347" s="751"/>
      <c r="J347" s="726"/>
      <c r="K347" s="726"/>
    </row>
    <row r="348" spans="1:11">
      <c r="A348" s="734"/>
      <c r="B348" s="858"/>
      <c r="C348" s="752"/>
      <c r="D348" s="751"/>
      <c r="E348" s="751"/>
      <c r="F348" s="751"/>
      <c r="G348" s="859"/>
      <c r="H348" s="751"/>
      <c r="I348" s="751"/>
      <c r="J348" s="726"/>
      <c r="K348" s="726"/>
    </row>
    <row r="349" spans="1:11">
      <c r="A349" s="734"/>
      <c r="B349" s="849"/>
      <c r="C349" s="752"/>
      <c r="D349" s="751"/>
      <c r="E349" s="751"/>
      <c r="F349" s="751"/>
      <c r="G349" s="859"/>
      <c r="H349" s="751"/>
      <c r="I349" s="751"/>
      <c r="J349" s="726"/>
      <c r="K349" s="726"/>
    </row>
    <row r="350" spans="1:11">
      <c r="A350" s="734"/>
      <c r="B350" s="849"/>
      <c r="C350" s="751"/>
      <c r="D350" s="751"/>
      <c r="E350" s="751"/>
      <c r="F350" s="751"/>
      <c r="G350" s="751"/>
      <c r="H350" s="751"/>
      <c r="I350" s="751"/>
      <c r="J350" s="726"/>
      <c r="K350" s="726"/>
    </row>
    <row r="351" spans="1:11">
      <c r="A351" s="734"/>
      <c r="B351" s="849"/>
      <c r="C351" s="751"/>
      <c r="D351" s="751"/>
      <c r="E351" s="751"/>
      <c r="F351" s="751"/>
      <c r="G351" s="751"/>
      <c r="H351" s="751"/>
      <c r="I351" s="751"/>
      <c r="J351" s="726"/>
      <c r="K351" s="726"/>
    </row>
    <row r="352" spans="1:11">
      <c r="A352" s="734"/>
      <c r="B352" s="849"/>
      <c r="C352" s="727"/>
      <c r="D352" s="751"/>
      <c r="E352" s="751"/>
      <c r="F352" s="693"/>
      <c r="G352" s="693"/>
      <c r="H352" s="719"/>
      <c r="I352" s="693"/>
      <c r="J352" s="726"/>
      <c r="K352" s="726"/>
    </row>
    <row r="353" spans="1:19">
      <c r="A353" s="734"/>
      <c r="B353" s="849"/>
      <c r="C353" s="727"/>
      <c r="D353" s="751"/>
      <c r="E353" s="751"/>
      <c r="F353" s="693"/>
      <c r="G353" s="693"/>
      <c r="H353" s="719"/>
      <c r="I353" s="693"/>
      <c r="J353" s="726"/>
      <c r="K353" s="726"/>
    </row>
    <row r="354" spans="1:19">
      <c r="A354" s="734"/>
      <c r="B354" s="727"/>
      <c r="C354" s="727"/>
      <c r="D354" s="727"/>
      <c r="E354" s="727"/>
      <c r="F354" s="719"/>
      <c r="G354" s="719"/>
      <c r="H354" s="719"/>
      <c r="I354" s="719"/>
      <c r="J354" s="726"/>
      <c r="K354" s="726"/>
    </row>
    <row r="355" spans="1:19">
      <c r="A355" s="709"/>
      <c r="B355" s="719"/>
      <c r="C355" s="719"/>
      <c r="D355" s="719"/>
      <c r="E355" s="719"/>
      <c r="F355" s="719"/>
      <c r="G355" s="719"/>
      <c r="H355" s="719"/>
      <c r="I355" s="719"/>
      <c r="J355" s="726"/>
      <c r="K355" s="726"/>
    </row>
    <row r="356" spans="1:19">
      <c r="A356" s="709"/>
      <c r="B356" s="719"/>
      <c r="C356" s="719"/>
      <c r="D356" s="719"/>
      <c r="E356" s="719"/>
      <c r="F356" s="719"/>
      <c r="G356" s="719"/>
      <c r="H356" s="719"/>
      <c r="I356" s="719"/>
      <c r="J356" s="726"/>
      <c r="K356" s="726"/>
    </row>
    <row r="357" spans="1:19">
      <c r="A357" s="709"/>
      <c r="B357" s="861"/>
      <c r="C357" s="719"/>
      <c r="D357" s="719"/>
      <c r="E357" s="719"/>
      <c r="F357" s="719"/>
      <c r="G357" s="719"/>
      <c r="H357" s="719"/>
      <c r="I357" s="719"/>
      <c r="J357" s="726"/>
      <c r="K357" s="726"/>
    </row>
    <row r="358" spans="1:19">
      <c r="A358" s="709"/>
      <c r="B358" s="861"/>
      <c r="C358" s="719"/>
      <c r="D358" s="719"/>
      <c r="E358" s="719"/>
      <c r="F358" s="719"/>
      <c r="G358" s="719"/>
      <c r="H358" s="719"/>
      <c r="I358" s="719"/>
      <c r="J358" s="726"/>
      <c r="K358" s="726"/>
    </row>
    <row r="359" spans="1:19">
      <c r="A359" s="709"/>
      <c r="B359" s="861"/>
      <c r="C359" s="719"/>
      <c r="D359" s="719"/>
      <c r="E359" s="719"/>
      <c r="F359" s="719"/>
      <c r="G359" s="719"/>
      <c r="H359" s="719"/>
      <c r="I359" s="719"/>
      <c r="J359" s="726"/>
      <c r="K359" s="726"/>
    </row>
    <row r="360" spans="1:19">
      <c r="A360" s="709"/>
      <c r="B360" s="861"/>
      <c r="C360" s="719"/>
      <c r="D360" s="719"/>
      <c r="E360" s="719"/>
      <c r="F360" s="719"/>
      <c r="G360" s="719"/>
      <c r="H360" s="719"/>
      <c r="I360" s="719"/>
      <c r="J360" s="726"/>
      <c r="K360" s="726"/>
    </row>
    <row r="361" spans="1:19">
      <c r="A361" s="709"/>
      <c r="B361" s="861"/>
      <c r="C361" s="719"/>
      <c r="D361" s="719"/>
      <c r="E361" s="719"/>
      <c r="F361" s="719"/>
      <c r="G361" s="719"/>
      <c r="H361" s="719"/>
      <c r="I361" s="719"/>
      <c r="J361" s="726"/>
      <c r="K361" s="726"/>
    </row>
    <row r="362" spans="1:19">
      <c r="A362" s="709"/>
      <c r="B362" s="861"/>
      <c r="C362" s="719"/>
      <c r="D362" s="719"/>
      <c r="E362" s="719"/>
      <c r="F362" s="719"/>
      <c r="G362" s="719"/>
      <c r="H362" s="719"/>
      <c r="I362" s="719"/>
      <c r="J362" s="726"/>
      <c r="K362" s="726"/>
    </row>
    <row r="363" spans="1:19">
      <c r="A363" s="709"/>
      <c r="B363" s="861"/>
      <c r="C363" s="719"/>
      <c r="D363" s="719"/>
      <c r="E363" s="719"/>
      <c r="F363" s="719"/>
      <c r="G363" s="719"/>
      <c r="H363" s="719"/>
      <c r="I363" s="719"/>
      <c r="J363" s="726"/>
      <c r="K363" s="726"/>
    </row>
    <row r="364" spans="1:19">
      <c r="A364" s="709"/>
      <c r="B364" s="719"/>
      <c r="C364" s="719"/>
      <c r="D364" s="719"/>
      <c r="E364" s="719"/>
      <c r="F364" s="719"/>
      <c r="G364" s="719"/>
      <c r="H364" s="719"/>
      <c r="I364" s="719"/>
      <c r="J364" s="726"/>
      <c r="K364" s="726"/>
    </row>
    <row r="365" spans="1:19">
      <c r="A365" s="709"/>
      <c r="B365" s="719"/>
      <c r="C365" s="719"/>
      <c r="D365" s="719"/>
      <c r="E365" s="719"/>
      <c r="F365" s="719"/>
      <c r="G365" s="719"/>
      <c r="H365" s="719"/>
      <c r="I365" s="719"/>
      <c r="J365" s="726"/>
      <c r="K365" s="726"/>
    </row>
    <row r="366" spans="1:19" s="726" customFormat="1">
      <c r="A366" s="848"/>
      <c r="B366" s="775"/>
      <c r="L366" s="847"/>
      <c r="N366" s="686"/>
      <c r="O366" s="686"/>
      <c r="P366" s="686"/>
      <c r="Q366" s="686"/>
      <c r="R366" s="686"/>
      <c r="S366" s="686"/>
    </row>
    <row r="367" spans="1:19" s="726" customFormat="1">
      <c r="B367" s="775"/>
      <c r="L367" s="847"/>
      <c r="N367" s="686"/>
      <c r="O367" s="686"/>
      <c r="P367" s="686"/>
      <c r="Q367" s="686"/>
      <c r="R367" s="686"/>
      <c r="S367" s="686"/>
    </row>
    <row r="368" spans="1:19" s="726" customFormat="1">
      <c r="B368" s="775"/>
      <c r="L368" s="847"/>
      <c r="N368" s="686"/>
      <c r="O368" s="686"/>
      <c r="P368" s="686"/>
      <c r="Q368" s="686"/>
      <c r="R368" s="686"/>
      <c r="S368" s="686"/>
    </row>
    <row r="369" spans="1:19" s="726" customFormat="1">
      <c r="B369" s="775"/>
      <c r="L369" s="847"/>
      <c r="N369" s="686"/>
      <c r="O369" s="686"/>
      <c r="P369" s="686"/>
      <c r="Q369" s="686"/>
      <c r="R369" s="686"/>
      <c r="S369" s="686"/>
    </row>
    <row r="370" spans="1:19" s="726" customFormat="1">
      <c r="B370" s="775"/>
      <c r="L370" s="847"/>
      <c r="N370" s="686"/>
      <c r="O370" s="686"/>
      <c r="P370" s="686"/>
      <c r="Q370" s="686"/>
      <c r="R370" s="686"/>
      <c r="S370" s="686"/>
    </row>
    <row r="371" spans="1:19" s="726" customFormat="1">
      <c r="B371" s="775"/>
      <c r="L371" s="847"/>
      <c r="N371" s="686"/>
      <c r="O371" s="686"/>
      <c r="P371" s="686"/>
      <c r="Q371" s="686"/>
      <c r="R371" s="686"/>
      <c r="S371" s="686"/>
    </row>
    <row r="372" spans="1:19" s="726" customFormat="1">
      <c r="B372" s="775"/>
      <c r="L372" s="847"/>
      <c r="N372" s="686"/>
      <c r="O372" s="686"/>
      <c r="P372" s="686"/>
      <c r="Q372" s="686"/>
      <c r="R372" s="686"/>
      <c r="S372" s="686"/>
    </row>
    <row r="373" spans="1:19" s="726" customFormat="1">
      <c r="B373" s="775"/>
      <c r="L373" s="847"/>
      <c r="N373" s="686"/>
      <c r="O373" s="686"/>
      <c r="P373" s="686"/>
      <c r="Q373" s="686"/>
      <c r="R373" s="686"/>
      <c r="S373" s="686"/>
    </row>
    <row r="374" spans="1:19" s="726" customFormat="1">
      <c r="L374" s="847"/>
      <c r="N374" s="686"/>
      <c r="O374" s="686"/>
      <c r="P374" s="686"/>
      <c r="Q374" s="686"/>
      <c r="R374" s="686"/>
      <c r="S374" s="686"/>
    </row>
    <row r="375" spans="1:19">
      <c r="A375" s="687"/>
      <c r="B375" s="694"/>
      <c r="C375" s="770"/>
      <c r="D375" s="694"/>
      <c r="E375" s="694"/>
      <c r="F375" s="757"/>
      <c r="G375" s="694"/>
      <c r="H375" s="770"/>
      <c r="I375" s="694"/>
      <c r="K375" s="772"/>
      <c r="L375" s="686"/>
    </row>
    <row r="376" spans="1:19">
      <c r="A376" s="687"/>
      <c r="B376" s="694"/>
      <c r="C376" s="770"/>
      <c r="D376" s="694"/>
      <c r="E376" s="694"/>
      <c r="F376" s="757"/>
      <c r="G376" s="694"/>
      <c r="H376" s="770"/>
      <c r="I376" s="694"/>
      <c r="K376" s="772"/>
      <c r="L376" s="686"/>
    </row>
    <row r="377" spans="1:19">
      <c r="A377" s="687"/>
      <c r="B377" s="694"/>
      <c r="C377" s="770"/>
      <c r="D377" s="694"/>
      <c r="E377" s="694"/>
      <c r="F377" s="757"/>
      <c r="G377" s="694"/>
      <c r="H377" s="770"/>
      <c r="I377" s="694"/>
      <c r="J377" s="760"/>
      <c r="K377" s="760"/>
      <c r="L377" s="686"/>
    </row>
  </sheetData>
  <customSheetViews>
    <customSheetView guid="{B991F324-919F-4749-8E3C-A09B2FA7BB10}" scale="70" showPageBreaks="1" printArea="1" view="pageBreakPreview">
      <selection activeCell="B1" sqref="B1"/>
      <rowBreaks count="4" manualBreakCount="4">
        <brk id="27" max="10" man="1"/>
        <brk id="101" max="10" man="1"/>
        <brk id="186" max="10" man="1"/>
        <brk id="277" max="10" man="1"/>
      </rowBreaks>
      <pageMargins left="0.7" right="0.7" top="0.75" bottom="0.75" header="0.3" footer="0.3"/>
      <printOptions horizontalCentered="1"/>
      <pageSetup scale="31" fitToWidth="0" fitToHeight="0" orientation="portrait" r:id="rId1"/>
      <headerFooter alignWithMargins="0"/>
    </customSheetView>
    <customSheetView guid="{901B528B-D65D-48CA-A638-FD9B4E5BB6D4}" scale="70" showPageBreaks="1" printArea="1" view="pageBreakPreview" topLeftCell="A55">
      <selection activeCell="I78" sqref="I78"/>
      <rowBreaks count="4" manualBreakCount="4">
        <brk id="27" max="10" man="1"/>
        <brk id="101" max="10" man="1"/>
        <brk id="186" max="10" man="1"/>
        <brk id="277" max="10" man="1"/>
      </rowBreaks>
      <pageMargins left="0.7" right="0.7" top="0.75" bottom="0.75" header="0.3" footer="0.3"/>
      <printOptions horizontalCentered="1"/>
      <pageSetup scale="31" fitToWidth="0" fitToHeight="0" orientation="portrait" r:id="rId2"/>
      <headerFooter alignWithMargins="0"/>
    </customSheetView>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3"/>
      <headerFooter alignWithMargins="0"/>
    </customSheetView>
    <customSheetView guid="{0DE222E8-ADD6-4F4B-9601-960D8109381F}" scale="60" showPageBreaks="1" printArea="1" view="pageBreakPreview">
      <rowBreaks count="4" manualBreakCount="4">
        <brk id="27" max="10" man="1"/>
        <brk id="101" max="10" man="1"/>
        <brk id="186" max="10" man="1"/>
        <brk id="277" max="10" man="1"/>
      </rowBreaks>
      <pageMargins left="0.7" right="0.7" top="0.75" bottom="0.75" header="0.3" footer="0.3"/>
      <printOptions horizontalCentered="1"/>
      <pageSetup scale="31" fitToWidth="0" fitToHeight="0" orientation="portrait" r:id="rId4"/>
      <headerFooter alignWithMargins="0"/>
    </customSheetView>
  </customSheetViews>
  <mergeCells count="40">
    <mergeCell ref="M227:R227"/>
    <mergeCell ref="E302:K302"/>
    <mergeCell ref="B292:K292"/>
    <mergeCell ref="B291:K291"/>
    <mergeCell ref="B295:K295"/>
    <mergeCell ref="B290:K290"/>
    <mergeCell ref="E301:K301"/>
    <mergeCell ref="B297:K297"/>
    <mergeCell ref="B299:K299"/>
    <mergeCell ref="B298:K298"/>
    <mergeCell ref="B300:K300"/>
    <mergeCell ref="B293:K293"/>
    <mergeCell ref="B296:K296"/>
    <mergeCell ref="B294:K294"/>
    <mergeCell ref="B305:K305"/>
    <mergeCell ref="B308:K308"/>
    <mergeCell ref="B307:K307"/>
    <mergeCell ref="B306:K306"/>
    <mergeCell ref="B304:K304"/>
    <mergeCell ref="B336:K336"/>
    <mergeCell ref="B335:K335"/>
    <mergeCell ref="B334:K334"/>
    <mergeCell ref="B332:K332"/>
    <mergeCell ref="B331:K331"/>
    <mergeCell ref="B322:K322"/>
    <mergeCell ref="B321:K321"/>
    <mergeCell ref="B330:K330"/>
    <mergeCell ref="B329:K329"/>
    <mergeCell ref="E303:K303"/>
    <mergeCell ref="B313:K313"/>
    <mergeCell ref="B312:K312"/>
    <mergeCell ref="B311:K311"/>
    <mergeCell ref="B310:K310"/>
    <mergeCell ref="B309:K309"/>
    <mergeCell ref="B318:K318"/>
    <mergeCell ref="B319:K319"/>
    <mergeCell ref="B317:K317"/>
    <mergeCell ref="B316:K316"/>
    <mergeCell ref="B315:K315"/>
    <mergeCell ref="B314:K314"/>
  </mergeCells>
  <phoneticPr fontId="0" type="noConversion"/>
  <printOptions horizontalCentered="1"/>
  <pageMargins left="0.7" right="0.7" top="0.75" bottom="0.75" header="0.3" footer="0.3"/>
  <pageSetup scale="31" fitToWidth="0" fitToHeight="0" orientation="portrait" r:id="rId5"/>
  <headerFooter alignWithMargins="0"/>
  <rowBreaks count="4" manualBreakCount="4">
    <brk id="27" max="10" man="1"/>
    <brk id="101" max="10" man="1"/>
    <brk id="186" max="10" man="1"/>
    <brk id="277"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M58"/>
  <sheetViews>
    <sheetView view="pageBreakPreview" zoomScale="80" zoomScaleNormal="100" workbookViewId="0"/>
  </sheetViews>
  <sheetFormatPr defaultColWidth="8.90625" defaultRowHeight="14.4"/>
  <cols>
    <col min="1" max="1" width="8.90625" style="379"/>
    <col min="2" max="2" width="9" style="379" customWidth="1"/>
    <col min="3" max="3" width="27.1796875" style="371" customWidth="1"/>
    <col min="4" max="4" width="3.08984375" style="372" customWidth="1"/>
    <col min="5" max="5" width="14.90625" style="371" customWidth="1"/>
    <col min="6" max="6" width="15.36328125" style="371" customWidth="1"/>
    <col min="7" max="8" width="13.81640625" style="371" customWidth="1"/>
    <col min="9" max="9" width="13.54296875" style="371" customWidth="1"/>
    <col min="10" max="10" width="16.54296875" style="371" customWidth="1"/>
    <col min="11" max="11" width="15.36328125" style="371" customWidth="1"/>
    <col min="12" max="12" width="12.90625" style="371" customWidth="1"/>
    <col min="13" max="13" width="15.36328125" style="379" customWidth="1"/>
    <col min="14" max="16384" width="8.90625" style="379"/>
  </cols>
  <sheetData>
    <row r="1" spans="1:13" ht="15.6">
      <c r="M1" s="4" t="str">
        <f>'Attachment H-11A '!K1&amp;""&amp;", Attachment 5b"</f>
        <v>Attachment H -11A, Attachment 5b</v>
      </c>
    </row>
    <row r="2" spans="1:13" ht="15.6">
      <c r="M2" s="4" t="s">
        <v>188</v>
      </c>
    </row>
    <row r="3" spans="1:13" ht="15.6">
      <c r="M3" s="6" t="str">
        <f>'Attachment 1 - Sched 1A'!$J$3</f>
        <v>For the 12 months ended 12/31/2022</v>
      </c>
    </row>
    <row r="4" spans="1:13" ht="15.6">
      <c r="C4" s="52"/>
    </row>
    <row r="5" spans="1:13" ht="15" thickBot="1">
      <c r="C5" s="868" t="s">
        <v>107</v>
      </c>
      <c r="D5" s="380"/>
      <c r="E5" s="868" t="s">
        <v>108</v>
      </c>
      <c r="F5" s="868" t="s">
        <v>109</v>
      </c>
      <c r="G5" s="868" t="s">
        <v>110</v>
      </c>
      <c r="H5" s="868" t="s">
        <v>111</v>
      </c>
      <c r="I5" s="868" t="s">
        <v>112</v>
      </c>
      <c r="J5" s="868" t="s">
        <v>113</v>
      </c>
      <c r="K5" s="868" t="s">
        <v>115</v>
      </c>
      <c r="L5" s="868" t="s">
        <v>116</v>
      </c>
    </row>
    <row r="6" spans="1:13" ht="15" thickBot="1">
      <c r="A6" s="869" t="s">
        <v>5</v>
      </c>
      <c r="B6" s="869"/>
      <c r="C6" s="870"/>
      <c r="D6" s="871"/>
      <c r="E6" s="1352" t="str">
        <f>MID(M3:M3,31,10)&amp;" "&amp;"Quarterly Activity and Balances"</f>
        <v>2022 Quarterly Activity and Balances</v>
      </c>
      <c r="F6" s="1352"/>
      <c r="G6" s="1352"/>
      <c r="H6" s="1352"/>
      <c r="I6" s="1352"/>
      <c r="J6" s="1352"/>
      <c r="K6" s="1352"/>
      <c r="L6" s="1353"/>
    </row>
    <row r="7" spans="1:13">
      <c r="C7" s="374"/>
      <c r="D7" s="383"/>
      <c r="E7" s="375"/>
      <c r="F7" s="375"/>
      <c r="G7" s="375"/>
      <c r="H7" s="375"/>
      <c r="I7" s="375"/>
      <c r="J7" s="375"/>
      <c r="K7" s="375"/>
      <c r="L7" s="376"/>
    </row>
    <row r="8" spans="1:13" ht="28.8">
      <c r="C8" s="872" t="s">
        <v>706</v>
      </c>
      <c r="D8" s="873"/>
      <c r="E8" s="874" t="s">
        <v>623</v>
      </c>
      <c r="F8" s="875" t="s">
        <v>624</v>
      </c>
      <c r="G8" s="874" t="s">
        <v>625</v>
      </c>
      <c r="H8" s="875" t="s">
        <v>626</v>
      </c>
      <c r="I8" s="874" t="s">
        <v>627</v>
      </c>
      <c r="J8" s="875" t="s">
        <v>628</v>
      </c>
      <c r="K8" s="874" t="s">
        <v>629</v>
      </c>
      <c r="L8" s="876" t="s">
        <v>630</v>
      </c>
    </row>
    <row r="9" spans="1:13">
      <c r="A9" s="877">
        <v>1</v>
      </c>
      <c r="B9" s="868" t="s">
        <v>653</v>
      </c>
      <c r="C9" s="878">
        <v>10249020.924999259</v>
      </c>
      <c r="D9" s="380"/>
      <c r="E9" s="879">
        <v>-102134.05612953904</v>
      </c>
      <c r="F9" s="380">
        <f>SUM(C9:E9)</f>
        <v>10146886.86886972</v>
      </c>
      <c r="G9" s="879">
        <v>-74104.836606433746</v>
      </c>
      <c r="H9" s="380">
        <f>SUM(F9:G9)</f>
        <v>10072782.032263286</v>
      </c>
      <c r="I9" s="879">
        <v>-450895.8245013259</v>
      </c>
      <c r="J9" s="380">
        <f>SUM(H9:I9)</f>
        <v>9621886.2077619601</v>
      </c>
      <c r="K9" s="879">
        <v>-373884.84271314438</v>
      </c>
      <c r="L9" s="384">
        <f>SUM(J9:K9)</f>
        <v>9248001.3650488164</v>
      </c>
    </row>
    <row r="10" spans="1:13">
      <c r="C10" s="385"/>
      <c r="D10" s="380"/>
      <c r="E10" s="378"/>
      <c r="F10" s="380"/>
      <c r="G10" s="378"/>
      <c r="H10" s="380"/>
      <c r="I10" s="378"/>
      <c r="J10" s="380"/>
      <c r="K10" s="378"/>
      <c r="L10" s="384"/>
    </row>
    <row r="11" spans="1:13" ht="28.8">
      <c r="C11" s="880" t="str">
        <f>C8</f>
        <v>Beginning 190 (including adjustments)</v>
      </c>
      <c r="D11" s="380"/>
      <c r="E11" s="381" t="s">
        <v>474</v>
      </c>
      <c r="F11" s="380"/>
      <c r="G11" s="381" t="s">
        <v>475</v>
      </c>
      <c r="H11" s="380"/>
      <c r="I11" s="381" t="s">
        <v>476</v>
      </c>
      <c r="J11" s="380"/>
      <c r="K11" s="381" t="s">
        <v>477</v>
      </c>
      <c r="L11" s="384"/>
    </row>
    <row r="12" spans="1:13">
      <c r="A12" s="877">
        <v>2</v>
      </c>
      <c r="B12" s="868" t="s">
        <v>653</v>
      </c>
      <c r="C12" s="382">
        <f>C9</f>
        <v>10249020.924999259</v>
      </c>
      <c r="D12" s="380"/>
      <c r="E12" s="381">
        <f>(276/365)*E9</f>
        <v>-77230.13559384321</v>
      </c>
      <c r="F12" s="380"/>
      <c r="G12" s="381">
        <f>(185/365)*G9</f>
        <v>-37559.985677233548</v>
      </c>
      <c r="H12" s="380"/>
      <c r="I12" s="381">
        <f>(93/365)*I9</f>
        <v>-114885.78542088578</v>
      </c>
      <c r="J12" s="380"/>
      <c r="K12" s="381">
        <f>(1/365)*K9</f>
        <v>-1024.3420348305326</v>
      </c>
      <c r="L12" s="384"/>
      <c r="M12" s="881"/>
    </row>
    <row r="13" spans="1:13">
      <c r="C13" s="382"/>
      <c r="D13" s="380"/>
      <c r="E13" s="381"/>
      <c r="F13" s="380"/>
      <c r="G13" s="381"/>
      <c r="H13" s="380"/>
      <c r="I13" s="381"/>
      <c r="J13" s="380"/>
      <c r="K13" s="381"/>
      <c r="L13" s="384"/>
      <c r="M13" s="881"/>
    </row>
    <row r="14" spans="1:13" ht="28.8">
      <c r="C14" s="880" t="s">
        <v>707</v>
      </c>
      <c r="D14" s="380"/>
      <c r="E14" s="874" t="s">
        <v>623</v>
      </c>
      <c r="F14" s="875" t="s">
        <v>624</v>
      </c>
      <c r="G14" s="874" t="s">
        <v>625</v>
      </c>
      <c r="H14" s="875" t="s">
        <v>626</v>
      </c>
      <c r="I14" s="874" t="s">
        <v>627</v>
      </c>
      <c r="J14" s="875" t="s">
        <v>628</v>
      </c>
      <c r="K14" s="874" t="s">
        <v>629</v>
      </c>
      <c r="L14" s="876" t="s">
        <v>630</v>
      </c>
      <c r="M14" s="881"/>
    </row>
    <row r="15" spans="1:13">
      <c r="A15" s="877">
        <v>3</v>
      </c>
      <c r="B15" s="868" t="s">
        <v>653</v>
      </c>
      <c r="C15" s="878">
        <v>93605776.800968111</v>
      </c>
      <c r="D15" s="380"/>
      <c r="E15" s="879">
        <v>725736.38235628919</v>
      </c>
      <c r="F15" s="380">
        <f>SUM(C15:E15)</f>
        <v>94331513.183324397</v>
      </c>
      <c r="G15" s="879">
        <v>746832.70309087657</v>
      </c>
      <c r="H15" s="380">
        <f>SUM(F15:G15)</f>
        <v>95078345.886415273</v>
      </c>
      <c r="I15" s="879">
        <v>726682.07744633395</v>
      </c>
      <c r="J15" s="380">
        <f>SUM(H15:I15)</f>
        <v>95805027.9638616</v>
      </c>
      <c r="K15" s="879">
        <v>714426.149967451</v>
      </c>
      <c r="L15" s="384">
        <f>SUM(J15:K15)</f>
        <v>96519454.113829046</v>
      </c>
      <c r="M15" s="881"/>
    </row>
    <row r="16" spans="1:13">
      <c r="C16" s="385"/>
      <c r="D16" s="380"/>
      <c r="E16" s="380"/>
      <c r="F16" s="380"/>
      <c r="G16" s="380"/>
      <c r="H16" s="380"/>
      <c r="I16" s="380"/>
      <c r="J16" s="380"/>
      <c r="K16" s="380"/>
      <c r="L16" s="384"/>
      <c r="M16" s="881"/>
    </row>
    <row r="17" spans="1:13" ht="28.8">
      <c r="C17" s="880" t="str">
        <f>C14</f>
        <v xml:space="preserve">Beginning 282 (including adjustments) </v>
      </c>
      <c r="D17" s="380"/>
      <c r="E17" s="381" t="s">
        <v>474</v>
      </c>
      <c r="F17" s="380"/>
      <c r="G17" s="381" t="s">
        <v>475</v>
      </c>
      <c r="H17" s="380"/>
      <c r="I17" s="381" t="s">
        <v>476</v>
      </c>
      <c r="J17" s="380"/>
      <c r="K17" s="381" t="s">
        <v>477</v>
      </c>
      <c r="L17" s="384"/>
      <c r="M17" s="881"/>
    </row>
    <row r="18" spans="1:13">
      <c r="A18" s="877">
        <v>4</v>
      </c>
      <c r="B18" s="868" t="s">
        <v>653</v>
      </c>
      <c r="C18" s="382">
        <f>C15</f>
        <v>93605776.800968111</v>
      </c>
      <c r="D18" s="380"/>
      <c r="E18" s="381">
        <f>(276/365)*E15</f>
        <v>548776.00419270084</v>
      </c>
      <c r="F18" s="380"/>
      <c r="G18" s="381">
        <f>(185/365)*G15</f>
        <v>378531.64403236209</v>
      </c>
      <c r="H18" s="380"/>
      <c r="I18" s="381">
        <f>(93/365)*I15</f>
        <v>185154.61151372344</v>
      </c>
      <c r="J18" s="380"/>
      <c r="K18" s="381">
        <f>(1/365)*K15</f>
        <v>1957.3319177190438</v>
      </c>
      <c r="L18" s="384"/>
      <c r="M18" s="881"/>
    </row>
    <row r="19" spans="1:13">
      <c r="C19" s="382"/>
      <c r="D19" s="380"/>
      <c r="E19" s="381"/>
      <c r="F19" s="380"/>
      <c r="G19" s="381"/>
      <c r="H19" s="380"/>
      <c r="I19" s="381"/>
      <c r="J19" s="380"/>
      <c r="K19" s="381"/>
      <c r="L19" s="384"/>
      <c r="M19" s="881"/>
    </row>
    <row r="20" spans="1:13">
      <c r="C20" s="880" t="s">
        <v>708</v>
      </c>
      <c r="D20" s="380"/>
      <c r="E20" s="874" t="s">
        <v>623</v>
      </c>
      <c r="F20" s="875" t="s">
        <v>624</v>
      </c>
      <c r="G20" s="874" t="s">
        <v>625</v>
      </c>
      <c r="H20" s="875" t="s">
        <v>626</v>
      </c>
      <c r="I20" s="874" t="s">
        <v>627</v>
      </c>
      <c r="J20" s="875" t="s">
        <v>628</v>
      </c>
      <c r="K20" s="874" t="s">
        <v>629</v>
      </c>
      <c r="L20" s="876" t="s">
        <v>630</v>
      </c>
      <c r="M20" s="881"/>
    </row>
    <row r="21" spans="1:13">
      <c r="A21" s="877">
        <v>5</v>
      </c>
      <c r="B21" s="868" t="s">
        <v>653</v>
      </c>
      <c r="C21" s="878">
        <v>5525146.8865055246</v>
      </c>
      <c r="D21" s="380"/>
      <c r="E21" s="879">
        <v>-126918.82509980246</v>
      </c>
      <c r="F21" s="380">
        <f>SUM(C21:E21)</f>
        <v>5398228.0614057221</v>
      </c>
      <c r="G21" s="879">
        <v>-131422.18778484478</v>
      </c>
      <c r="H21" s="380">
        <f>SUM(F21:G21)</f>
        <v>5266805.873620877</v>
      </c>
      <c r="I21" s="879">
        <v>-115861.07267885988</v>
      </c>
      <c r="J21" s="380">
        <f>SUM(H21:I21)</f>
        <v>5150944.8009420168</v>
      </c>
      <c r="K21" s="879">
        <v>-52122.138873911252</v>
      </c>
      <c r="L21" s="384">
        <f>SUM(J21:K21)</f>
        <v>5098822.6620681053</v>
      </c>
      <c r="M21" s="881"/>
    </row>
    <row r="22" spans="1:13">
      <c r="C22" s="385"/>
      <c r="D22" s="380"/>
      <c r="E22" s="378"/>
      <c r="F22" s="380"/>
      <c r="G22" s="378"/>
      <c r="H22" s="380"/>
      <c r="I22" s="378"/>
      <c r="J22" s="380"/>
      <c r="K22" s="378"/>
      <c r="L22" s="384"/>
      <c r="M22" s="881"/>
    </row>
    <row r="23" spans="1:13">
      <c r="B23" s="882"/>
      <c r="C23" s="880" t="s">
        <v>622</v>
      </c>
      <c r="D23" s="380"/>
      <c r="E23" s="381" t="s">
        <v>474</v>
      </c>
      <c r="F23" s="380"/>
      <c r="G23" s="381" t="s">
        <v>475</v>
      </c>
      <c r="H23" s="380"/>
      <c r="I23" s="381" t="s">
        <v>476</v>
      </c>
      <c r="J23" s="380"/>
      <c r="K23" s="381" t="s">
        <v>477</v>
      </c>
      <c r="L23" s="384"/>
      <c r="M23" s="881"/>
    </row>
    <row r="24" spans="1:13" ht="15" thickBot="1">
      <c r="A24" s="877">
        <v>6</v>
      </c>
      <c r="B24" s="868" t="s">
        <v>653</v>
      </c>
      <c r="C24" s="549">
        <f>C21</f>
        <v>5525146.8865055246</v>
      </c>
      <c r="D24" s="504"/>
      <c r="E24" s="667">
        <f>(276/365)*E21</f>
        <v>-95971.495143960216</v>
      </c>
      <c r="F24" s="504"/>
      <c r="G24" s="667">
        <f>(185/365)*G21</f>
        <v>-66611.245863551463</v>
      </c>
      <c r="H24" s="504"/>
      <c r="I24" s="667">
        <f>(93/365)*I21</f>
        <v>-29520.76646338074</v>
      </c>
      <c r="J24" s="504"/>
      <c r="K24" s="667">
        <f>(1/365)*K21</f>
        <v>-142.80038047646917</v>
      </c>
      <c r="L24" s="550"/>
      <c r="M24" s="881"/>
    </row>
    <row r="25" spans="1:13">
      <c r="C25" s="372"/>
    </row>
    <row r="26" spans="1:13">
      <c r="C26" s="372"/>
    </row>
    <row r="27" spans="1:13">
      <c r="C27" s="372"/>
    </row>
    <row r="28" spans="1:13">
      <c r="C28" s="372"/>
    </row>
    <row r="29" spans="1:13">
      <c r="C29" s="372"/>
    </row>
    <row r="30" spans="1:13">
      <c r="C30" s="372"/>
    </row>
    <row r="31" spans="1:13" ht="15.6">
      <c r="C31" s="372"/>
      <c r="M31" s="4"/>
    </row>
    <row r="32" spans="1:13" ht="15.6">
      <c r="C32" s="372"/>
      <c r="M32" s="4"/>
    </row>
    <row r="33" spans="1:13" ht="15.6">
      <c r="C33" s="372"/>
      <c r="G33" s="1354" t="str">
        <f>MID(M3:M3,31,10)&amp;" "&amp;"PTRR"</f>
        <v>2022 PTRR</v>
      </c>
      <c r="H33" s="1355"/>
      <c r="M33" s="6"/>
    </row>
    <row r="34" spans="1:13">
      <c r="C34" s="372"/>
    </row>
    <row r="35" spans="1:13">
      <c r="E35" s="910" t="s">
        <v>117</v>
      </c>
      <c r="F35" s="910" t="s">
        <v>118</v>
      </c>
      <c r="G35" s="910" t="s">
        <v>122</v>
      </c>
      <c r="H35" s="910" t="s">
        <v>123</v>
      </c>
      <c r="I35" s="910" t="s">
        <v>124</v>
      </c>
      <c r="J35" s="910" t="s">
        <v>125</v>
      </c>
      <c r="K35" s="910" t="s">
        <v>127</v>
      </c>
      <c r="L35" s="883"/>
      <c r="M35" s="883"/>
    </row>
    <row r="36" spans="1:13" ht="42.9" customHeight="1">
      <c r="E36" s="883"/>
      <c r="F36" s="884" t="s">
        <v>654</v>
      </c>
      <c r="G36" s="911" t="s">
        <v>702</v>
      </c>
      <c r="H36" s="910" t="s">
        <v>703</v>
      </c>
      <c r="I36" s="883"/>
      <c r="J36" s="910" t="s">
        <v>704</v>
      </c>
      <c r="K36" s="911" t="s">
        <v>705</v>
      </c>
      <c r="L36" s="883"/>
      <c r="M36" s="883"/>
    </row>
    <row r="37" spans="1:13" ht="61.5" customHeight="1">
      <c r="A37" s="869" t="s">
        <v>5</v>
      </c>
      <c r="B37" s="869"/>
      <c r="C37" s="885" t="s">
        <v>658</v>
      </c>
      <c r="E37" s="1297" t="s">
        <v>1196</v>
      </c>
      <c r="F37" s="886" t="s">
        <v>659</v>
      </c>
      <c r="G37" s="887" t="s">
        <v>660</v>
      </c>
      <c r="H37" s="887" t="s">
        <v>661</v>
      </c>
      <c r="I37" s="887" t="s">
        <v>662</v>
      </c>
      <c r="J37" s="887" t="s">
        <v>800</v>
      </c>
      <c r="K37" s="887" t="s">
        <v>799</v>
      </c>
    </row>
    <row r="39" spans="1:13">
      <c r="A39" s="877">
        <v>7</v>
      </c>
      <c r="B39" s="877" t="s">
        <v>653</v>
      </c>
      <c r="C39" s="888" t="s">
        <v>663</v>
      </c>
      <c r="E39" s="889">
        <f>'Attachment 5 - ADIT Summary'!H15</f>
        <v>11449238.689737931</v>
      </c>
      <c r="F39" s="377">
        <f>E9+G9+I9+K9</f>
        <v>-1001019.559950443</v>
      </c>
      <c r="G39" s="377">
        <f>C12+E12+G12+I12+K12</f>
        <v>10018320.676272469</v>
      </c>
      <c r="H39" s="890">
        <f>E39-G39</f>
        <v>1430918.0134654623</v>
      </c>
      <c r="I39" s="889">
        <f>SUM('Attachment 5 - ADIT Summary'!F32:J32)</f>
        <v>2201237.3246891135</v>
      </c>
      <c r="J39" s="891">
        <f>H39-I39</f>
        <v>-770319.31122365128</v>
      </c>
      <c r="K39" s="891">
        <f>E39-I39-J39</f>
        <v>10018320.676272471</v>
      </c>
    </row>
    <row r="40" spans="1:13">
      <c r="H40" s="890"/>
      <c r="I40" s="892"/>
      <c r="J40" s="890"/>
      <c r="K40" s="890"/>
    </row>
    <row r="41" spans="1:13">
      <c r="A41" s="877">
        <v>8</v>
      </c>
      <c r="B41" s="877" t="s">
        <v>653</v>
      </c>
      <c r="C41" s="888" t="s">
        <v>664</v>
      </c>
      <c r="E41" s="889">
        <f>'Attachment 5 - ADIT Summary'!F15</f>
        <v>78182148.751846299</v>
      </c>
      <c r="F41" s="377">
        <f>E15+G15+I15+K15</f>
        <v>2913677.3128609508</v>
      </c>
      <c r="G41" s="377">
        <f>C18+E18+G18+I18+K18</f>
        <v>94720196.392624602</v>
      </c>
      <c r="H41" s="890">
        <f>E41-G41</f>
        <v>-16538047.640778303</v>
      </c>
      <c r="I41" s="889">
        <f>SUM('Attachment 5 - ADIT Summary'!F24:J24)</f>
        <v>-18337305.361982755</v>
      </c>
      <c r="J41" s="891">
        <f>H41-I41</f>
        <v>1799257.7212044522</v>
      </c>
      <c r="K41" s="891">
        <f>-E41+I41+J41</f>
        <v>-94720196.392624587</v>
      </c>
    </row>
    <row r="42" spans="1:13">
      <c r="A42" s="877"/>
      <c r="B42" s="877"/>
      <c r="H42" s="890"/>
      <c r="I42" s="892"/>
      <c r="J42" s="890"/>
      <c r="K42" s="890"/>
    </row>
    <row r="43" spans="1:13">
      <c r="A43" s="877">
        <v>9</v>
      </c>
      <c r="B43" s="877" t="s">
        <v>653</v>
      </c>
      <c r="C43" s="888" t="s">
        <v>665</v>
      </c>
      <c r="E43" s="889">
        <f>'Attachment 5 - ADIT Summary'!G15</f>
        <v>-4077451.2583876946</v>
      </c>
      <c r="F43" s="377">
        <f>E21+G21+I21+K21</f>
        <v>-426324.22443741834</v>
      </c>
      <c r="G43" s="377">
        <f>C24+E24+G24+I24+K24</f>
        <v>5332900.5786541561</v>
      </c>
      <c r="H43" s="890">
        <f>E43-G43</f>
        <v>-9410351.8370418511</v>
      </c>
      <c r="I43" s="889">
        <f>SUM('Attachment 5 - ADIT Summary'!F28:J28)</f>
        <v>-9176273.9202710055</v>
      </c>
      <c r="J43" s="891">
        <f>H43-I43</f>
        <v>-234077.91677084565</v>
      </c>
      <c r="K43" s="891">
        <f>-E43+I43+J43</f>
        <v>-5332900.578654157</v>
      </c>
    </row>
    <row r="44" spans="1:13">
      <c r="A44" s="877"/>
      <c r="B44" s="877"/>
      <c r="H44" s="890"/>
      <c r="I44" s="892"/>
      <c r="J44" s="890"/>
      <c r="K44" s="890"/>
    </row>
    <row r="45" spans="1:13">
      <c r="A45" s="877">
        <v>10</v>
      </c>
      <c r="B45" s="877" t="s">
        <v>653</v>
      </c>
      <c r="C45" s="888" t="s">
        <v>666</v>
      </c>
      <c r="E45" s="890">
        <f>E39-E41-E43</f>
        <v>-62655458.803720675</v>
      </c>
      <c r="F45" s="890">
        <f>F39-F41-F43</f>
        <v>-3488372.6483739754</v>
      </c>
      <c r="G45" s="890">
        <f>G39-G41-G43</f>
        <v>-90034776.29500629</v>
      </c>
      <c r="H45" s="890">
        <f>H39-H41-H43</f>
        <v>27379317.491285618</v>
      </c>
      <c r="I45" s="890">
        <f>I39+I41+I43</f>
        <v>-25312341.957564648</v>
      </c>
      <c r="J45" s="890">
        <f>J39+J41+J43</f>
        <v>794860.49320995528</v>
      </c>
      <c r="K45" s="890">
        <f>K39+K41+K43</f>
        <v>-90034776.295006275</v>
      </c>
    </row>
    <row r="46" spans="1:13">
      <c r="A46" s="877"/>
      <c r="B46" s="877"/>
    </row>
    <row r="47" spans="1:13">
      <c r="A47" s="877"/>
      <c r="B47" s="877"/>
    </row>
    <row r="48" spans="1:13">
      <c r="A48" s="877"/>
      <c r="B48" s="877"/>
    </row>
    <row r="49" spans="1:13">
      <c r="A49" s="877"/>
      <c r="B49" s="877"/>
      <c r="K49" s="890"/>
      <c r="M49" s="508"/>
    </row>
    <row r="50" spans="1:13">
      <c r="A50" s="877"/>
      <c r="B50" s="373" t="s">
        <v>667</v>
      </c>
      <c r="C50" s="372"/>
      <c r="E50" s="372"/>
      <c r="F50" s="372"/>
      <c r="G50" s="372"/>
    </row>
    <row r="51" spans="1:13">
      <c r="A51" s="877"/>
      <c r="B51" s="1357" t="s">
        <v>722</v>
      </c>
      <c r="C51" s="1357"/>
      <c r="D51" s="1357"/>
      <c r="E51" s="1357"/>
      <c r="F51" s="1357"/>
      <c r="G51" s="1357"/>
    </row>
    <row r="52" spans="1:13">
      <c r="A52" s="877"/>
      <c r="B52" s="1356"/>
      <c r="C52" s="1356"/>
      <c r="D52" s="1356"/>
      <c r="E52" s="1356"/>
      <c r="F52" s="1356"/>
      <c r="G52" s="1356"/>
    </row>
    <row r="53" spans="1:13">
      <c r="A53" s="877"/>
    </row>
    <row r="54" spans="1:13">
      <c r="A54" s="877"/>
      <c r="C54" s="379"/>
      <c r="D54" s="379"/>
      <c r="E54" s="379"/>
      <c r="F54" s="379"/>
      <c r="G54" s="379"/>
    </row>
    <row r="55" spans="1:13">
      <c r="A55" s="877"/>
      <c r="C55" s="379"/>
      <c r="D55" s="379"/>
      <c r="E55" s="379"/>
      <c r="F55" s="379"/>
      <c r="G55" s="379"/>
    </row>
    <row r="56" spans="1:13">
      <c r="C56" s="379"/>
      <c r="D56" s="379"/>
      <c r="E56" s="379"/>
      <c r="F56" s="379"/>
      <c r="G56" s="379"/>
    </row>
    <row r="57" spans="1:13">
      <c r="B57" s="383"/>
      <c r="C57" s="372"/>
      <c r="E57" s="372"/>
      <c r="F57" s="372"/>
      <c r="G57" s="372"/>
    </row>
    <row r="58" spans="1:13">
      <c r="B58" s="383"/>
      <c r="C58" s="372"/>
      <c r="E58" s="372"/>
      <c r="F58" s="372"/>
      <c r="G58" s="372"/>
    </row>
  </sheetData>
  <customSheetViews>
    <customSheetView guid="{B991F324-919F-4749-8E3C-A09B2FA7BB10}" scale="80" showPageBreaks="1" printArea="1" view="pageBreakPreview">
      <selection activeCell="E19" sqref="E19"/>
      <colBreaks count="1" manualBreakCount="1">
        <brk id="13" max="36" man="1"/>
      </colBreaks>
      <pageMargins left="0.7" right="0.7" top="0.75" bottom="0.75" header="0.3" footer="0.3"/>
      <pageSetup scale="54" orientation="landscape" r:id="rId1"/>
    </customSheetView>
    <customSheetView guid="{901B528B-D65D-48CA-A638-FD9B4E5BB6D4}" scale="60" showPageBreaks="1" printArea="1" view="pageBreakPreview">
      <selection activeCell="H29" sqref="H29"/>
      <colBreaks count="1" manualBreakCount="1">
        <brk id="13" max="36" man="1"/>
      </colBreaks>
      <pageMargins left="0.7" right="0.7" top="0.75" bottom="0.75" header="0.3" footer="0.3"/>
      <pageSetup scale="54" orientation="landscape" r:id="rId2"/>
    </customSheetView>
    <customSheetView guid="{0DE222E8-ADD6-4F4B-9601-960D8109381F}" scale="60" showPageBreaks="1" printArea="1" view="pageBreakPreview">
      <colBreaks count="1" manualBreakCount="1">
        <brk id="13" max="36" man="1"/>
      </colBreaks>
      <pageMargins left="0.7" right="0.7" top="0.75" bottom="0.75" header="0.3" footer="0.3"/>
      <pageSetup scale="54" orientation="landscape" r:id="rId3"/>
    </customSheetView>
  </customSheetViews>
  <mergeCells count="4">
    <mergeCell ref="E6:L6"/>
    <mergeCell ref="G33:H33"/>
    <mergeCell ref="B52:G52"/>
    <mergeCell ref="B51:G51"/>
  </mergeCells>
  <pageMargins left="0.7" right="0.7" top="0.75" bottom="0.75" header="0.3" footer="0.3"/>
  <pageSetup scale="54" orientation="landscape" r:id="rId4"/>
  <colBreaks count="1" manualBreakCount="1">
    <brk id="13" max="3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13A6-6361-4A33-AE08-D396E3741D29}">
  <dimension ref="A1:M79"/>
  <sheetViews>
    <sheetView view="pageBreakPreview" zoomScale="60" zoomScaleNormal="100" workbookViewId="0"/>
  </sheetViews>
  <sheetFormatPr defaultColWidth="8.90625" defaultRowHeight="14.4"/>
  <cols>
    <col min="1" max="1" width="9.54296875" style="379" customWidth="1"/>
    <col min="2" max="2" width="9" style="379" customWidth="1"/>
    <col min="3" max="3" width="27.1796875" style="371" customWidth="1"/>
    <col min="4" max="4" width="3.08984375" style="372" customWidth="1"/>
    <col min="5" max="5" width="14.90625" style="371" customWidth="1"/>
    <col min="6" max="6" width="15.36328125" style="371" customWidth="1"/>
    <col min="7" max="8" width="13.81640625" style="371" customWidth="1"/>
    <col min="9" max="9" width="13.54296875" style="371" customWidth="1"/>
    <col min="10" max="10" width="16.54296875" style="371" customWidth="1"/>
    <col min="11" max="11" width="15.36328125" style="371" customWidth="1"/>
    <col min="12" max="12" width="12.90625" style="371" customWidth="1"/>
    <col min="13" max="13" width="17.08984375" style="379" customWidth="1"/>
    <col min="14" max="16384" width="8.90625" style="379"/>
  </cols>
  <sheetData>
    <row r="1" spans="1:13" ht="15.6">
      <c r="M1" s="4" t="str">
        <f>'Attachment H-11A '!K1&amp;""&amp;", Attachment 5c"</f>
        <v>Attachment H -11A, Attachment 5c</v>
      </c>
    </row>
    <row r="2" spans="1:13" ht="15.6">
      <c r="M2" s="4" t="s">
        <v>191</v>
      </c>
    </row>
    <row r="3" spans="1:13" ht="15.6">
      <c r="M3" s="6" t="str">
        <f>'Attachment H-11A '!K4</f>
        <v>For the 12 months ended 12/31/2022</v>
      </c>
    </row>
    <row r="4" spans="1:13" ht="15.6">
      <c r="C4" s="52"/>
    </row>
    <row r="5" spans="1:13" ht="15" thickBot="1">
      <c r="C5" s="868" t="s">
        <v>107</v>
      </c>
      <c r="D5" s="380"/>
      <c r="E5" s="868" t="s">
        <v>108</v>
      </c>
      <c r="F5" s="868" t="s">
        <v>109</v>
      </c>
      <c r="G5" s="868" t="s">
        <v>110</v>
      </c>
      <c r="H5" s="868" t="s">
        <v>111</v>
      </c>
      <c r="I5" s="868" t="s">
        <v>112</v>
      </c>
      <c r="J5" s="868" t="s">
        <v>113</v>
      </c>
      <c r="K5" s="868" t="s">
        <v>115</v>
      </c>
      <c r="L5" s="868" t="s">
        <v>116</v>
      </c>
    </row>
    <row r="6" spans="1:13" ht="15" thickBot="1">
      <c r="A6" s="869" t="s">
        <v>5</v>
      </c>
      <c r="B6" s="869"/>
      <c r="C6" s="870"/>
      <c r="D6" s="871"/>
      <c r="E6" s="1352" t="str">
        <f>MID(M3:M3,31,10)&amp;" "&amp;"Quarterly Activity and Balances"</f>
        <v>2022 Quarterly Activity and Balances</v>
      </c>
      <c r="F6" s="1352"/>
      <c r="G6" s="1352"/>
      <c r="H6" s="1352"/>
      <c r="I6" s="1352"/>
      <c r="J6" s="1352"/>
      <c r="K6" s="1352"/>
      <c r="L6" s="1353"/>
    </row>
    <row r="7" spans="1:13">
      <c r="C7" s="374"/>
      <c r="D7" s="383"/>
      <c r="E7" s="375"/>
      <c r="F7" s="375"/>
      <c r="G7" s="375"/>
      <c r="H7" s="375"/>
      <c r="I7" s="375"/>
      <c r="J7" s="375"/>
      <c r="K7" s="375"/>
      <c r="L7" s="376"/>
    </row>
    <row r="8" spans="1:13" ht="28.8">
      <c r="C8" s="872" t="s">
        <v>709</v>
      </c>
      <c r="D8" s="873"/>
      <c r="E8" s="874" t="s">
        <v>623</v>
      </c>
      <c r="F8" s="875" t="s">
        <v>624</v>
      </c>
      <c r="G8" s="874" t="s">
        <v>625</v>
      </c>
      <c r="H8" s="875" t="s">
        <v>626</v>
      </c>
      <c r="I8" s="874" t="s">
        <v>627</v>
      </c>
      <c r="J8" s="875" t="s">
        <v>628</v>
      </c>
      <c r="K8" s="874" t="s">
        <v>629</v>
      </c>
      <c r="L8" s="876" t="s">
        <v>630</v>
      </c>
      <c r="M8" s="383"/>
    </row>
    <row r="9" spans="1:13">
      <c r="A9" s="877">
        <v>1</v>
      </c>
      <c r="B9" s="868" t="s">
        <v>653</v>
      </c>
      <c r="C9" s="878"/>
      <c r="D9" s="380"/>
      <c r="E9" s="879"/>
      <c r="F9" s="380">
        <f>SUM(C9:E9)</f>
        <v>0</v>
      </c>
      <c r="G9" s="879"/>
      <c r="H9" s="380">
        <f>SUM(F9:G9)</f>
        <v>0</v>
      </c>
      <c r="I9" s="879"/>
      <c r="J9" s="380">
        <f>SUM(H9:I9)</f>
        <v>0</v>
      </c>
      <c r="K9" s="879"/>
      <c r="L9" s="384">
        <f>SUM(J9:K9)</f>
        <v>0</v>
      </c>
      <c r="M9" s="383"/>
    </row>
    <row r="10" spans="1:13">
      <c r="A10" s="877">
        <v>2</v>
      </c>
      <c r="B10" s="868" t="s">
        <v>668</v>
      </c>
      <c r="C10" s="878"/>
      <c r="D10" s="380"/>
      <c r="E10" s="879"/>
      <c r="F10" s="380">
        <f>SUM(C10:E10)</f>
        <v>0</v>
      </c>
      <c r="G10" s="879"/>
      <c r="H10" s="380">
        <f>SUM(F10:G10)</f>
        <v>0</v>
      </c>
      <c r="I10" s="879"/>
      <c r="J10" s="380">
        <f>SUM(H10:I10)</f>
        <v>0</v>
      </c>
      <c r="K10" s="879"/>
      <c r="L10" s="384">
        <f>SUM(J10:K10)</f>
        <v>0</v>
      </c>
      <c r="M10" s="944"/>
    </row>
    <row r="11" spans="1:13">
      <c r="C11" s="385"/>
      <c r="D11" s="380"/>
      <c r="E11" s="378"/>
      <c r="F11" s="380"/>
      <c r="G11" s="378"/>
      <c r="H11" s="380"/>
      <c r="I11" s="378"/>
      <c r="J11" s="380"/>
      <c r="K11" s="378"/>
      <c r="L11" s="384"/>
      <c r="M11" s="383"/>
    </row>
    <row r="12" spans="1:13" ht="28.8">
      <c r="C12" s="880" t="str">
        <f>C8</f>
        <v xml:space="preserve">Beginning 190 (including adjustments) </v>
      </c>
      <c r="D12" s="380"/>
      <c r="E12" s="381" t="s">
        <v>474</v>
      </c>
      <c r="F12" s="380"/>
      <c r="G12" s="381" t="s">
        <v>475</v>
      </c>
      <c r="H12" s="380"/>
      <c r="I12" s="381" t="s">
        <v>476</v>
      </c>
      <c r="J12" s="380"/>
      <c r="K12" s="381" t="s">
        <v>477</v>
      </c>
      <c r="L12" s="384"/>
      <c r="M12" s="383"/>
    </row>
    <row r="13" spans="1:13">
      <c r="A13" s="877">
        <v>3</v>
      </c>
      <c r="B13" s="868" t="s">
        <v>653</v>
      </c>
      <c r="C13" s="382">
        <f>C9</f>
        <v>0</v>
      </c>
      <c r="D13" s="380"/>
      <c r="E13" s="381">
        <f>(276/365)*E9</f>
        <v>0</v>
      </c>
      <c r="F13" s="380"/>
      <c r="G13" s="381">
        <f>(185/365)*G9</f>
        <v>0</v>
      </c>
      <c r="H13" s="380"/>
      <c r="I13" s="381">
        <f>(93/365)*I9</f>
        <v>0</v>
      </c>
      <c r="J13" s="380"/>
      <c r="K13" s="381">
        <f>(1/365)*K9</f>
        <v>0</v>
      </c>
      <c r="L13" s="384"/>
      <c r="M13" s="945"/>
    </row>
    <row r="14" spans="1:13">
      <c r="A14" s="877">
        <v>4</v>
      </c>
      <c r="B14" s="868" t="s">
        <v>668</v>
      </c>
      <c r="C14" s="382">
        <f>C10</f>
        <v>0</v>
      </c>
      <c r="D14" s="380"/>
      <c r="E14" s="381">
        <f>(276/365)*E10</f>
        <v>0</v>
      </c>
      <c r="F14" s="380"/>
      <c r="G14" s="381">
        <f>(185/365)*G10</f>
        <v>0</v>
      </c>
      <c r="H14" s="380"/>
      <c r="I14" s="381">
        <f>(93/365)*I10</f>
        <v>0</v>
      </c>
      <c r="J14" s="380"/>
      <c r="K14" s="381">
        <f>(1/365)*K10</f>
        <v>0</v>
      </c>
      <c r="L14" s="384"/>
      <c r="M14" s="945"/>
    </row>
    <row r="15" spans="1:13">
      <c r="C15" s="382"/>
      <c r="D15" s="380"/>
      <c r="E15" s="381"/>
      <c r="F15" s="380"/>
      <c r="G15" s="381"/>
      <c r="H15" s="380"/>
      <c r="I15" s="381"/>
      <c r="J15" s="380"/>
      <c r="K15" s="381"/>
      <c r="L15" s="384"/>
      <c r="M15" s="945"/>
    </row>
    <row r="16" spans="1:13" ht="28.8">
      <c r="C16" s="880" t="s">
        <v>707</v>
      </c>
      <c r="D16" s="380"/>
      <c r="E16" s="874" t="s">
        <v>623</v>
      </c>
      <c r="F16" s="875" t="s">
        <v>624</v>
      </c>
      <c r="G16" s="874" t="s">
        <v>625</v>
      </c>
      <c r="H16" s="875" t="s">
        <v>626</v>
      </c>
      <c r="I16" s="874" t="s">
        <v>627</v>
      </c>
      <c r="J16" s="875" t="s">
        <v>628</v>
      </c>
      <c r="K16" s="874" t="s">
        <v>629</v>
      </c>
      <c r="L16" s="876" t="s">
        <v>630</v>
      </c>
      <c r="M16" s="945"/>
    </row>
    <row r="17" spans="1:13">
      <c r="A17" s="877">
        <v>5</v>
      </c>
      <c r="B17" s="868" t="s">
        <v>653</v>
      </c>
      <c r="C17" s="878"/>
      <c r="D17" s="380"/>
      <c r="E17" s="879"/>
      <c r="F17" s="380">
        <f>SUM(C17:E17)</f>
        <v>0</v>
      </c>
      <c r="G17" s="879"/>
      <c r="H17" s="380">
        <f>SUM(F17:G17)</f>
        <v>0</v>
      </c>
      <c r="I17" s="879"/>
      <c r="J17" s="380">
        <f>SUM(H17:I17)</f>
        <v>0</v>
      </c>
      <c r="K17" s="879"/>
      <c r="L17" s="384">
        <f>SUM(J17:K17)</f>
        <v>0</v>
      </c>
      <c r="M17" s="945"/>
    </row>
    <row r="18" spans="1:13">
      <c r="A18" s="877">
        <v>6</v>
      </c>
      <c r="B18" s="868" t="s">
        <v>668</v>
      </c>
      <c r="C18" s="878"/>
      <c r="D18" s="380"/>
      <c r="E18" s="879"/>
      <c r="F18" s="380">
        <f>SUM(C18:E18)</f>
        <v>0</v>
      </c>
      <c r="G18" s="879"/>
      <c r="H18" s="380">
        <f>SUM(F18:G18)</f>
        <v>0</v>
      </c>
      <c r="I18" s="879"/>
      <c r="J18" s="380">
        <f>SUM(H18:I18)</f>
        <v>0</v>
      </c>
      <c r="K18" s="879"/>
      <c r="L18" s="384">
        <f>SUM(J18:K18)</f>
        <v>0</v>
      </c>
      <c r="M18" s="944"/>
    </row>
    <row r="19" spans="1:13">
      <c r="C19" s="385"/>
      <c r="D19" s="380"/>
      <c r="E19" s="380"/>
      <c r="F19" s="380"/>
      <c r="G19" s="380"/>
      <c r="H19" s="380"/>
      <c r="I19" s="380"/>
      <c r="J19" s="380"/>
      <c r="K19" s="380"/>
      <c r="L19" s="384"/>
      <c r="M19" s="945"/>
    </row>
    <row r="20" spans="1:13" ht="28.8">
      <c r="C20" s="880" t="str">
        <f>C16</f>
        <v xml:space="preserve">Beginning 282 (including adjustments) </v>
      </c>
      <c r="D20" s="380"/>
      <c r="E20" s="381" t="s">
        <v>474</v>
      </c>
      <c r="F20" s="380"/>
      <c r="G20" s="381" t="s">
        <v>475</v>
      </c>
      <c r="H20" s="380"/>
      <c r="I20" s="381" t="s">
        <v>476</v>
      </c>
      <c r="J20" s="380"/>
      <c r="K20" s="381" t="s">
        <v>477</v>
      </c>
      <c r="L20" s="384"/>
      <c r="M20" s="945"/>
    </row>
    <row r="21" spans="1:13">
      <c r="A21" s="877">
        <v>7</v>
      </c>
      <c r="B21" s="868" t="s">
        <v>653</v>
      </c>
      <c r="C21" s="382">
        <f>C17</f>
        <v>0</v>
      </c>
      <c r="D21" s="380"/>
      <c r="E21" s="381">
        <f>(276/365)*E17</f>
        <v>0</v>
      </c>
      <c r="F21" s="380"/>
      <c r="G21" s="381">
        <f>(185/365)*G17</f>
        <v>0</v>
      </c>
      <c r="H21" s="380"/>
      <c r="I21" s="381">
        <f>(93/365)*I17</f>
        <v>0</v>
      </c>
      <c r="J21" s="380"/>
      <c r="K21" s="381">
        <f>(1/365)*K17</f>
        <v>0</v>
      </c>
      <c r="L21" s="384"/>
      <c r="M21" s="945"/>
    </row>
    <row r="22" spans="1:13">
      <c r="A22" s="877">
        <v>8</v>
      </c>
      <c r="B22" s="868" t="s">
        <v>668</v>
      </c>
      <c r="C22" s="382">
        <f>C18</f>
        <v>0</v>
      </c>
      <c r="D22" s="380"/>
      <c r="E22" s="381">
        <f>(276/365)*E18</f>
        <v>0</v>
      </c>
      <c r="F22" s="380"/>
      <c r="G22" s="381">
        <f>(185/365)*G18</f>
        <v>0</v>
      </c>
      <c r="H22" s="380"/>
      <c r="I22" s="381">
        <f>(93/365)*I18</f>
        <v>0</v>
      </c>
      <c r="J22" s="380"/>
      <c r="K22" s="381">
        <f>(1/365)*K18</f>
        <v>0</v>
      </c>
      <c r="L22" s="384"/>
      <c r="M22" s="945"/>
    </row>
    <row r="23" spans="1:13">
      <c r="C23" s="382"/>
      <c r="D23" s="380"/>
      <c r="E23" s="381"/>
      <c r="F23" s="380"/>
      <c r="G23" s="381"/>
      <c r="H23" s="380"/>
      <c r="I23" s="381"/>
      <c r="J23" s="380"/>
      <c r="K23" s="381"/>
      <c r="L23" s="384"/>
      <c r="M23" s="945"/>
    </row>
    <row r="24" spans="1:13" ht="28.8">
      <c r="C24" s="880" t="s">
        <v>708</v>
      </c>
      <c r="D24" s="380"/>
      <c r="E24" s="874" t="s">
        <v>623</v>
      </c>
      <c r="F24" s="875" t="s">
        <v>624</v>
      </c>
      <c r="G24" s="874" t="s">
        <v>625</v>
      </c>
      <c r="H24" s="875" t="s">
        <v>626</v>
      </c>
      <c r="I24" s="874" t="s">
        <v>627</v>
      </c>
      <c r="J24" s="875" t="s">
        <v>628</v>
      </c>
      <c r="K24" s="874" t="s">
        <v>629</v>
      </c>
      <c r="L24" s="876" t="s">
        <v>630</v>
      </c>
      <c r="M24" s="945"/>
    </row>
    <row r="25" spans="1:13">
      <c r="A25" s="877">
        <v>9</v>
      </c>
      <c r="B25" s="868" t="s">
        <v>653</v>
      </c>
      <c r="C25" s="878"/>
      <c r="D25" s="380"/>
      <c r="E25" s="879"/>
      <c r="F25" s="380">
        <f>SUM(C25:E25)</f>
        <v>0</v>
      </c>
      <c r="G25" s="879"/>
      <c r="H25" s="380">
        <f>SUM(F25:G25)</f>
        <v>0</v>
      </c>
      <c r="I25" s="879"/>
      <c r="J25" s="380">
        <f>SUM(H25:I25)</f>
        <v>0</v>
      </c>
      <c r="K25" s="879"/>
      <c r="L25" s="384">
        <f>SUM(J25:K25)</f>
        <v>0</v>
      </c>
      <c r="M25" s="945"/>
    </row>
    <row r="26" spans="1:13">
      <c r="A26" s="877">
        <v>10</v>
      </c>
      <c r="B26" s="868" t="s">
        <v>668</v>
      </c>
      <c r="C26" s="878"/>
      <c r="D26" s="380"/>
      <c r="E26" s="879"/>
      <c r="F26" s="380">
        <f>SUM(C26:E26)</f>
        <v>0</v>
      </c>
      <c r="G26" s="893"/>
      <c r="H26" s="380">
        <f>SUM(F26:G26)</f>
        <v>0</v>
      </c>
      <c r="I26" s="879"/>
      <c r="J26" s="380">
        <f>SUM(H26:I26)</f>
        <v>0</v>
      </c>
      <c r="K26" s="879"/>
      <c r="L26" s="384">
        <f>SUM(J26:K26)</f>
        <v>0</v>
      </c>
      <c r="M26" s="944"/>
    </row>
    <row r="27" spans="1:13">
      <c r="C27" s="385"/>
      <c r="D27" s="380"/>
      <c r="E27" s="378"/>
      <c r="F27" s="380"/>
      <c r="G27" s="378"/>
      <c r="H27" s="380"/>
      <c r="I27" s="378"/>
      <c r="J27" s="380"/>
      <c r="K27" s="378"/>
      <c r="L27" s="384"/>
      <c r="M27" s="945"/>
    </row>
    <row r="28" spans="1:13" ht="28.8">
      <c r="B28" s="882"/>
      <c r="C28" s="880" t="s">
        <v>622</v>
      </c>
      <c r="D28" s="380"/>
      <c r="E28" s="381" t="s">
        <v>474</v>
      </c>
      <c r="F28" s="380"/>
      <c r="G28" s="381" t="s">
        <v>475</v>
      </c>
      <c r="H28" s="380"/>
      <c r="I28" s="381" t="s">
        <v>476</v>
      </c>
      <c r="J28" s="380"/>
      <c r="K28" s="381" t="s">
        <v>477</v>
      </c>
      <c r="L28" s="384"/>
      <c r="M28" s="945"/>
    </row>
    <row r="29" spans="1:13">
      <c r="A29" s="877">
        <v>11</v>
      </c>
      <c r="B29" s="868" t="s">
        <v>653</v>
      </c>
      <c r="C29" s="382">
        <f>C25</f>
        <v>0</v>
      </c>
      <c r="D29" s="380"/>
      <c r="E29" s="381">
        <f>(276/365)*E25</f>
        <v>0</v>
      </c>
      <c r="F29" s="380"/>
      <c r="G29" s="381">
        <f>(185/365)*G25</f>
        <v>0</v>
      </c>
      <c r="H29" s="380"/>
      <c r="I29" s="381">
        <f>(93/365)*I25</f>
        <v>0</v>
      </c>
      <c r="J29" s="380"/>
      <c r="K29" s="381">
        <f>(1/365)*K25</f>
        <v>0</v>
      </c>
      <c r="L29" s="384"/>
      <c r="M29" s="945"/>
    </row>
    <row r="30" spans="1:13" ht="15" thickBot="1">
      <c r="A30" s="877">
        <v>12</v>
      </c>
      <c r="B30" s="868" t="s">
        <v>668</v>
      </c>
      <c r="C30" s="549">
        <f>C26</f>
        <v>0</v>
      </c>
      <c r="D30" s="504"/>
      <c r="E30" s="667">
        <f>(276/365)*E26</f>
        <v>0</v>
      </c>
      <c r="F30" s="504"/>
      <c r="G30" s="667">
        <f>(185/365)*G26</f>
        <v>0</v>
      </c>
      <c r="H30" s="504"/>
      <c r="I30" s="667">
        <f>(93/365)*I26</f>
        <v>0</v>
      </c>
      <c r="J30" s="504"/>
      <c r="K30" s="667">
        <f>(1/365)*K26</f>
        <v>0</v>
      </c>
      <c r="L30" s="894"/>
      <c r="M30" s="383"/>
    </row>
    <row r="31" spans="1:13">
      <c r="C31" s="372"/>
      <c r="M31" s="383"/>
    </row>
    <row r="32" spans="1:13">
      <c r="C32" s="372"/>
      <c r="M32" s="383"/>
    </row>
    <row r="33" spans="1:13">
      <c r="C33" s="372"/>
      <c r="M33" s="383"/>
    </row>
    <row r="34" spans="1:13">
      <c r="C34" s="372"/>
      <c r="M34" s="383"/>
    </row>
    <row r="35" spans="1:13" ht="15.6">
      <c r="C35" s="372"/>
      <c r="M35" s="4" t="str">
        <f>'Attachment H-11A '!K1&amp;""&amp;", Attachment 5c"</f>
        <v>Attachment H -11A, Attachment 5c</v>
      </c>
    </row>
    <row r="36" spans="1:13" ht="15.6">
      <c r="C36" s="372"/>
      <c r="M36" s="4" t="s">
        <v>194</v>
      </c>
    </row>
    <row r="37" spans="1:13" ht="15.6">
      <c r="C37" s="372"/>
      <c r="M37" s="6" t="str">
        <f>'Attachment H-11A '!K4</f>
        <v>For the 12 months ended 12/31/2022</v>
      </c>
    </row>
    <row r="38" spans="1:13">
      <c r="C38" s="372"/>
      <c r="M38" s="383"/>
    </row>
    <row r="39" spans="1:13">
      <c r="C39" s="372"/>
      <c r="M39" s="383"/>
    </row>
    <row r="40" spans="1:13" ht="15.6">
      <c r="C40" s="372"/>
      <c r="M40" s="6"/>
    </row>
    <row r="41" spans="1:13" ht="15.6">
      <c r="C41" s="372"/>
      <c r="M41" s="4"/>
    </row>
    <row r="42" spans="1:13" ht="15.6">
      <c r="C42" s="372"/>
      <c r="G42" s="1358" t="str">
        <f>'Attachment 5b - ADIT Norm PTRR'!G33:H33</f>
        <v>2022 PTRR</v>
      </c>
      <c r="H42" s="1355"/>
      <c r="M42" s="6"/>
    </row>
    <row r="43" spans="1:13">
      <c r="C43" s="372"/>
    </row>
    <row r="44" spans="1:13">
      <c r="E44" s="883" t="s">
        <v>107</v>
      </c>
      <c r="F44" s="883" t="s">
        <v>108</v>
      </c>
      <c r="G44" s="883" t="s">
        <v>109</v>
      </c>
      <c r="H44" s="883" t="s">
        <v>110</v>
      </c>
      <c r="I44" s="883" t="s">
        <v>111</v>
      </c>
      <c r="J44" s="883" t="s">
        <v>112</v>
      </c>
      <c r="K44" s="883" t="s">
        <v>113</v>
      </c>
      <c r="L44" s="883"/>
      <c r="M44" s="883"/>
    </row>
    <row r="45" spans="1:13" ht="42.9" customHeight="1">
      <c r="E45" s="883"/>
      <c r="F45" s="884" t="s">
        <v>654</v>
      </c>
      <c r="G45" s="884" t="s">
        <v>655</v>
      </c>
      <c r="H45" s="883" t="s">
        <v>656</v>
      </c>
      <c r="I45" s="883"/>
      <c r="J45" s="883" t="s">
        <v>657</v>
      </c>
      <c r="K45" s="963" t="s">
        <v>733</v>
      </c>
      <c r="L45" s="883"/>
      <c r="M45" s="883"/>
    </row>
    <row r="46" spans="1:13" ht="61.5" customHeight="1">
      <c r="A46" s="869" t="s">
        <v>5</v>
      </c>
      <c r="B46" s="869"/>
      <c r="C46" s="885" t="s">
        <v>658</v>
      </c>
      <c r="E46" s="1297" t="s">
        <v>1196</v>
      </c>
      <c r="F46" s="886" t="s">
        <v>659</v>
      </c>
      <c r="G46" s="887" t="s">
        <v>660</v>
      </c>
      <c r="H46" s="887" t="s">
        <v>661</v>
      </c>
      <c r="I46" s="887" t="s">
        <v>662</v>
      </c>
      <c r="J46" s="887" t="s">
        <v>800</v>
      </c>
      <c r="K46" s="887" t="s">
        <v>799</v>
      </c>
    </row>
    <row r="48" spans="1:13">
      <c r="A48" s="877">
        <v>1</v>
      </c>
      <c r="B48" s="877" t="s">
        <v>653</v>
      </c>
      <c r="C48" s="888" t="s">
        <v>663</v>
      </c>
      <c r="E48" s="889"/>
      <c r="F48" s="377">
        <f>E9+G9+I9+K9</f>
        <v>0</v>
      </c>
      <c r="G48" s="377">
        <f>C13+E13+G13+I13+K13</f>
        <v>0</v>
      </c>
      <c r="H48" s="890">
        <f>E48-G48</f>
        <v>0</v>
      </c>
      <c r="I48" s="889"/>
      <c r="J48" s="891">
        <f>H48-I48</f>
        <v>0</v>
      </c>
      <c r="K48" s="891">
        <f>E48-I48-J48</f>
        <v>0</v>
      </c>
    </row>
    <row r="49" spans="1:13">
      <c r="H49" s="890"/>
      <c r="I49" s="892"/>
      <c r="J49" s="890"/>
      <c r="K49" s="890"/>
    </row>
    <row r="50" spans="1:13">
      <c r="A50" s="877">
        <v>2</v>
      </c>
      <c r="B50" s="877" t="s">
        <v>653</v>
      </c>
      <c r="C50" s="888" t="s">
        <v>664</v>
      </c>
      <c r="E50" s="889"/>
      <c r="F50" s="377">
        <f>E17+G17+I17+K17</f>
        <v>0</v>
      </c>
      <c r="G50" s="377">
        <f>C21+E21+G21+I21+K21</f>
        <v>0</v>
      </c>
      <c r="H50" s="890">
        <f>E50-G50</f>
        <v>0</v>
      </c>
      <c r="I50" s="889"/>
      <c r="J50" s="891">
        <f>H50-I50</f>
        <v>0</v>
      </c>
      <c r="K50" s="891">
        <f>-E50+I50+J50</f>
        <v>0</v>
      </c>
    </row>
    <row r="51" spans="1:13">
      <c r="A51" s="877"/>
      <c r="B51" s="877"/>
      <c r="H51" s="890"/>
      <c r="I51" s="892"/>
      <c r="J51" s="890"/>
      <c r="K51" s="890"/>
    </row>
    <row r="52" spans="1:13">
      <c r="A52" s="877">
        <v>3</v>
      </c>
      <c r="B52" s="877" t="s">
        <v>653</v>
      </c>
      <c r="C52" s="888" t="s">
        <v>665</v>
      </c>
      <c r="E52" s="889"/>
      <c r="F52" s="377">
        <f>E25+G25+I25+K25</f>
        <v>0</v>
      </c>
      <c r="G52" s="377">
        <f>C29+E29+G29+I29+K29</f>
        <v>0</v>
      </c>
      <c r="H52" s="890">
        <f>E52-G52</f>
        <v>0</v>
      </c>
      <c r="I52" s="889"/>
      <c r="J52" s="891">
        <f>H52-I52</f>
        <v>0</v>
      </c>
      <c r="K52" s="891">
        <f>-E52+I52+J52</f>
        <v>0</v>
      </c>
    </row>
    <row r="53" spans="1:13">
      <c r="A53" s="877"/>
      <c r="B53" s="877"/>
      <c r="H53" s="890"/>
      <c r="I53" s="892"/>
      <c r="J53" s="890"/>
      <c r="K53" s="890"/>
    </row>
    <row r="54" spans="1:13">
      <c r="A54" s="877">
        <v>4</v>
      </c>
      <c r="B54" s="877" t="s">
        <v>653</v>
      </c>
      <c r="C54" s="888" t="s">
        <v>666</v>
      </c>
      <c r="E54" s="890">
        <f>E48-E50-E52</f>
        <v>0</v>
      </c>
      <c r="F54" s="890">
        <f>F48-F50-F52</f>
        <v>0</v>
      </c>
      <c r="G54" s="890">
        <f>G48-G50-G52</f>
        <v>0</v>
      </c>
      <c r="H54" s="890">
        <f>H48-H50-H52</f>
        <v>0</v>
      </c>
      <c r="I54" s="890">
        <f>I48+I50+I52</f>
        <v>0</v>
      </c>
      <c r="J54" s="890">
        <f>J48+J50+J52</f>
        <v>0</v>
      </c>
      <c r="K54" s="890">
        <f>K48+K50+K52</f>
        <v>0</v>
      </c>
    </row>
    <row r="55" spans="1:13">
      <c r="A55" s="877"/>
      <c r="B55" s="877"/>
    </row>
    <row r="56" spans="1:13">
      <c r="A56" s="877"/>
      <c r="B56" s="877"/>
    </row>
    <row r="57" spans="1:13">
      <c r="A57" s="877"/>
      <c r="B57" s="877"/>
    </row>
    <row r="58" spans="1:13">
      <c r="A58" s="877"/>
      <c r="B58" s="877"/>
      <c r="K58" s="890"/>
      <c r="M58" s="508"/>
    </row>
    <row r="59" spans="1:13">
      <c r="A59" s="877"/>
      <c r="B59" s="877"/>
      <c r="C59" s="372"/>
      <c r="G59" s="1358" t="str">
        <f>MID(M3:M3,31,10)&amp;" "&amp;"ATRR"</f>
        <v>2022 ATRR</v>
      </c>
      <c r="H59" s="1355"/>
    </row>
    <row r="60" spans="1:13">
      <c r="A60" s="877"/>
      <c r="B60" s="877"/>
      <c r="C60" s="372"/>
    </row>
    <row r="61" spans="1:13">
      <c r="A61" s="877"/>
      <c r="B61" s="877"/>
      <c r="E61" s="883" t="s">
        <v>115</v>
      </c>
      <c r="F61" s="883" t="s">
        <v>116</v>
      </c>
      <c r="G61" s="883" t="s">
        <v>117</v>
      </c>
      <c r="H61" s="883" t="s">
        <v>118</v>
      </c>
      <c r="I61" s="883" t="s">
        <v>122</v>
      </c>
      <c r="J61" s="883" t="s">
        <v>123</v>
      </c>
      <c r="K61" s="883" t="s">
        <v>124</v>
      </c>
      <c r="L61" s="883" t="s">
        <v>125</v>
      </c>
      <c r="M61" s="883" t="s">
        <v>127</v>
      </c>
    </row>
    <row r="62" spans="1:13" ht="45" customHeight="1">
      <c r="A62" s="877"/>
      <c r="B62" s="877"/>
      <c r="E62" s="883"/>
      <c r="F62" s="884" t="s">
        <v>654</v>
      </c>
      <c r="G62" s="884" t="s">
        <v>669</v>
      </c>
      <c r="H62" s="883" t="s">
        <v>670</v>
      </c>
      <c r="I62" s="884" t="s">
        <v>671</v>
      </c>
      <c r="J62" s="883"/>
      <c r="K62" s="883" t="s">
        <v>672</v>
      </c>
      <c r="L62" s="883" t="s">
        <v>673</v>
      </c>
      <c r="M62" s="963" t="s">
        <v>734</v>
      </c>
    </row>
    <row r="63" spans="1:13" ht="59.4" customHeight="1">
      <c r="A63" s="877"/>
      <c r="B63" s="877"/>
      <c r="C63" s="885" t="s">
        <v>658</v>
      </c>
      <c r="E63" s="1297" t="s">
        <v>1197</v>
      </c>
      <c r="F63" s="887" t="s">
        <v>674</v>
      </c>
      <c r="G63" s="887" t="s">
        <v>660</v>
      </c>
      <c r="H63" s="887" t="s">
        <v>675</v>
      </c>
      <c r="I63" s="887" t="s">
        <v>676</v>
      </c>
      <c r="J63" s="887" t="s">
        <v>662</v>
      </c>
      <c r="K63" s="887" t="s">
        <v>677</v>
      </c>
      <c r="L63" s="887" t="s">
        <v>800</v>
      </c>
      <c r="M63" s="887" t="s">
        <v>799</v>
      </c>
    </row>
    <row r="64" spans="1:13">
      <c r="A64" s="877"/>
      <c r="B64" s="877"/>
      <c r="M64" s="371"/>
    </row>
    <row r="65" spans="1:13">
      <c r="A65" s="877">
        <v>5</v>
      </c>
      <c r="B65" s="877" t="s">
        <v>668</v>
      </c>
      <c r="C65" s="888" t="s">
        <v>663</v>
      </c>
      <c r="E65" s="889"/>
      <c r="F65" s="377">
        <f>E10+G10+I10+K10</f>
        <v>0</v>
      </c>
      <c r="G65" s="377">
        <f>C14+E14+G14+I14+K14</f>
        <v>0</v>
      </c>
      <c r="H65" s="890">
        <f>E65-G65</f>
        <v>0</v>
      </c>
      <c r="I65" s="895">
        <f>H48-H65</f>
        <v>0</v>
      </c>
      <c r="J65" s="889"/>
      <c r="K65" s="890">
        <f>I48-J65</f>
        <v>0</v>
      </c>
      <c r="L65" s="891">
        <f>H65+I65-J65-K65</f>
        <v>0</v>
      </c>
      <c r="M65" s="891">
        <f>E65-J65-L65</f>
        <v>0</v>
      </c>
    </row>
    <row r="66" spans="1:13">
      <c r="A66" s="877"/>
      <c r="B66" s="877"/>
      <c r="H66" s="890"/>
      <c r="I66" s="892"/>
      <c r="J66" s="892"/>
      <c r="L66" s="890"/>
      <c r="M66" s="891"/>
    </row>
    <row r="67" spans="1:13">
      <c r="A67" s="877">
        <v>6</v>
      </c>
      <c r="B67" s="877" t="s">
        <v>668</v>
      </c>
      <c r="C67" s="888" t="s">
        <v>664</v>
      </c>
      <c r="E67" s="889"/>
      <c r="F67" s="377">
        <f>E18+G18+I18+K18</f>
        <v>0</v>
      </c>
      <c r="G67" s="377">
        <f>C22+E22+G22+I22+K22</f>
        <v>0</v>
      </c>
      <c r="H67" s="890">
        <f>E67-G67</f>
        <v>0</v>
      </c>
      <c r="I67" s="895">
        <f>H50-H67</f>
        <v>0</v>
      </c>
      <c r="J67" s="889"/>
      <c r="K67" s="890">
        <f>I50-J67</f>
        <v>0</v>
      </c>
      <c r="L67" s="891">
        <f>H67+I67-J67-K67</f>
        <v>0</v>
      </c>
      <c r="M67" s="891">
        <f>-E67+J67+L67</f>
        <v>0</v>
      </c>
    </row>
    <row r="68" spans="1:13">
      <c r="A68" s="877"/>
      <c r="B68" s="877"/>
      <c r="H68" s="890"/>
      <c r="I68" s="892"/>
      <c r="J68" s="892"/>
      <c r="L68" s="890"/>
      <c r="M68" s="891"/>
    </row>
    <row r="69" spans="1:13">
      <c r="A69" s="877">
        <v>7</v>
      </c>
      <c r="B69" s="877" t="s">
        <v>668</v>
      </c>
      <c r="C69" s="888" t="s">
        <v>665</v>
      </c>
      <c r="E69" s="889"/>
      <c r="F69" s="377">
        <f>E26+G26+I26+K26</f>
        <v>0</v>
      </c>
      <c r="G69" s="377">
        <f>C30+E30+G30+I30+K30</f>
        <v>0</v>
      </c>
      <c r="H69" s="890">
        <f>E69-G69</f>
        <v>0</v>
      </c>
      <c r="I69" s="895">
        <f>H52-H69</f>
        <v>0</v>
      </c>
      <c r="J69" s="889"/>
      <c r="K69" s="890">
        <f>I52-J69</f>
        <v>0</v>
      </c>
      <c r="L69" s="891">
        <f>H69+I69-J69-K69</f>
        <v>0</v>
      </c>
      <c r="M69" s="891">
        <f>-E69+J69+L69</f>
        <v>0</v>
      </c>
    </row>
    <row r="70" spans="1:13">
      <c r="A70" s="877"/>
      <c r="B70" s="877"/>
      <c r="H70" s="890"/>
      <c r="I70" s="892"/>
      <c r="J70" s="892"/>
      <c r="L70" s="890"/>
      <c r="M70" s="890"/>
    </row>
    <row r="71" spans="1:13">
      <c r="A71" s="877">
        <v>8</v>
      </c>
      <c r="B71" s="877" t="s">
        <v>668</v>
      </c>
      <c r="C71" s="888" t="s">
        <v>666</v>
      </c>
      <c r="E71" s="890">
        <f>E65-E67-E69</f>
        <v>0</v>
      </c>
      <c r="F71" s="890">
        <f>F65-F67-F69</f>
        <v>0</v>
      </c>
      <c r="G71" s="890">
        <f>G65-G67-G69</f>
        <v>0</v>
      </c>
      <c r="H71" s="890">
        <f>H65-H67-H69</f>
        <v>0</v>
      </c>
      <c r="I71" s="890">
        <f>I65+I67+I69</f>
        <v>0</v>
      </c>
      <c r="J71" s="890">
        <f>J65+J67+J69</f>
        <v>0</v>
      </c>
      <c r="K71" s="890">
        <f>K65+K67+K69</f>
        <v>0</v>
      </c>
      <c r="L71" s="890">
        <f>L65+L67+L69</f>
        <v>0</v>
      </c>
      <c r="M71" s="890">
        <f>M65+M67+M69</f>
        <v>0</v>
      </c>
    </row>
    <row r="72" spans="1:13">
      <c r="A72" s="877"/>
      <c r="B72" s="877"/>
    </row>
    <row r="73" spans="1:13">
      <c r="A73" s="877"/>
      <c r="B73" s="877"/>
    </row>
    <row r="74" spans="1:13">
      <c r="A74" s="877"/>
      <c r="B74" s="877"/>
    </row>
    <row r="75" spans="1:13">
      <c r="A75" s="877"/>
      <c r="B75" s="373" t="s">
        <v>667</v>
      </c>
      <c r="C75" s="372"/>
      <c r="E75" s="372"/>
      <c r="F75" s="372"/>
      <c r="G75" s="372"/>
    </row>
    <row r="76" spans="1:13" ht="14.4" customHeight="1">
      <c r="A76" s="877"/>
      <c r="B76" s="1356" t="s">
        <v>678</v>
      </c>
      <c r="C76" s="1356"/>
      <c r="D76" s="1356"/>
      <c r="E76" s="1356"/>
      <c r="F76" s="1356"/>
      <c r="G76" s="1356"/>
      <c r="K76" s="896"/>
    </row>
    <row r="77" spans="1:13" s="371" customFormat="1">
      <c r="A77" s="379"/>
      <c r="B77" s="1356"/>
      <c r="C77" s="1356"/>
      <c r="D77" s="1356"/>
      <c r="E77" s="1356"/>
      <c r="F77" s="1356"/>
      <c r="G77" s="1356"/>
      <c r="M77" s="379"/>
    </row>
    <row r="78" spans="1:13" s="371" customFormat="1">
      <c r="A78" s="379"/>
      <c r="B78" s="383"/>
      <c r="C78" s="372"/>
      <c r="D78" s="372"/>
      <c r="E78" s="372"/>
      <c r="F78" s="372"/>
      <c r="G78" s="372"/>
      <c r="M78" s="379"/>
    </row>
    <row r="79" spans="1:13" s="371" customFormat="1">
      <c r="A79" s="379"/>
      <c r="B79" s="383"/>
      <c r="C79" s="372"/>
      <c r="D79" s="372"/>
      <c r="E79" s="372"/>
      <c r="F79" s="372"/>
      <c r="G79" s="372"/>
      <c r="M79" s="379"/>
    </row>
  </sheetData>
  <customSheetViews>
    <customSheetView guid="{B991F324-919F-4749-8E3C-A09B2FA7BB10}" scale="60" showPageBreaks="1" view="pageBreakPreview">
      <selection activeCell="K9" sqref="K9"/>
      <rowBreaks count="1" manualBreakCount="1">
        <brk id="34" max="16383" man="1"/>
      </rowBreaks>
      <pageMargins left="0.7" right="0.7" top="0.75" bottom="0.75" header="0.3" footer="0.3"/>
      <pageSetup scale="39" orientation="portrait" horizontalDpi="1200" verticalDpi="1200" r:id="rId1"/>
    </customSheetView>
    <customSheetView guid="{901B528B-D65D-48CA-A638-FD9B4E5BB6D4}" scale="60" showPageBreaks="1" view="pageBreakPreview">
      <selection activeCell="K9" sqref="K9"/>
      <rowBreaks count="1" manualBreakCount="1">
        <brk id="34" max="16383" man="1"/>
      </rowBreaks>
      <pageMargins left="0.7" right="0.7" top="0.75" bottom="0.75" header="0.3" footer="0.3"/>
      <pageSetup scale="39" orientation="portrait" horizontalDpi="1200" verticalDpi="1200" r:id="rId2"/>
    </customSheetView>
    <customSheetView guid="{0DE222E8-ADD6-4F4B-9601-960D8109381F}" scale="60" showPageBreaks="1" view="pageBreakPreview">
      <rowBreaks count="1" manualBreakCount="1">
        <brk id="34" max="16383" man="1"/>
      </rowBreaks>
      <pageMargins left="0.7" right="0.7" top="0.75" bottom="0.75" header="0.3" footer="0.3"/>
      <pageSetup scale="39" orientation="portrait" horizontalDpi="1200" verticalDpi="1200" r:id="rId3"/>
    </customSheetView>
  </customSheetViews>
  <mergeCells count="5">
    <mergeCell ref="E6:L6"/>
    <mergeCell ref="G42:H42"/>
    <mergeCell ref="G59:H59"/>
    <mergeCell ref="B76:G76"/>
    <mergeCell ref="B77:G77"/>
  </mergeCells>
  <pageMargins left="0.7" right="0.7" top="0.75" bottom="0.75" header="0.3" footer="0.3"/>
  <pageSetup scale="39" orientation="portrait" r:id="rId4"/>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J27"/>
  <sheetViews>
    <sheetView view="pageBreakPreview" zoomScale="90" zoomScaleNormal="100" zoomScaleSheetLayoutView="90" workbookViewId="0"/>
  </sheetViews>
  <sheetFormatPr defaultRowHeight="15"/>
  <cols>
    <col min="1" max="1" width="3" customWidth="1"/>
    <col min="2" max="2" width="1.81640625" customWidth="1"/>
    <col min="3" max="3" width="47.81640625" customWidth="1"/>
    <col min="5" max="7" width="14" customWidth="1"/>
    <col min="8" max="8" width="5.08984375" customWidth="1"/>
  </cols>
  <sheetData>
    <row r="1" spans="1:10" ht="15.6">
      <c r="H1" s="4" t="str">
        <f>'Attachment H-11A '!K1&amp;""&amp;", Attachment 6"</f>
        <v>Attachment H -11A, Attachment 6</v>
      </c>
    </row>
    <row r="2" spans="1:10" ht="15.6">
      <c r="C2" s="370"/>
      <c r="H2" s="4" t="s">
        <v>188</v>
      </c>
    </row>
    <row r="3" spans="1:10" ht="15.6">
      <c r="A3" s="52"/>
      <c r="B3" s="128"/>
      <c r="C3" s="370"/>
      <c r="F3" s="128"/>
      <c r="G3" s="128"/>
      <c r="H3" s="6" t="str">
        <f>'Attachment H-11A '!K4</f>
        <v>For the 12 months ended 12/31/2022</v>
      </c>
    </row>
    <row r="4" spans="1:10" ht="15.6">
      <c r="A4" s="52"/>
      <c r="B4" s="128"/>
      <c r="C4" s="370"/>
      <c r="D4" s="128"/>
      <c r="E4" s="128"/>
      <c r="F4" s="128"/>
      <c r="G4" s="128"/>
    </row>
    <row r="5" spans="1:10">
      <c r="A5" s="265">
        <v>1</v>
      </c>
      <c r="B5" s="262"/>
      <c r="C5" s="263" t="s">
        <v>335</v>
      </c>
      <c r="D5" s="264"/>
      <c r="E5" s="265"/>
      <c r="F5" s="265"/>
      <c r="G5" s="265"/>
    </row>
    <row r="6" spans="1:10">
      <c r="A6" s="265"/>
      <c r="B6" s="262"/>
      <c r="C6" s="263"/>
      <c r="D6" s="264"/>
      <c r="E6" s="265"/>
      <c r="F6" s="265"/>
      <c r="G6" s="265"/>
    </row>
    <row r="7" spans="1:10">
      <c r="A7" s="265">
        <f>+A5+1</f>
        <v>2</v>
      </c>
      <c r="B7" s="266"/>
      <c r="C7" s="1299"/>
      <c r="D7" s="267"/>
      <c r="E7" s="865" t="s">
        <v>8</v>
      </c>
      <c r="F7" s="864" t="s">
        <v>323</v>
      </c>
      <c r="G7" s="863"/>
      <c r="H7" s="863"/>
    </row>
    <row r="8" spans="1:10">
      <c r="A8" s="265">
        <f>+A7+1</f>
        <v>3</v>
      </c>
      <c r="B8" s="262"/>
      <c r="C8" s="272" t="s">
        <v>717</v>
      </c>
      <c r="D8" s="272"/>
      <c r="E8" s="392">
        <f>'Attach 9 - Stated-value Inputs'!C17</f>
        <v>-15646300</v>
      </c>
      <c r="F8" s="946" t="s">
        <v>934</v>
      </c>
      <c r="G8" s="947"/>
      <c r="H8" s="947"/>
    </row>
    <row r="9" spans="1:10">
      <c r="A9" s="265">
        <f>+A8+1</f>
        <v>4</v>
      </c>
      <c r="B9" s="266"/>
      <c r="C9" s="272" t="s">
        <v>612</v>
      </c>
      <c r="D9" s="272"/>
      <c r="E9" s="392">
        <f>'Attach 9 - Stated-value Inputs'!C18</f>
        <v>2161999525</v>
      </c>
      <c r="F9" s="946" t="s">
        <v>935</v>
      </c>
      <c r="G9" s="947"/>
      <c r="H9" s="947"/>
    </row>
    <row r="10" spans="1:10">
      <c r="A10" s="265">
        <f t="shared" ref="A10:A12" si="0">+A9+1</f>
        <v>5</v>
      </c>
      <c r="B10" s="265"/>
      <c r="C10" s="272" t="s">
        <v>595</v>
      </c>
      <c r="D10" s="268"/>
      <c r="E10" s="274">
        <f>'Attach 9 - Stated-value Inputs'!C19</f>
        <v>-7.2369581117276149E-3</v>
      </c>
      <c r="F10" s="862"/>
      <c r="G10" s="863"/>
      <c r="H10" s="863"/>
    </row>
    <row r="11" spans="1:10">
      <c r="A11" s="265">
        <f t="shared" si="0"/>
        <v>6</v>
      </c>
      <c r="B11" s="265"/>
      <c r="C11" s="272" t="s">
        <v>716</v>
      </c>
      <c r="D11" s="268"/>
      <c r="E11" s="393">
        <v>4157723</v>
      </c>
      <c r="F11" s="1204" t="s">
        <v>1202</v>
      </c>
      <c r="G11" s="1205"/>
      <c r="H11" s="1205"/>
      <c r="I11" s="1205"/>
    </row>
    <row r="12" spans="1:10">
      <c r="A12" s="265">
        <f t="shared" si="0"/>
        <v>7</v>
      </c>
      <c r="B12" s="265"/>
      <c r="C12" s="272" t="s">
        <v>596</v>
      </c>
      <c r="D12" s="269"/>
      <c r="E12" s="270">
        <f>E10*E11</f>
        <v>-30089.267191166473</v>
      </c>
      <c r="F12" s="863"/>
      <c r="G12" s="863"/>
      <c r="H12" s="863"/>
    </row>
    <row r="13" spans="1:10">
      <c r="H13" s="863"/>
    </row>
    <row r="14" spans="1:10">
      <c r="A14" s="265">
        <f>+A12+1</f>
        <v>8</v>
      </c>
      <c r="B14" s="265"/>
      <c r="C14" s="946" t="s">
        <v>718</v>
      </c>
      <c r="D14" s="268"/>
      <c r="E14" s="393">
        <v>-1318174</v>
      </c>
      <c r="F14" s="1204" t="s">
        <v>1203</v>
      </c>
      <c r="G14" s="1206"/>
      <c r="H14" s="1205"/>
      <c r="I14" s="1205"/>
      <c r="J14" s="1205"/>
    </row>
    <row r="15" spans="1:10">
      <c r="A15" s="265">
        <f>+A14+1</f>
        <v>9</v>
      </c>
      <c r="B15" s="265"/>
      <c r="C15" s="948" t="s">
        <v>719</v>
      </c>
      <c r="D15" s="268"/>
      <c r="E15" s="949">
        <f>'Attachment H-11A '!I218</f>
        <v>4.071049245958664E-2</v>
      </c>
    </row>
    <row r="16" spans="1:10">
      <c r="A16" s="265">
        <v>10</v>
      </c>
      <c r="B16" s="265"/>
      <c r="C16" s="268" t="s">
        <v>720</v>
      </c>
      <c r="D16" s="268"/>
      <c r="E16" s="273">
        <f>E14*E15</f>
        <v>-53663.512687423157</v>
      </c>
    </row>
    <row r="17" spans="1:9">
      <c r="D17" s="268"/>
      <c r="E17" s="273"/>
    </row>
    <row r="18" spans="1:9">
      <c r="A18" s="265">
        <v>11</v>
      </c>
      <c r="B18" s="265"/>
      <c r="C18" s="272" t="s">
        <v>1109</v>
      </c>
      <c r="D18" s="268"/>
      <c r="E18" s="273">
        <f>E12-E16</f>
        <v>23574.245496256684</v>
      </c>
    </row>
    <row r="19" spans="1:9">
      <c r="A19" s="265"/>
      <c r="B19" s="265"/>
      <c r="D19" s="268"/>
      <c r="E19" s="273"/>
    </row>
    <row r="20" spans="1:9">
      <c r="A20" s="265"/>
      <c r="B20" s="265"/>
      <c r="C20" s="268"/>
      <c r="D20" s="268"/>
      <c r="E20" s="273"/>
    </row>
    <row r="21" spans="1:9">
      <c r="A21" s="265"/>
      <c r="B21" s="265"/>
      <c r="C21" s="268"/>
      <c r="D21" s="268"/>
      <c r="E21" s="275"/>
      <c r="F21" s="275"/>
      <c r="G21" s="275"/>
    </row>
    <row r="22" spans="1:9">
      <c r="A22" s="265"/>
      <c r="B22" s="265"/>
      <c r="C22" s="272"/>
      <c r="D22" s="272"/>
      <c r="E22" s="273"/>
      <c r="F22" s="273"/>
      <c r="G22" s="273"/>
    </row>
    <row r="23" spans="1:9">
      <c r="A23" s="265">
        <v>12</v>
      </c>
      <c r="B23" s="265"/>
      <c r="C23" s="946" t="s">
        <v>642</v>
      </c>
      <c r="D23" s="946"/>
      <c r="E23" s="946"/>
      <c r="F23" s="947"/>
      <c r="G23" s="863"/>
      <c r="H23" s="863"/>
      <c r="I23" s="863"/>
    </row>
    <row r="27" spans="1:9">
      <c r="C27" s="370"/>
      <c r="D27" s="370"/>
      <c r="E27" s="370"/>
      <c r="F27" s="370"/>
      <c r="G27" s="370"/>
    </row>
  </sheetData>
  <customSheetViews>
    <customSheetView guid="{B991F324-919F-4749-8E3C-A09B2FA7BB10}" scale="90" showPageBreaks="1" view="pageBreakPreview">
      <selection activeCell="E15" sqref="E15"/>
      <pageMargins left="0.7" right="0.7" top="0.75" bottom="0.75" header="0.3" footer="0.3"/>
      <pageSetup scale="65" orientation="landscape" r:id="rId1"/>
    </customSheetView>
    <customSheetView guid="{901B528B-D65D-48CA-A638-FD9B4E5BB6D4}" scale="90" showPageBreaks="1" view="pageBreakPreview">
      <selection activeCell="E15" sqref="E15"/>
      <pageMargins left="0.7" right="0.7" top="0.75" bottom="0.75" header="0.3" footer="0.3"/>
      <pageSetup scale="65" orientation="landscape" r:id="rId2"/>
    </customSheetView>
    <customSheetView guid="{0DE222E8-ADD6-4F4B-9601-960D8109381F}" scale="90" showPageBreaks="1" view="pageBreakPreview">
      <pageMargins left="0.7" right="0.7" top="0.75" bottom="0.75" header="0.3" footer="0.3"/>
      <pageSetup scale="65" orientation="landscape" r:id="rId3"/>
    </customSheetView>
  </customSheetViews>
  <pageMargins left="0.7" right="0.7" top="0.75" bottom="0.75" header="0.3" footer="0.3"/>
  <pageSetup scale="65"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I49"/>
  <sheetViews>
    <sheetView view="pageBreakPreview" zoomScale="90" zoomScaleNormal="90" zoomScaleSheetLayoutView="90" workbookViewId="0">
      <selection activeCell="B35" sqref="B35"/>
    </sheetView>
  </sheetViews>
  <sheetFormatPr defaultColWidth="8.90625" defaultRowHeight="20.100000000000001" customHeight="1"/>
  <cols>
    <col min="1" max="1" width="3.90625" style="49" customWidth="1"/>
    <col min="2" max="2" width="71.453125" style="1174" customWidth="1"/>
    <col min="3" max="3" width="10.81640625" style="48" customWidth="1"/>
    <col min="4" max="4" width="12.81640625" style="60" customWidth="1"/>
    <col min="5" max="7" width="12.81640625" style="49" customWidth="1"/>
    <col min="8" max="16384" width="8.90625" style="43"/>
  </cols>
  <sheetData>
    <row r="1" spans="1:9" ht="20.100000000000001" customHeight="1">
      <c r="A1" s="497"/>
      <c r="D1" s="4" t="str">
        <f>'Attachment H-11A '!K1&amp;""&amp;", Attachment 7"</f>
        <v>Attachment H -11A, Attachment 7</v>
      </c>
      <c r="E1" s="497"/>
      <c r="F1" s="497"/>
      <c r="G1" s="497"/>
    </row>
    <row r="2" spans="1:9" ht="20.100000000000001" customHeight="1">
      <c r="A2" s="497"/>
      <c r="B2" s="970"/>
      <c r="D2" s="4" t="s">
        <v>188</v>
      </c>
      <c r="E2" s="497"/>
      <c r="F2" s="497"/>
      <c r="G2" s="497"/>
    </row>
    <row r="3" spans="1:9" ht="20.100000000000001" customHeight="1">
      <c r="A3" s="497"/>
      <c r="D3" s="6" t="str">
        <f>'Attachment H-11A '!K4</f>
        <v>For the 12 months ended 12/31/2022</v>
      </c>
      <c r="E3" s="497"/>
      <c r="F3" s="497"/>
      <c r="G3" s="497"/>
    </row>
    <row r="4" spans="1:9" ht="20.100000000000001" customHeight="1">
      <c r="A4" s="52"/>
      <c r="B4" s="1225" t="s">
        <v>558</v>
      </c>
    </row>
    <row r="5" spans="1:9" ht="20.100000000000001" customHeight="1">
      <c r="C5" s="133"/>
    </row>
    <row r="6" spans="1:9" ht="20.100000000000001" customHeight="1">
      <c r="B6" s="1226"/>
      <c r="C6" s="50" t="s">
        <v>225</v>
      </c>
      <c r="D6" s="1207" t="str">
        <f>MID(D3:D3,25,10)</f>
        <v>12/31/2022</v>
      </c>
      <c r="E6" s="58"/>
      <c r="F6" s="51"/>
      <c r="G6" s="51"/>
      <c r="I6" s="51"/>
    </row>
    <row r="7" spans="1:9" ht="20.100000000000001" customHeight="1">
      <c r="A7" s="63">
        <v>1</v>
      </c>
      <c r="B7" s="1227" t="s">
        <v>242</v>
      </c>
      <c r="C7" s="60"/>
      <c r="D7" s="59"/>
      <c r="F7" s="51"/>
      <c r="G7" s="51"/>
    </row>
    <row r="8" spans="1:9" ht="20.100000000000001" customHeight="1">
      <c r="A8" s="1173" t="s">
        <v>519</v>
      </c>
      <c r="B8" s="1228" t="s">
        <v>1207</v>
      </c>
      <c r="C8" s="60" t="s">
        <v>58</v>
      </c>
      <c r="D8" s="119">
        <v>5278017.2299999986</v>
      </c>
      <c r="F8" s="51"/>
      <c r="G8" s="51"/>
    </row>
    <row r="9" spans="1:9" ht="20.100000000000001" customHeight="1">
      <c r="A9" s="1173" t="s">
        <v>520</v>
      </c>
      <c r="B9" s="1228" t="s">
        <v>1208</v>
      </c>
      <c r="C9" s="60" t="s">
        <v>58</v>
      </c>
      <c r="D9" s="119">
        <v>50193</v>
      </c>
      <c r="F9" s="50"/>
      <c r="G9" s="50"/>
    </row>
    <row r="10" spans="1:9" ht="20.100000000000001" customHeight="1">
      <c r="A10" s="1173" t="s">
        <v>521</v>
      </c>
      <c r="B10" s="1228" t="s">
        <v>1209</v>
      </c>
      <c r="C10" s="60" t="s">
        <v>58</v>
      </c>
      <c r="D10" s="119">
        <v>0</v>
      </c>
      <c r="E10" s="501"/>
      <c r="F10" s="50"/>
      <c r="G10" s="50"/>
    </row>
    <row r="11" spans="1:9" ht="20.100000000000001" customHeight="1" thickBot="1">
      <c r="A11" s="1173" t="s">
        <v>572</v>
      </c>
      <c r="B11" s="1228"/>
      <c r="C11" s="60" t="s">
        <v>58</v>
      </c>
      <c r="D11" s="125"/>
      <c r="F11" s="58"/>
      <c r="G11" s="58"/>
      <c r="I11" s="44"/>
    </row>
    <row r="12" spans="1:9" ht="20.100000000000001" customHeight="1">
      <c r="A12" s="63" t="s">
        <v>528</v>
      </c>
      <c r="B12" s="1229" t="s">
        <v>244</v>
      </c>
      <c r="C12" s="60"/>
      <c r="D12" s="126">
        <f>SUM(D8:D11)</f>
        <v>5328210.2299999986</v>
      </c>
      <c r="F12" s="58"/>
      <c r="G12" s="58"/>
      <c r="I12" s="44"/>
    </row>
    <row r="13" spans="1:9" ht="20.100000000000001" customHeight="1">
      <c r="A13" s="63"/>
      <c r="B13" s="1227"/>
      <c r="C13" s="60"/>
      <c r="D13" s="126"/>
    </row>
    <row r="14" spans="1:9" ht="20.100000000000001" customHeight="1">
      <c r="A14" s="63" t="s">
        <v>522</v>
      </c>
      <c r="B14" s="1227" t="s">
        <v>241</v>
      </c>
      <c r="C14" s="60"/>
      <c r="D14" s="126"/>
      <c r="F14" s="55"/>
      <c r="G14" s="55"/>
      <c r="H14" s="55"/>
      <c r="I14" s="55"/>
    </row>
    <row r="15" spans="1:9" ht="20.100000000000001" customHeight="1" thickBot="1">
      <c r="A15" s="1173" t="s">
        <v>482</v>
      </c>
      <c r="B15" s="1228" t="s">
        <v>1210</v>
      </c>
      <c r="C15" s="60" t="s">
        <v>58</v>
      </c>
      <c r="D15" s="125">
        <v>3437.34</v>
      </c>
      <c r="F15" s="55"/>
      <c r="G15" s="55"/>
      <c r="H15" s="55"/>
      <c r="I15" s="55"/>
    </row>
    <row r="16" spans="1:9" ht="20.100000000000001" customHeight="1">
      <c r="A16" s="63" t="s">
        <v>529</v>
      </c>
      <c r="B16" s="1230" t="s">
        <v>241</v>
      </c>
      <c r="C16" s="60"/>
      <c r="D16" s="126">
        <f>SUM(D15)</f>
        <v>3437.34</v>
      </c>
      <c r="F16" s="55"/>
      <c r="G16" s="55"/>
      <c r="H16" s="55"/>
      <c r="I16" s="55"/>
    </row>
    <row r="17" spans="1:9" ht="20.100000000000001" customHeight="1">
      <c r="A17" s="63"/>
      <c r="B17" s="1227"/>
      <c r="C17" s="60"/>
      <c r="D17" s="126"/>
      <c r="F17" s="55"/>
      <c r="G17" s="55"/>
      <c r="H17" s="55"/>
      <c r="I17" s="55"/>
    </row>
    <row r="18" spans="1:9" ht="20.100000000000001" customHeight="1">
      <c r="A18" s="63" t="s">
        <v>211</v>
      </c>
      <c r="B18" s="1227" t="s">
        <v>240</v>
      </c>
      <c r="C18" s="60"/>
      <c r="D18" s="126"/>
      <c r="F18" s="55"/>
      <c r="G18" s="55"/>
      <c r="H18" s="55"/>
      <c r="I18" s="55"/>
    </row>
    <row r="19" spans="1:9" ht="20.100000000000001" customHeight="1">
      <c r="A19" s="1173" t="s">
        <v>567</v>
      </c>
      <c r="B19" s="1228" t="s">
        <v>1211</v>
      </c>
      <c r="C19" s="60" t="s">
        <v>58</v>
      </c>
      <c r="D19" s="503">
        <v>300</v>
      </c>
      <c r="F19" s="55"/>
      <c r="G19" s="55"/>
      <c r="H19" s="55"/>
      <c r="I19" s="55"/>
    </row>
    <row r="20" spans="1:9" ht="20.100000000000001" customHeight="1">
      <c r="A20" s="1173" t="s">
        <v>523</v>
      </c>
      <c r="B20" s="1228" t="s">
        <v>1216</v>
      </c>
      <c r="C20" s="60" t="s">
        <v>58</v>
      </c>
      <c r="D20" s="119">
        <v>5206.28</v>
      </c>
      <c r="F20" s="55"/>
      <c r="G20" s="55"/>
      <c r="H20" s="55"/>
      <c r="I20" s="55"/>
    </row>
    <row r="21" spans="1:9" ht="20.100000000000001" customHeight="1">
      <c r="A21" s="1173" t="s">
        <v>524</v>
      </c>
      <c r="B21" s="1228" t="s">
        <v>1212</v>
      </c>
      <c r="C21" s="60" t="s">
        <v>58</v>
      </c>
      <c r="D21" s="122">
        <v>25435249.440000001</v>
      </c>
      <c r="F21" s="55"/>
      <c r="G21" s="55"/>
      <c r="H21" s="55"/>
      <c r="I21" s="55"/>
    </row>
    <row r="22" spans="1:9" ht="20.100000000000001" customHeight="1" thickBot="1">
      <c r="A22" s="1173" t="s">
        <v>571</v>
      </c>
      <c r="B22" s="1228"/>
      <c r="C22" s="60" t="s">
        <v>58</v>
      </c>
      <c r="D22" s="125"/>
      <c r="E22" s="501"/>
      <c r="F22" s="55"/>
      <c r="G22" s="55"/>
      <c r="H22" s="55"/>
      <c r="I22" s="55"/>
    </row>
    <row r="23" spans="1:9" ht="20.100000000000001" customHeight="1">
      <c r="A23" s="63" t="s">
        <v>530</v>
      </c>
      <c r="B23" s="1230" t="s">
        <v>240</v>
      </c>
      <c r="C23" s="60"/>
      <c r="D23" s="126">
        <f>SUM(D19:D22)</f>
        <v>25440755.720000003</v>
      </c>
      <c r="F23" s="55"/>
      <c r="G23" s="55"/>
      <c r="H23" s="55"/>
      <c r="I23" s="55"/>
    </row>
    <row r="24" spans="1:9" ht="20.100000000000001" customHeight="1">
      <c r="A24" s="63"/>
      <c r="B24" s="1227"/>
      <c r="C24" s="60"/>
      <c r="D24" s="126"/>
      <c r="F24" s="55"/>
      <c r="G24" s="55"/>
      <c r="H24" s="55"/>
      <c r="I24" s="55"/>
    </row>
    <row r="25" spans="1:9" ht="30.75" customHeight="1">
      <c r="A25" s="63" t="s">
        <v>212</v>
      </c>
      <c r="B25" s="1227" t="s">
        <v>1030</v>
      </c>
      <c r="C25" s="43"/>
      <c r="D25" s="126"/>
      <c r="F25" s="55"/>
      <c r="G25" s="55"/>
      <c r="H25" s="55"/>
      <c r="I25" s="55"/>
    </row>
    <row r="26" spans="1:9" ht="20.100000000000001" customHeight="1">
      <c r="A26" s="1221"/>
      <c r="B26" s="1231" t="s">
        <v>1024</v>
      </c>
      <c r="C26" s="132"/>
      <c r="D26" s="126"/>
      <c r="E26" s="1219"/>
      <c r="F26" s="55"/>
      <c r="G26" s="55"/>
      <c r="H26" s="55"/>
      <c r="I26" s="55"/>
    </row>
    <row r="27" spans="1:9" ht="20.100000000000001" customHeight="1">
      <c r="A27" s="1173" t="s">
        <v>489</v>
      </c>
      <c r="B27" s="1228" t="s">
        <v>1213</v>
      </c>
      <c r="C27" s="60" t="s">
        <v>58</v>
      </c>
      <c r="D27" s="122">
        <v>8089376.2599999998</v>
      </c>
      <c r="F27" s="55"/>
      <c r="G27" s="55"/>
      <c r="H27" s="55"/>
      <c r="I27" s="55"/>
    </row>
    <row r="28" spans="1:9" ht="20.100000000000001" customHeight="1">
      <c r="A28" s="1173" t="s">
        <v>1025</v>
      </c>
      <c r="B28" s="1228"/>
      <c r="C28" s="60" t="s">
        <v>58</v>
      </c>
      <c r="D28" s="122"/>
      <c r="E28" s="1219"/>
      <c r="F28" s="55"/>
      <c r="G28" s="55"/>
      <c r="H28" s="55"/>
      <c r="I28" s="55"/>
    </row>
    <row r="29" spans="1:9" s="132" customFormat="1" ht="20.100000000000001" customHeight="1">
      <c r="A29" s="543"/>
      <c r="B29" s="1231" t="s">
        <v>1028</v>
      </c>
      <c r="C29" s="1222"/>
      <c r="D29" s="1223"/>
      <c r="E29" s="58"/>
      <c r="F29" s="1224"/>
      <c r="G29" s="1224"/>
      <c r="H29" s="1224"/>
      <c r="I29" s="1224"/>
    </row>
    <row r="30" spans="1:9" ht="20.100000000000001" customHeight="1">
      <c r="A30" s="1173" t="s">
        <v>1026</v>
      </c>
      <c r="B30" s="1228"/>
      <c r="C30" s="60" t="s">
        <v>58</v>
      </c>
      <c r="D30" s="122"/>
      <c r="E30" s="1219"/>
      <c r="F30" s="55"/>
      <c r="G30" s="55"/>
      <c r="H30" s="55"/>
      <c r="I30" s="55"/>
    </row>
    <row r="31" spans="1:9" ht="20.100000000000001" customHeight="1" thickBot="1">
      <c r="A31" s="1173" t="s">
        <v>1027</v>
      </c>
      <c r="B31" s="1228"/>
      <c r="C31" s="60" t="s">
        <v>58</v>
      </c>
      <c r="D31" s="125"/>
      <c r="E31" s="1219"/>
      <c r="F31" s="55"/>
      <c r="G31" s="55"/>
      <c r="H31" s="55"/>
      <c r="I31" s="55"/>
    </row>
    <row r="32" spans="1:9" ht="20.100000000000001" customHeight="1">
      <c r="A32" s="543" t="s">
        <v>531</v>
      </c>
      <c r="B32" s="1230" t="s">
        <v>1030</v>
      </c>
      <c r="C32" s="43"/>
      <c r="D32" s="120">
        <f>SUM(D27:D28,D30:D31)</f>
        <v>8089376.2599999998</v>
      </c>
      <c r="F32" s="55"/>
      <c r="G32" s="55"/>
      <c r="H32" s="55"/>
      <c r="I32" s="55"/>
    </row>
    <row r="33" spans="1:9" ht="20.100000000000001" customHeight="1">
      <c r="A33" s="63"/>
      <c r="B33" s="1227"/>
      <c r="C33" s="60"/>
      <c r="D33" s="126"/>
      <c r="F33" s="55"/>
      <c r="G33" s="55"/>
      <c r="H33" s="55"/>
      <c r="I33" s="55"/>
    </row>
    <row r="34" spans="1:9" ht="20.100000000000001" customHeight="1">
      <c r="A34" s="63" t="s">
        <v>164</v>
      </c>
      <c r="B34" s="1227" t="s">
        <v>243</v>
      </c>
      <c r="C34" s="60"/>
      <c r="D34" s="126"/>
      <c r="F34" s="55"/>
      <c r="G34" s="55"/>
      <c r="H34" s="55"/>
      <c r="I34" s="55"/>
    </row>
    <row r="35" spans="1:9" ht="20.100000000000001" customHeight="1">
      <c r="A35" s="1173" t="s">
        <v>525</v>
      </c>
      <c r="B35" s="1232" t="s">
        <v>1214</v>
      </c>
      <c r="C35" s="60" t="s">
        <v>58</v>
      </c>
      <c r="D35" s="119">
        <v>4388.7800000000007</v>
      </c>
      <c r="F35" s="55"/>
      <c r="G35" s="55"/>
      <c r="H35" s="55"/>
      <c r="I35" s="55"/>
    </row>
    <row r="36" spans="1:9" ht="20.100000000000001" customHeight="1">
      <c r="A36" s="1173" t="s">
        <v>526</v>
      </c>
      <c r="B36" s="1232" t="s">
        <v>1215</v>
      </c>
      <c r="C36" s="60" t="s">
        <v>58</v>
      </c>
      <c r="D36" s="119">
        <v>7965.4699999999993</v>
      </c>
      <c r="F36" s="55"/>
      <c r="G36" s="55"/>
      <c r="H36" s="55"/>
      <c r="I36" s="55"/>
    </row>
    <row r="37" spans="1:9" ht="20.100000000000001" customHeight="1">
      <c r="A37" s="1173" t="s">
        <v>527</v>
      </c>
      <c r="B37" s="1232" t="s">
        <v>243</v>
      </c>
      <c r="C37" s="60" t="s">
        <v>58</v>
      </c>
      <c r="D37" s="119">
        <v>6080</v>
      </c>
      <c r="E37" s="501"/>
      <c r="F37" s="55"/>
      <c r="G37" s="55"/>
      <c r="H37" s="55"/>
      <c r="I37" s="55"/>
    </row>
    <row r="38" spans="1:9" ht="20.100000000000001" customHeight="1" thickBot="1">
      <c r="A38" s="1173" t="s">
        <v>573</v>
      </c>
      <c r="B38" s="1232"/>
      <c r="C38" s="60" t="s">
        <v>58</v>
      </c>
      <c r="D38" s="125"/>
    </row>
    <row r="39" spans="1:9" ht="20.100000000000001" customHeight="1">
      <c r="A39" s="63" t="s">
        <v>532</v>
      </c>
      <c r="B39" s="1230" t="s">
        <v>243</v>
      </c>
      <c r="C39" s="60"/>
      <c r="D39" s="126">
        <f>SUM(D35:D38)</f>
        <v>18434.25</v>
      </c>
    </row>
    <row r="40" spans="1:9" ht="20.100000000000001" customHeight="1">
      <c r="A40" s="63"/>
      <c r="B40" s="1226"/>
      <c r="C40" s="60"/>
      <c r="D40" s="126"/>
    </row>
    <row r="41" spans="1:9" ht="20.100000000000001" customHeight="1">
      <c r="A41" s="63" t="s">
        <v>533</v>
      </c>
      <c r="B41" s="1231" t="s">
        <v>245</v>
      </c>
      <c r="C41" s="60"/>
      <c r="D41" s="119">
        <v>0</v>
      </c>
    </row>
    <row r="42" spans="1:9" ht="20.100000000000001" customHeight="1">
      <c r="E42" s="58"/>
    </row>
    <row r="43" spans="1:9" ht="31.5" customHeight="1">
      <c r="A43" s="63" t="s">
        <v>167</v>
      </c>
      <c r="B43" s="1359" t="s">
        <v>534</v>
      </c>
      <c r="C43" s="1359"/>
      <c r="D43" s="47">
        <f>D12+D16+D23+D32+D39+D41</f>
        <v>38880213.799999997</v>
      </c>
      <c r="E43" s="58"/>
    </row>
    <row r="44" spans="1:9" ht="20.100000000000001" customHeight="1">
      <c r="E44" s="58"/>
    </row>
    <row r="45" spans="1:9" ht="20.100000000000001" customHeight="1">
      <c r="E45" s="58"/>
    </row>
    <row r="46" spans="1:9" ht="20.100000000000001" customHeight="1">
      <c r="E46" s="58"/>
    </row>
    <row r="47" spans="1:9" ht="20.100000000000001" customHeight="1">
      <c r="A47" s="43" t="s">
        <v>226</v>
      </c>
      <c r="B47" s="1226"/>
    </row>
    <row r="48" spans="1:9" s="60" customFormat="1" ht="20.100000000000001" customHeight="1">
      <c r="A48" s="49" t="s">
        <v>225</v>
      </c>
      <c r="B48" s="1174" t="s">
        <v>227</v>
      </c>
      <c r="E48" s="49"/>
      <c r="F48" s="49"/>
      <c r="G48" s="49"/>
      <c r="H48" s="43"/>
      <c r="I48" s="43"/>
    </row>
    <row r="49" spans="1:2" ht="20.100000000000001" customHeight="1">
      <c r="A49" s="49" t="s">
        <v>239</v>
      </c>
      <c r="B49" s="1174" t="s">
        <v>1029</v>
      </c>
    </row>
  </sheetData>
  <customSheetViews>
    <customSheetView guid="{B991F324-919F-4749-8E3C-A09B2FA7BB10}" scale="90" showPageBreaks="1" view="pageBreakPreview">
      <pageMargins left="0.7" right="0.7" top="0.75" bottom="0.75" header="0.3" footer="0.3"/>
      <pageSetup scale="60" orientation="portrait" r:id="rId1"/>
      <headerFooter alignWithMargins="0"/>
    </customSheetView>
    <customSheetView guid="{901B528B-D65D-48CA-A638-FD9B4E5BB6D4}" scale="90" showPageBreaks="1" view="pageBreakPreview" topLeftCell="A13">
      <selection activeCell="C6" sqref="C6"/>
      <pageMargins left="0.7" right="0.7" top="0.75" bottom="0.75" header="0.3" footer="0.3"/>
      <pageSetup scale="60" orientation="portrait" r:id="rId2"/>
      <headerFooter alignWithMargins="0"/>
    </customSheetView>
    <customSheetView guid="{E1861F40-EBD5-44AE-868B-FDE0ED504D72}" scale="85">
      <selection activeCell="E9" sqref="E9"/>
      <pageMargins left="0.7" right="0.7" top="0.75" bottom="0.75" header="0.3" footer="0.3"/>
      <pageSetup scale="55" orientation="portrait" r:id="rId3"/>
    </customSheetView>
    <customSheetView guid="{0DE222E8-ADD6-4F4B-9601-960D8109381F}" scale="90" showPageBreaks="1" view="pageBreakPreview">
      <pageMargins left="0.7" right="0.7" top="0.75" bottom="0.75" header="0.3" footer="0.3"/>
      <pageSetup scale="60" orientation="portrait" r:id="rId4"/>
      <headerFooter alignWithMargins="0"/>
    </customSheetView>
  </customSheetViews>
  <mergeCells count="1">
    <mergeCell ref="B43:C43"/>
  </mergeCells>
  <pageMargins left="0.7" right="0.7" top="0.75" bottom="0.75" header="0.3" footer="0.3"/>
  <pageSetup scale="60" orientation="portrait" r:id="rId5"/>
  <headerFooter alignWithMargins="0"/>
  <ignoredErrors>
    <ignoredError sqref="A2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O29"/>
  <sheetViews>
    <sheetView view="pageBreakPreview" zoomScale="60" zoomScaleNormal="70" workbookViewId="0">
      <selection activeCell="B35" sqref="B35"/>
    </sheetView>
  </sheetViews>
  <sheetFormatPr defaultColWidth="8.90625" defaultRowHeight="20.100000000000001" customHeight="1"/>
  <cols>
    <col min="1" max="1" width="2.81640625" style="49" customWidth="1"/>
    <col min="2" max="2" width="13.26953125" style="43" customWidth="1"/>
    <col min="3" max="3" width="7.6328125" style="43" customWidth="1"/>
    <col min="4" max="4" width="2.81640625" style="43" customWidth="1"/>
    <col min="5" max="5" width="14.6328125" style="49" customWidth="1"/>
    <col min="6" max="6" width="17.36328125" style="58" customWidth="1"/>
    <col min="7" max="7" width="17.6328125" style="49" customWidth="1"/>
    <col min="8" max="8" width="16.54296875" style="49" bestFit="1" customWidth="1"/>
    <col min="9" max="9" width="16.54296875" style="58" customWidth="1"/>
    <col min="10" max="10" width="14.81640625" style="352" customWidth="1"/>
    <col min="11" max="11" width="11.453125" style="387" customWidth="1"/>
    <col min="12" max="12" width="21.81640625" style="49" customWidth="1"/>
    <col min="13" max="13" width="17.6328125" style="49" customWidth="1"/>
    <col min="14" max="14" width="16.90625" style="43" bestFit="1" customWidth="1"/>
    <col min="15" max="15" width="8.90625" style="43"/>
    <col min="16" max="17" width="13.54296875" style="43" bestFit="1" customWidth="1"/>
    <col min="18" max="16384" width="8.90625" style="43"/>
  </cols>
  <sheetData>
    <row r="1" spans="1:15" ht="20.100000000000001" customHeight="1">
      <c r="A1" s="497"/>
      <c r="E1" s="497"/>
      <c r="G1" s="497"/>
      <c r="H1" s="497"/>
      <c r="J1" s="497"/>
      <c r="K1" s="497"/>
      <c r="L1" s="497"/>
      <c r="M1" s="497"/>
      <c r="O1" s="4" t="str">
        <f>'Attachment H-11A '!K1&amp;""&amp;", Attachment 8"</f>
        <v>Attachment H -11A, Attachment 8</v>
      </c>
    </row>
    <row r="2" spans="1:15" ht="20.100000000000001" customHeight="1">
      <c r="A2" s="497"/>
      <c r="E2" s="497"/>
      <c r="G2" s="497"/>
      <c r="H2" s="497"/>
      <c r="J2" s="497"/>
      <c r="K2" s="497"/>
      <c r="L2" s="497"/>
      <c r="M2" s="497"/>
      <c r="O2" s="4" t="s">
        <v>188</v>
      </c>
    </row>
    <row r="3" spans="1:15" ht="20.100000000000001" customHeight="1">
      <c r="A3" s="497"/>
      <c r="E3" s="497"/>
      <c r="G3" s="497"/>
      <c r="H3" s="497"/>
      <c r="I3" s="59" t="s">
        <v>559</v>
      </c>
      <c r="K3" s="497"/>
      <c r="L3" s="497"/>
      <c r="M3" s="497"/>
      <c r="O3" s="6" t="str">
        <f>'Attachment H-11A '!K4</f>
        <v>For the 12 months ended 12/31/2022</v>
      </c>
    </row>
    <row r="4" spans="1:15" ht="20.100000000000001" customHeight="1">
      <c r="A4" s="52"/>
    </row>
    <row r="5" spans="1:15" ht="20.100000000000001" customHeight="1">
      <c r="C5" s="132"/>
      <c r="E5" s="62" t="s">
        <v>508</v>
      </c>
      <c r="F5" s="1286" t="s">
        <v>509</v>
      </c>
      <c r="G5" s="62" t="s">
        <v>510</v>
      </c>
      <c r="H5" s="62" t="s">
        <v>511</v>
      </c>
      <c r="I5" s="1286" t="s">
        <v>512</v>
      </c>
      <c r="J5" s="62" t="s">
        <v>513</v>
      </c>
      <c r="K5" s="62" t="s">
        <v>514</v>
      </c>
      <c r="L5" s="62" t="s">
        <v>886</v>
      </c>
      <c r="M5" s="62" t="s">
        <v>1142</v>
      </c>
    </row>
    <row r="6" spans="1:15" ht="24" customHeight="1">
      <c r="E6" s="51" t="s">
        <v>246</v>
      </c>
      <c r="F6" s="59" t="s">
        <v>1141</v>
      </c>
      <c r="G6" s="51" t="s">
        <v>248</v>
      </c>
      <c r="H6" s="51" t="s">
        <v>249</v>
      </c>
      <c r="I6" s="59" t="s">
        <v>249</v>
      </c>
      <c r="J6" s="336" t="s">
        <v>467</v>
      </c>
      <c r="K6" s="388" t="s">
        <v>495</v>
      </c>
      <c r="L6" s="51" t="s">
        <v>91</v>
      </c>
      <c r="M6" s="51" t="s">
        <v>250</v>
      </c>
    </row>
    <row r="7" spans="1:15" ht="20.100000000000001" customHeight="1">
      <c r="E7" s="51" t="s">
        <v>247</v>
      </c>
      <c r="F7" s="59" t="s">
        <v>1143</v>
      </c>
      <c r="G7" s="51"/>
      <c r="H7" s="51"/>
      <c r="I7" s="59" t="s">
        <v>1144</v>
      </c>
      <c r="J7" s="336"/>
      <c r="K7" s="388"/>
      <c r="L7" s="51"/>
      <c r="M7" s="51"/>
    </row>
    <row r="8" spans="1:15" ht="20.100000000000001" customHeight="1">
      <c r="D8" s="47" t="s">
        <v>225</v>
      </c>
      <c r="E8" s="50" t="s">
        <v>251</v>
      </c>
      <c r="F8" s="283" t="s">
        <v>614</v>
      </c>
      <c r="G8" s="50" t="s">
        <v>574</v>
      </c>
      <c r="H8" s="50" t="s">
        <v>252</v>
      </c>
      <c r="I8" s="283" t="s">
        <v>614</v>
      </c>
      <c r="J8" s="50" t="s">
        <v>466</v>
      </c>
      <c r="K8" s="50" t="s">
        <v>496</v>
      </c>
      <c r="L8" s="50" t="s">
        <v>1145</v>
      </c>
      <c r="M8" s="543" t="s">
        <v>804</v>
      </c>
    </row>
    <row r="9" spans="1:15" ht="20.100000000000001" customHeight="1">
      <c r="A9" s="53">
        <v>1</v>
      </c>
      <c r="B9" s="43" t="str">
        <f>'Attachment 3 - Gross Plant'!B8</f>
        <v>December</v>
      </c>
      <c r="C9" s="118">
        <f>'Attachment 3 - Gross Plant'!C8</f>
        <v>2021</v>
      </c>
      <c r="D9" s="47"/>
      <c r="E9" s="119">
        <v>1336372885.77899</v>
      </c>
      <c r="F9" s="119">
        <v>40487786.93</v>
      </c>
      <c r="G9" s="119"/>
      <c r="H9" s="119">
        <v>151968666.98000002</v>
      </c>
      <c r="I9" s="119">
        <v>-146680631.21000001</v>
      </c>
      <c r="J9" s="119">
        <v>-321891.51295845001</v>
      </c>
      <c r="K9" s="119"/>
      <c r="L9" s="126">
        <f>E9-G9-H9-J9-K9-F9-I9</f>
        <v>1290918954.5919485</v>
      </c>
      <c r="M9" s="119">
        <v>1649999999.999999</v>
      </c>
      <c r="N9" s="685"/>
    </row>
    <row r="10" spans="1:15" ht="20.100000000000001" customHeight="1">
      <c r="A10" s="53">
        <v>2</v>
      </c>
      <c r="B10" s="43" t="str">
        <f>'Attachment 3 - Gross Plant'!B9</f>
        <v>January</v>
      </c>
      <c r="C10" s="118">
        <f>C9+1</f>
        <v>2022</v>
      </c>
      <c r="E10" s="119">
        <v>1353670583.9003801</v>
      </c>
      <c r="F10" s="119">
        <v>40487786.93</v>
      </c>
      <c r="G10" s="119"/>
      <c r="H10" s="119">
        <v>151968666.98000002</v>
      </c>
      <c r="I10" s="119">
        <v>-146680631.21000001</v>
      </c>
      <c r="J10" s="119">
        <v>-317084.16786584299</v>
      </c>
      <c r="K10" s="119"/>
      <c r="L10" s="126">
        <f t="shared" ref="L10:L21" si="0">E10-G10-H10-J10-K10-F10-I10</f>
        <v>1308211845.3682458</v>
      </c>
      <c r="M10" s="119">
        <v>1649999999.9999948</v>
      </c>
      <c r="N10" s="685"/>
    </row>
    <row r="11" spans="1:15" ht="20.100000000000001" customHeight="1">
      <c r="A11" s="53">
        <v>3</v>
      </c>
      <c r="B11" s="43" t="str">
        <f>'Attachment 3 - Gross Plant'!B10</f>
        <v>February</v>
      </c>
      <c r="C11" s="45">
        <f>C10</f>
        <v>2022</v>
      </c>
      <c r="E11" s="119">
        <v>1370084443.2953501</v>
      </c>
      <c r="F11" s="119">
        <v>40487786.93</v>
      </c>
      <c r="G11" s="119"/>
      <c r="H11" s="119">
        <v>151968666.98000002</v>
      </c>
      <c r="I11" s="119">
        <v>-146680631.21000001</v>
      </c>
      <c r="J11" s="119">
        <v>-312276.82277323602</v>
      </c>
      <c r="K11" s="119"/>
      <c r="L11" s="126">
        <f t="shared" si="0"/>
        <v>1324620897.4181232</v>
      </c>
      <c r="M11" s="119">
        <v>1649999999.9999905</v>
      </c>
      <c r="N11" s="685"/>
    </row>
    <row r="12" spans="1:15" ht="20.100000000000001" customHeight="1">
      <c r="A12" s="53">
        <v>4</v>
      </c>
      <c r="B12" s="43" t="str">
        <f>'Attachment 3 - Gross Plant'!B11</f>
        <v>March</v>
      </c>
      <c r="C12" s="45">
        <f t="shared" ref="C12:C21" si="1">C11</f>
        <v>2022</v>
      </c>
      <c r="E12" s="119">
        <v>1360480156.5689499</v>
      </c>
      <c r="F12" s="119">
        <v>40487786.93</v>
      </c>
      <c r="G12" s="119"/>
      <c r="H12" s="119">
        <v>151968666.98000002</v>
      </c>
      <c r="I12" s="119">
        <v>-146680631.21000001</v>
      </c>
      <c r="J12" s="119">
        <v>-307469.47768062999</v>
      </c>
      <c r="K12" s="119"/>
      <c r="L12" s="126">
        <f t="shared" si="0"/>
        <v>1315011803.3466306</v>
      </c>
      <c r="M12" s="119">
        <v>1649999999.9999964</v>
      </c>
      <c r="N12" s="685"/>
    </row>
    <row r="13" spans="1:15" ht="20.100000000000001" customHeight="1">
      <c r="A13" s="53">
        <v>5</v>
      </c>
      <c r="B13" s="43" t="str">
        <f>'Attachment 3 - Gross Plant'!B12</f>
        <v>April</v>
      </c>
      <c r="C13" s="45">
        <f t="shared" si="1"/>
        <v>2022</v>
      </c>
      <c r="E13" s="119">
        <v>1368268866.7421701</v>
      </c>
      <c r="F13" s="119">
        <v>40487786.93</v>
      </c>
      <c r="G13" s="119"/>
      <c r="H13" s="119">
        <v>151968666.98000002</v>
      </c>
      <c r="I13" s="119">
        <v>-146680631.21000001</v>
      </c>
      <c r="J13" s="119">
        <v>-302662.13258802303</v>
      </c>
      <c r="K13" s="119"/>
      <c r="L13" s="126">
        <f t="shared" si="0"/>
        <v>1322795706.174758</v>
      </c>
      <c r="M13" s="119">
        <v>1649999999.9999921</v>
      </c>
      <c r="N13" s="685"/>
    </row>
    <row r="14" spans="1:15" ht="20.100000000000001" customHeight="1">
      <c r="A14" s="53">
        <v>6</v>
      </c>
      <c r="B14" s="43" t="str">
        <f>'Attachment 3 - Gross Plant'!B13</f>
        <v>May</v>
      </c>
      <c r="C14" s="45">
        <f t="shared" si="1"/>
        <v>2022</v>
      </c>
      <c r="E14" s="119">
        <v>1375804318.5571301</v>
      </c>
      <c r="F14" s="119">
        <v>40487786.93</v>
      </c>
      <c r="G14" s="119"/>
      <c r="H14" s="119">
        <v>151968666.98000002</v>
      </c>
      <c r="I14" s="119">
        <v>-146680631.21000001</v>
      </c>
      <c r="J14" s="119">
        <v>-297854.78749541601</v>
      </c>
      <c r="K14" s="119"/>
      <c r="L14" s="126">
        <f t="shared" si="0"/>
        <v>1330326350.6446254</v>
      </c>
      <c r="M14" s="119">
        <v>1649999999.9999979</v>
      </c>
      <c r="N14" s="685"/>
    </row>
    <row r="15" spans="1:15" ht="20.100000000000001" customHeight="1">
      <c r="A15" s="53">
        <v>7</v>
      </c>
      <c r="B15" s="43" t="str">
        <f>'Attachment 3 - Gross Plant'!B14</f>
        <v>June</v>
      </c>
      <c r="C15" s="45">
        <f t="shared" si="1"/>
        <v>2022</v>
      </c>
      <c r="E15" s="119">
        <v>1366709175.2138</v>
      </c>
      <c r="F15" s="119">
        <v>40487786.93</v>
      </c>
      <c r="G15" s="119"/>
      <c r="H15" s="119">
        <v>151968666.98000002</v>
      </c>
      <c r="I15" s="119">
        <v>-146680631.21000001</v>
      </c>
      <c r="J15" s="119">
        <v>-293047.44240280997</v>
      </c>
      <c r="K15" s="119"/>
      <c r="L15" s="126">
        <f t="shared" si="0"/>
        <v>1321226399.9562027</v>
      </c>
      <c r="M15" s="119">
        <v>1649999999.9999938</v>
      </c>
      <c r="N15" s="685"/>
    </row>
    <row r="16" spans="1:15" ht="20.100000000000001" customHeight="1">
      <c r="A16" s="53">
        <v>8</v>
      </c>
      <c r="B16" s="43" t="str">
        <f>'Attachment 3 - Gross Plant'!B15</f>
        <v>July</v>
      </c>
      <c r="C16" s="45">
        <f t="shared" si="1"/>
        <v>2022</v>
      </c>
      <c r="E16" s="119">
        <v>1381287170.5218701</v>
      </c>
      <c r="F16" s="119">
        <v>40487786.93</v>
      </c>
      <c r="G16" s="119"/>
      <c r="H16" s="119">
        <v>151968666.98000002</v>
      </c>
      <c r="I16" s="119">
        <v>-146680631.21000001</v>
      </c>
      <c r="J16" s="119">
        <v>-288240.09731020301</v>
      </c>
      <c r="K16" s="119"/>
      <c r="L16" s="126">
        <f t="shared" si="0"/>
        <v>1335799587.9191804</v>
      </c>
      <c r="M16" s="119">
        <v>1649999999.9999995</v>
      </c>
      <c r="N16" s="685"/>
    </row>
    <row r="17" spans="1:14" ht="20.100000000000001" customHeight="1">
      <c r="A17" s="53">
        <v>9</v>
      </c>
      <c r="B17" s="43" t="str">
        <f>'Attachment 3 - Gross Plant'!B16</f>
        <v>August</v>
      </c>
      <c r="C17" s="45">
        <f t="shared" si="1"/>
        <v>2022</v>
      </c>
      <c r="E17" s="119">
        <v>1395063664.7820001</v>
      </c>
      <c r="F17" s="119">
        <v>40487786.93</v>
      </c>
      <c r="G17" s="119"/>
      <c r="H17" s="119">
        <v>151968666.98000002</v>
      </c>
      <c r="I17" s="119">
        <v>-146680631.21000001</v>
      </c>
      <c r="J17" s="119">
        <v>-283432.75221759599</v>
      </c>
      <c r="K17" s="119"/>
      <c r="L17" s="126">
        <f t="shared" si="0"/>
        <v>1349571274.8342175</v>
      </c>
      <c r="M17" s="119">
        <v>1649999999.9999955</v>
      </c>
      <c r="N17" s="685"/>
    </row>
    <row r="18" spans="1:14" ht="20.100000000000001" customHeight="1">
      <c r="A18" s="53">
        <v>10</v>
      </c>
      <c r="B18" s="43" t="str">
        <f>'Attachment 3 - Gross Plant'!B17</f>
        <v>September</v>
      </c>
      <c r="C18" s="45">
        <f t="shared" si="1"/>
        <v>2022</v>
      </c>
      <c r="E18" s="119">
        <v>1383095456.38781</v>
      </c>
      <c r="F18" s="119">
        <v>40487786.93</v>
      </c>
      <c r="G18" s="119"/>
      <c r="H18" s="119">
        <v>151968666.98000002</v>
      </c>
      <c r="I18" s="119">
        <v>-146680631.21000001</v>
      </c>
      <c r="J18" s="119">
        <v>-278625.40712498903</v>
      </c>
      <c r="K18" s="119"/>
      <c r="L18" s="126">
        <f t="shared" si="0"/>
        <v>1337598259.0949349</v>
      </c>
      <c r="M18" s="119">
        <v>1649999999.9999912</v>
      </c>
      <c r="N18" s="685"/>
    </row>
    <row r="19" spans="1:14" ht="20.100000000000001" customHeight="1">
      <c r="A19" s="53">
        <v>11</v>
      </c>
      <c r="B19" s="43" t="str">
        <f>'Attachment 3 - Gross Plant'!B18</f>
        <v>October</v>
      </c>
      <c r="C19" s="45">
        <f t="shared" si="1"/>
        <v>2022</v>
      </c>
      <c r="E19" s="119">
        <v>1389028326.49488</v>
      </c>
      <c r="F19" s="119">
        <v>40487786.93</v>
      </c>
      <c r="G19" s="119"/>
      <c r="H19" s="119">
        <v>151968666.98000002</v>
      </c>
      <c r="I19" s="119">
        <v>-146680631.21000001</v>
      </c>
      <c r="J19" s="119">
        <v>-273818.06203238299</v>
      </c>
      <c r="K19" s="119"/>
      <c r="L19" s="126">
        <f t="shared" si="0"/>
        <v>1343526321.8569124</v>
      </c>
      <c r="M19" s="119">
        <v>1649999999.9999969</v>
      </c>
      <c r="N19" s="685"/>
    </row>
    <row r="20" spans="1:14" ht="20.100000000000001" customHeight="1">
      <c r="A20" s="53">
        <v>12</v>
      </c>
      <c r="B20" s="43" t="str">
        <f>'Attachment 3 - Gross Plant'!B19</f>
        <v>November</v>
      </c>
      <c r="C20" s="45">
        <f t="shared" si="1"/>
        <v>2022</v>
      </c>
      <c r="E20" s="119">
        <v>1400701142.8394001</v>
      </c>
      <c r="F20" s="119">
        <v>40487786.93</v>
      </c>
      <c r="G20" s="119"/>
      <c r="H20" s="119">
        <v>151968666.98000002</v>
      </c>
      <c r="I20" s="119">
        <v>-146680631.21000001</v>
      </c>
      <c r="J20" s="119">
        <v>-269010.71693977597</v>
      </c>
      <c r="K20" s="119"/>
      <c r="L20" s="126">
        <f t="shared" si="0"/>
        <v>1355194330.8563397</v>
      </c>
      <c r="M20" s="119">
        <v>1649999999.9999928</v>
      </c>
      <c r="N20" s="685"/>
    </row>
    <row r="21" spans="1:14" ht="20.100000000000001" customHeight="1">
      <c r="A21" s="53">
        <v>13</v>
      </c>
      <c r="B21" s="43" t="str">
        <f>'Attachment 3 - Gross Plant'!B20</f>
        <v>December</v>
      </c>
      <c r="C21" s="45">
        <f t="shared" si="1"/>
        <v>2022</v>
      </c>
      <c r="E21" s="119">
        <v>1396098870.4949601</v>
      </c>
      <c r="F21" s="119">
        <v>40487786.93</v>
      </c>
      <c r="G21" s="119"/>
      <c r="H21" s="119">
        <v>151968666.98000002</v>
      </c>
      <c r="I21" s="119">
        <v>-146680631.21000001</v>
      </c>
      <c r="J21" s="119">
        <v>-264203.37184716901</v>
      </c>
      <c r="K21" s="119"/>
      <c r="L21" s="126">
        <f t="shared" si="0"/>
        <v>1350587251.1668072</v>
      </c>
      <c r="M21" s="119">
        <v>1649999999.9999986</v>
      </c>
      <c r="N21" s="685"/>
    </row>
    <row r="22" spans="1:14" ht="20.100000000000001" customHeight="1">
      <c r="A22" s="43"/>
      <c r="E22" s="121"/>
      <c r="F22" s="126"/>
      <c r="G22" s="121"/>
      <c r="H22" s="121"/>
      <c r="I22" s="126"/>
      <c r="J22" s="121"/>
      <c r="K22" s="121"/>
      <c r="L22" s="121"/>
      <c r="M22" s="121"/>
    </row>
    <row r="23" spans="1:14" ht="20.100000000000001" customHeight="1">
      <c r="A23" s="53">
        <v>14</v>
      </c>
      <c r="B23" s="43" t="s">
        <v>224</v>
      </c>
      <c r="E23" s="121">
        <f t="shared" ref="E23:M23" si="2">SUM(E9:E21)/13</f>
        <v>1375128081.6598222</v>
      </c>
      <c r="F23" s="126">
        <f t="shared" si="2"/>
        <v>40487786.93</v>
      </c>
      <c r="G23" s="121">
        <f t="shared" si="2"/>
        <v>0</v>
      </c>
      <c r="H23" s="121">
        <f t="shared" si="2"/>
        <v>151968666.98000002</v>
      </c>
      <c r="I23" s="126">
        <f t="shared" si="2"/>
        <v>-146680631.21000001</v>
      </c>
      <c r="J23" s="121">
        <f t="shared" si="2"/>
        <v>-293047.44240280951</v>
      </c>
      <c r="K23" s="121">
        <f t="shared" si="2"/>
        <v>0</v>
      </c>
      <c r="L23" s="121">
        <f t="shared" si="2"/>
        <v>1329645306.4022253</v>
      </c>
      <c r="M23" s="121">
        <f t="shared" si="2"/>
        <v>1649999999.9999957</v>
      </c>
    </row>
    <row r="24" spans="1:14" ht="20.100000000000001" customHeight="1">
      <c r="A24" s="53"/>
    </row>
    <row r="25" spans="1:14" ht="20.100000000000001" customHeight="1">
      <c r="K25" s="126"/>
    </row>
    <row r="26" spans="1:14" ht="20.100000000000001" customHeight="1">
      <c r="A26" s="43" t="s">
        <v>226</v>
      </c>
    </row>
    <row r="27" spans="1:14" ht="20.100000000000001" customHeight="1">
      <c r="A27" s="49" t="s">
        <v>225</v>
      </c>
      <c r="B27" s="43" t="s">
        <v>227</v>
      </c>
      <c r="L27" s="64"/>
    </row>
    <row r="28" spans="1:14" ht="20.100000000000001" customHeight="1">
      <c r="A28" s="58" t="s">
        <v>239</v>
      </c>
      <c r="B28" s="43" t="s">
        <v>1149</v>
      </c>
      <c r="E28" s="43"/>
      <c r="F28" s="43"/>
      <c r="G28" s="43"/>
    </row>
    <row r="29" spans="1:14" ht="35.25" customHeight="1">
      <c r="A29" s="58" t="s">
        <v>297</v>
      </c>
      <c r="B29" s="1359" t="s">
        <v>1150</v>
      </c>
      <c r="C29" s="1359"/>
      <c r="D29" s="1359"/>
      <c r="E29" s="1359"/>
      <c r="F29" s="1359"/>
      <c r="G29" s="1359"/>
      <c r="H29" s="1359"/>
      <c r="I29" s="1359"/>
      <c r="J29" s="1359"/>
      <c r="K29" s="1359"/>
      <c r="L29" s="1359"/>
    </row>
  </sheetData>
  <customSheetViews>
    <customSheetView guid="{B991F324-919F-4749-8E3C-A09B2FA7BB10}" scale="60" showPageBreaks="1" printArea="1" view="pageBreakPreview">
      <selection activeCell="O21" sqref="O21"/>
      <pageMargins left="0.7" right="0.7" top="0.75" bottom="0.75" header="0.3" footer="0.3"/>
      <pageSetup scale="37" orientation="portrait" r:id="rId1"/>
      <headerFooter alignWithMargins="0"/>
    </customSheetView>
    <customSheetView guid="{901B528B-D65D-48CA-A638-FD9B4E5BB6D4}" scale="60" showPageBreaks="1" printArea="1" view="pageBreakPreview">
      <selection activeCell="O21" sqref="O21"/>
      <pageMargins left="0.7" right="0.7" top="0.75" bottom="0.75" header="0.3" footer="0.3"/>
      <pageSetup scale="37" orientation="portrait" r:id="rId2"/>
      <headerFooter alignWithMargins="0"/>
    </customSheetView>
    <customSheetView guid="{E1861F40-EBD5-44AE-868B-FDE0ED504D72}" scale="85">
      <selection activeCell="E9" sqref="E9"/>
      <pageMargins left="0.7" right="0.7" top="0.75" bottom="0.75" header="0.3" footer="0.3"/>
      <pageSetup scale="55" orientation="portrait" r:id="rId3"/>
    </customSheetView>
    <customSheetView guid="{0DE222E8-ADD6-4F4B-9601-960D8109381F}" scale="60" showPageBreaks="1" printArea="1" view="pageBreakPreview">
      <pageMargins left="0.7" right="0.7" top="0.75" bottom="0.75" header="0.3" footer="0.3"/>
      <pageSetup scale="37" orientation="portrait" r:id="rId4"/>
      <headerFooter alignWithMargins="0"/>
    </customSheetView>
  </customSheetViews>
  <mergeCells count="1">
    <mergeCell ref="B29:L29"/>
  </mergeCells>
  <pageMargins left="0.7" right="0.7" top="0.75" bottom="0.75" header="0.3" footer="0.3"/>
  <pageSetup scale="37" orientation="portrait" r:id="rId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O53"/>
  <sheetViews>
    <sheetView view="pageBreakPreview" zoomScale="80" zoomScaleNormal="100" zoomScaleSheetLayoutView="80" workbookViewId="0">
      <selection activeCell="B35" sqref="B35"/>
    </sheetView>
  </sheetViews>
  <sheetFormatPr defaultColWidth="8.90625" defaultRowHeight="13.2"/>
  <cols>
    <col min="1" max="1" width="8.90625" style="128"/>
    <col min="2" max="2" width="15" style="128" customWidth="1"/>
    <col min="3" max="3" width="11.90625" style="128" customWidth="1"/>
    <col min="4" max="4" width="10.54296875" style="128" customWidth="1"/>
    <col min="5" max="5" width="10.81640625" style="128" customWidth="1"/>
    <col min="6" max="6" width="11.81640625" style="128" customWidth="1"/>
    <col min="7" max="7" width="13.08984375" style="128" customWidth="1"/>
    <col min="8" max="16384" width="8.90625" style="128"/>
  </cols>
  <sheetData>
    <row r="1" spans="1:9" ht="15.6">
      <c r="A1" s="52"/>
      <c r="I1" s="4" t="str">
        <f>'Attachment H-11A '!K1&amp;""&amp;", Attachment 9"</f>
        <v>Attachment H -11A, Attachment 9</v>
      </c>
    </row>
    <row r="2" spans="1:9" ht="15.6">
      <c r="A2" s="52"/>
      <c r="I2" s="4" t="s">
        <v>188</v>
      </c>
    </row>
    <row r="3" spans="1:9" ht="15.6">
      <c r="A3" s="52"/>
      <c r="D3" s="129" t="s">
        <v>560</v>
      </c>
      <c r="I3" s="6" t="str">
        <f>'Attachment H-11A '!K4</f>
        <v>For the 12 months ended 12/31/2022</v>
      </c>
    </row>
    <row r="4" spans="1:9" ht="15.6">
      <c r="A4" s="52"/>
    </row>
    <row r="5" spans="1:9">
      <c r="A5" s="129"/>
      <c r="C5" s="131"/>
    </row>
    <row r="6" spans="1:9">
      <c r="A6" s="129" t="s">
        <v>298</v>
      </c>
    </row>
    <row r="7" spans="1:9">
      <c r="A7" s="143" t="s">
        <v>313</v>
      </c>
    </row>
    <row r="8" spans="1:9">
      <c r="A8" s="129"/>
    </row>
    <row r="10" spans="1:9">
      <c r="A10" s="129" t="s">
        <v>299</v>
      </c>
    </row>
    <row r="12" spans="1:9" s="131" customFormat="1" ht="18" customHeight="1">
      <c r="A12" s="1360" t="s">
        <v>1167</v>
      </c>
      <c r="B12" s="1360"/>
      <c r="C12" s="1360"/>
      <c r="D12" s="1289">
        <f>'Attachment H-11A '!G252</f>
        <v>0.1135</v>
      </c>
      <c r="E12" s="1290"/>
      <c r="F12" s="1290"/>
      <c r="G12" s="1290"/>
      <c r="H12" s="1290"/>
      <c r="I12" s="1290"/>
    </row>
    <row r="15" spans="1:9">
      <c r="A15" s="547" t="s">
        <v>300</v>
      </c>
      <c r="B15" s="131"/>
      <c r="C15" s="131"/>
      <c r="D15" s="131"/>
      <c r="E15" s="131"/>
      <c r="F15" s="131"/>
      <c r="G15" s="131"/>
      <c r="H15" s="131"/>
      <c r="I15" s="131"/>
    </row>
    <row r="16" spans="1:9">
      <c r="A16" s="547"/>
      <c r="B16" s="548" t="s">
        <v>1199</v>
      </c>
      <c r="C16" s="131"/>
      <c r="D16" s="131"/>
      <c r="E16" s="131"/>
      <c r="F16" s="131"/>
      <c r="G16" s="131"/>
      <c r="H16" s="131"/>
      <c r="I16" s="131"/>
    </row>
    <row r="17" spans="1:15" s="130" customFormat="1" ht="15" customHeight="1">
      <c r="A17" s="272" t="s">
        <v>611</v>
      </c>
      <c r="B17" s="272"/>
      <c r="C17" s="392">
        <v>-15646300</v>
      </c>
      <c r="D17" s="272"/>
      <c r="E17" s="272"/>
      <c r="F17" s="392"/>
      <c r="G17" s="272"/>
      <c r="H17" s="272"/>
      <c r="I17" s="392"/>
      <c r="J17" s="136"/>
      <c r="K17" s="136"/>
      <c r="L17" s="153"/>
      <c r="M17" s="136"/>
      <c r="N17" s="136"/>
      <c r="O17" s="136"/>
    </row>
    <row r="18" spans="1:15">
      <c r="A18" s="272" t="s">
        <v>612</v>
      </c>
      <c r="B18" s="272"/>
      <c r="C18" s="392">
        <v>2161999525</v>
      </c>
      <c r="D18" s="272"/>
      <c r="E18" s="272"/>
      <c r="F18" s="392"/>
      <c r="G18" s="272"/>
      <c r="H18" s="272"/>
      <c r="I18" s="392"/>
    </row>
    <row r="19" spans="1:15">
      <c r="A19" s="272" t="s">
        <v>793</v>
      </c>
      <c r="B19" s="272"/>
      <c r="C19" s="1239">
        <f>C17/C18</f>
        <v>-7.2369581117276149E-3</v>
      </c>
      <c r="D19" s="272"/>
      <c r="E19" s="272"/>
      <c r="F19" s="392"/>
      <c r="G19" s="272"/>
      <c r="H19" s="272"/>
      <c r="I19" s="392"/>
    </row>
    <row r="21" spans="1:15">
      <c r="A21" s="129" t="s">
        <v>1160</v>
      </c>
    </row>
    <row r="22" spans="1:15">
      <c r="A22" s="129"/>
    </row>
    <row r="23" spans="1:15" ht="26.4">
      <c r="A23" s="128" t="s">
        <v>301</v>
      </c>
      <c r="C23" s="1293" t="s">
        <v>1168</v>
      </c>
    </row>
    <row r="24" spans="1:15" ht="15">
      <c r="A24" s="496">
        <v>350.2</v>
      </c>
      <c r="C24" s="1294"/>
      <c r="F24" s="494"/>
      <c r="G24" s="511"/>
      <c r="H24" s="495"/>
    </row>
    <row r="25" spans="1:15" ht="15">
      <c r="A25" s="496">
        <v>352</v>
      </c>
      <c r="C25" s="1294">
        <v>2.4E-2</v>
      </c>
      <c r="F25" s="494"/>
      <c r="G25" s="511"/>
      <c r="H25" s="495"/>
    </row>
    <row r="26" spans="1:15" ht="15">
      <c r="A26" s="496">
        <v>353.1</v>
      </c>
      <c r="C26" s="1294">
        <v>1.9400000000000001E-2</v>
      </c>
      <c r="F26" s="494"/>
      <c r="G26" s="511"/>
      <c r="H26" s="495"/>
    </row>
    <row r="27" spans="1:15" ht="15">
      <c r="A27" s="496">
        <v>353.4</v>
      </c>
      <c r="C27" s="1294">
        <v>9.5000000000000001E-2</v>
      </c>
      <c r="F27" s="494"/>
      <c r="G27" s="511"/>
      <c r="H27" s="495"/>
    </row>
    <row r="28" spans="1:15" ht="15">
      <c r="A28" s="496">
        <v>354</v>
      </c>
      <c r="C28" s="1294">
        <v>1.4200000000000001E-2</v>
      </c>
      <c r="F28" s="494"/>
      <c r="G28" s="511"/>
      <c r="H28" s="495"/>
    </row>
    <row r="29" spans="1:15" ht="15">
      <c r="A29" s="496">
        <v>355</v>
      </c>
      <c r="C29" s="1294">
        <v>2.3099999999999999E-2</v>
      </c>
      <c r="F29" s="494"/>
      <c r="G29" s="511"/>
      <c r="H29" s="495"/>
    </row>
    <row r="30" spans="1:15" ht="15">
      <c r="A30" s="496">
        <v>356.1</v>
      </c>
      <c r="C30" s="1294">
        <v>2.7E-2</v>
      </c>
      <c r="F30" s="494"/>
      <c r="G30" s="511"/>
      <c r="H30" s="495"/>
    </row>
    <row r="31" spans="1:15" ht="15">
      <c r="A31" s="510">
        <v>356.2</v>
      </c>
      <c r="C31" s="1294">
        <v>9.4999999999999998E-3</v>
      </c>
      <c r="F31" s="494"/>
      <c r="G31" s="511"/>
      <c r="H31" s="495"/>
    </row>
    <row r="32" spans="1:15">
      <c r="A32" s="553" t="s">
        <v>1169</v>
      </c>
      <c r="B32" s="131"/>
      <c r="C32" s="1291" t="s">
        <v>1198</v>
      </c>
      <c r="D32" s="131"/>
      <c r="E32" s="131"/>
    </row>
    <row r="33" spans="1:5" ht="12.75" customHeight="1">
      <c r="A33" s="553" t="s">
        <v>1170</v>
      </c>
      <c r="B33" s="131"/>
      <c r="C33" s="1292" t="s">
        <v>1171</v>
      </c>
      <c r="D33" s="551"/>
      <c r="E33" s="551"/>
    </row>
    <row r="34" spans="1:5" ht="12.75" customHeight="1">
      <c r="A34" s="552">
        <v>391.1</v>
      </c>
      <c r="B34" s="551"/>
      <c r="C34" s="1292">
        <v>4.19E-2</v>
      </c>
      <c r="D34" s="551"/>
      <c r="E34" s="551"/>
    </row>
    <row r="35" spans="1:5">
      <c r="A35" s="510">
        <v>391.2</v>
      </c>
      <c r="C35" s="1294">
        <v>0.1091</v>
      </c>
    </row>
    <row r="36" spans="1:5">
      <c r="A36" s="510">
        <v>391.3</v>
      </c>
      <c r="C36" s="1294">
        <v>5.0299999999999997E-2</v>
      </c>
    </row>
    <row r="37" spans="1:5">
      <c r="A37" s="510">
        <v>391.4</v>
      </c>
      <c r="C37" s="1294">
        <v>0.2</v>
      </c>
    </row>
    <row r="38" spans="1:5">
      <c r="A38" s="510">
        <v>392.1</v>
      </c>
      <c r="C38" s="1294">
        <v>0.1143</v>
      </c>
    </row>
    <row r="39" spans="1:5">
      <c r="A39" s="510">
        <v>392.2</v>
      </c>
      <c r="C39" s="1294">
        <v>6.9599999999999995E-2</v>
      </c>
    </row>
    <row r="40" spans="1:5">
      <c r="A40" s="510">
        <v>392.3</v>
      </c>
      <c r="C40" s="1294">
        <v>1.12E-2</v>
      </c>
    </row>
    <row r="41" spans="1:5">
      <c r="A41" s="510">
        <v>392.4</v>
      </c>
      <c r="C41" s="1294">
        <v>4.4400000000000002E-2</v>
      </c>
    </row>
    <row r="42" spans="1:5">
      <c r="A42" s="510">
        <v>392.5</v>
      </c>
      <c r="C42" s="1294">
        <v>0.2039</v>
      </c>
    </row>
    <row r="43" spans="1:5">
      <c r="A43" s="510">
        <v>392.6</v>
      </c>
      <c r="C43" s="1294">
        <v>5.33E-2</v>
      </c>
    </row>
    <row r="44" spans="1:5">
      <c r="A44" s="510">
        <v>393</v>
      </c>
      <c r="C44" s="1294">
        <v>5.3400000000000003E-2</v>
      </c>
    </row>
    <row r="45" spans="1:5">
      <c r="A45" s="510">
        <v>394</v>
      </c>
      <c r="C45" s="1294">
        <v>3.8399999999999997E-2</v>
      </c>
    </row>
    <row r="46" spans="1:5">
      <c r="A46" s="510">
        <v>395</v>
      </c>
      <c r="C46" s="1294">
        <v>3.2300000000000002E-2</v>
      </c>
    </row>
    <row r="47" spans="1:5">
      <c r="A47" s="510">
        <v>396</v>
      </c>
      <c r="C47" s="1294">
        <v>4.1700000000000001E-2</v>
      </c>
    </row>
    <row r="48" spans="1:5">
      <c r="A48" s="510">
        <v>397</v>
      </c>
      <c r="C48" s="1294">
        <v>6.88E-2</v>
      </c>
    </row>
    <row r="49" spans="1:9">
      <c r="A49" s="510">
        <v>398</v>
      </c>
      <c r="C49" s="1294">
        <v>4.8899999999999999E-2</v>
      </c>
    </row>
    <row r="50" spans="1:9">
      <c r="A50" s="510"/>
      <c r="C50" s="1291"/>
    </row>
    <row r="51" spans="1:9">
      <c r="A51" s="510"/>
      <c r="C51" s="1291"/>
    </row>
    <row r="52" spans="1:9">
      <c r="A52" s="1003" t="s">
        <v>790</v>
      </c>
      <c r="B52" s="1002" t="s">
        <v>794</v>
      </c>
      <c r="C52" s="1002"/>
      <c r="D52" s="1002"/>
      <c r="E52" s="1002"/>
      <c r="F52" s="1002"/>
      <c r="G52" s="1002"/>
      <c r="H52" s="1002"/>
      <c r="I52" s="1002"/>
    </row>
    <row r="53" spans="1:9" ht="13.5" customHeight="1">
      <c r="A53" s="1295" t="s">
        <v>20</v>
      </c>
      <c r="B53" s="128" t="s">
        <v>1172</v>
      </c>
    </row>
  </sheetData>
  <customSheetViews>
    <customSheetView guid="{B991F324-919F-4749-8E3C-A09B2FA7BB10}" scale="80" showPageBreaks="1" printArea="1" view="pageBreakPreview" topLeftCell="A2">
      <selection activeCell="E43" sqref="E43"/>
      <pageMargins left="0.7" right="0.7" top="0.75" bottom="0.75" header="0.3" footer="0.3"/>
      <pageSetup scale="60" orientation="portrait" r:id="rId1"/>
      <headerFooter alignWithMargins="0"/>
    </customSheetView>
    <customSheetView guid="{901B528B-D65D-48CA-A638-FD9B4E5BB6D4}" scale="80" showPageBreaks="1" printArea="1" view="pageBreakPreview" topLeftCell="A2">
      <selection activeCell="E43" sqref="E43"/>
      <pageMargins left="0.7" right="0.7" top="0.75" bottom="0.75" header="0.3" footer="0.3"/>
      <pageSetup scale="60" orientation="portrait" r:id="rId2"/>
      <headerFooter alignWithMargins="0"/>
    </customSheetView>
    <customSheetView guid="{0DE222E8-ADD6-4F4B-9601-960D8109381F}" scale="80" showPageBreaks="1" printArea="1" view="pageBreakPreview">
      <pageMargins left="0.7" right="0.7" top="0.75" bottom="0.75" header="0.3" footer="0.3"/>
      <pageSetup scale="60" orientation="portrait" r:id="rId3"/>
      <headerFooter alignWithMargins="0"/>
    </customSheetView>
  </customSheetViews>
  <mergeCells count="1">
    <mergeCell ref="A12:C12"/>
  </mergeCells>
  <pageMargins left="0.7" right="0.7" top="0.75" bottom="0.75" header="0.3" footer="0.3"/>
  <pageSetup scale="60" orientation="portrait" r:id="rId4"/>
  <headerFooter alignWithMargins="0"/>
  <ignoredErrors>
    <ignoredError sqref="A53"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Z148"/>
  <sheetViews>
    <sheetView view="pageBreakPreview" zoomScale="60" zoomScaleNormal="70" workbookViewId="0">
      <selection activeCell="B35" sqref="B35"/>
    </sheetView>
  </sheetViews>
  <sheetFormatPr defaultColWidth="13.36328125" defaultRowHeight="15"/>
  <cols>
    <col min="1" max="1" width="3.1796875" style="554" customWidth="1"/>
    <col min="2" max="2" width="31.90625" style="554" customWidth="1"/>
    <col min="3" max="3" width="10" style="554" customWidth="1"/>
    <col min="4" max="4" width="16.453125" style="554" customWidth="1"/>
    <col min="5" max="6" width="3.1796875" style="554" customWidth="1"/>
    <col min="7" max="7" width="13.54296875" style="554" bestFit="1" customWidth="1"/>
    <col min="8" max="8" width="1.1796875" style="554" customWidth="1"/>
    <col min="9" max="9" width="20.36328125" style="554" customWidth="1"/>
    <col min="10" max="10" width="1.453125" style="554" customWidth="1"/>
    <col min="11" max="11" width="20.81640625" style="554" customWidth="1"/>
    <col min="12" max="12" width="1.90625" style="554" customWidth="1"/>
    <col min="13" max="13" width="19.90625" style="554" customWidth="1"/>
    <col min="14" max="14" width="1.90625" style="554" customWidth="1"/>
    <col min="15" max="15" width="13.54296875" style="554" bestFit="1" customWidth="1"/>
    <col min="16" max="16" width="1.90625" style="554" customWidth="1"/>
    <col min="17" max="17" width="21.90625" style="554" customWidth="1"/>
    <col min="18" max="18" width="1.54296875" style="554" customWidth="1"/>
    <col min="19" max="19" width="20.90625" style="554" customWidth="1"/>
    <col min="20" max="20" width="1.81640625" style="554" customWidth="1"/>
    <col min="21" max="21" width="14.90625" style="554" customWidth="1"/>
    <col min="22" max="22" width="1.90625" style="554" customWidth="1"/>
    <col min="23" max="23" width="15.08984375" style="554" customWidth="1"/>
    <col min="24" max="24" width="1.453125" style="554" customWidth="1"/>
    <col min="25" max="25" width="20.08984375" style="554" customWidth="1"/>
    <col min="26" max="26" width="4.453125" style="554" customWidth="1"/>
    <col min="27" max="27" width="16.81640625" style="554" customWidth="1"/>
    <col min="28" max="257" width="13.36328125" style="554"/>
    <col min="258" max="258" width="14.453125" style="554" customWidth="1"/>
    <col min="259" max="259" width="13.453125" style="554" bestFit="1" customWidth="1"/>
    <col min="260" max="260" width="14.36328125" style="554" bestFit="1" customWidth="1"/>
    <col min="261" max="262" width="13.36328125" style="554"/>
    <col min="263" max="263" width="13.453125" style="554" bestFit="1" customWidth="1"/>
    <col min="264" max="264" width="13.36328125" style="554"/>
    <col min="265" max="265" width="13.453125" style="554" bestFit="1" customWidth="1"/>
    <col min="266" max="266" width="13.36328125" style="554"/>
    <col min="267" max="269" width="13.453125" style="554" bestFit="1" customWidth="1"/>
    <col min="270" max="270" width="13.36328125" style="554"/>
    <col min="271" max="271" width="13.453125" style="554" bestFit="1" customWidth="1"/>
    <col min="272" max="272" width="13.36328125" style="554"/>
    <col min="273" max="273" width="14.1796875" style="554" bestFit="1" customWidth="1"/>
    <col min="274" max="274" width="13.36328125" style="554"/>
    <col min="275" max="275" width="13.453125" style="554" bestFit="1" customWidth="1"/>
    <col min="276" max="513" width="13.36328125" style="554"/>
    <col min="514" max="514" width="14.453125" style="554" customWidth="1"/>
    <col min="515" max="515" width="13.453125" style="554" bestFit="1" customWidth="1"/>
    <col min="516" max="516" width="14.36328125" style="554" bestFit="1" customWidth="1"/>
    <col min="517" max="518" width="13.36328125" style="554"/>
    <col min="519" max="519" width="13.453125" style="554" bestFit="1" customWidth="1"/>
    <col min="520" max="520" width="13.36328125" style="554"/>
    <col min="521" max="521" width="13.453125" style="554" bestFit="1" customWidth="1"/>
    <col min="522" max="522" width="13.36328125" style="554"/>
    <col min="523" max="525" width="13.453125" style="554" bestFit="1" customWidth="1"/>
    <col min="526" max="526" width="13.36328125" style="554"/>
    <col min="527" max="527" width="13.453125" style="554" bestFit="1" customWidth="1"/>
    <col min="528" max="528" width="13.36328125" style="554"/>
    <col min="529" max="529" width="14.1796875" style="554" bestFit="1" customWidth="1"/>
    <col min="530" max="530" width="13.36328125" style="554"/>
    <col min="531" max="531" width="13.453125" style="554" bestFit="1" customWidth="1"/>
    <col min="532" max="769" width="13.36328125" style="554"/>
    <col min="770" max="770" width="14.453125" style="554" customWidth="1"/>
    <col min="771" max="771" width="13.453125" style="554" bestFit="1" customWidth="1"/>
    <col min="772" max="772" width="14.36328125" style="554" bestFit="1" customWidth="1"/>
    <col min="773" max="774" width="13.36328125" style="554"/>
    <col min="775" max="775" width="13.453125" style="554" bestFit="1" customWidth="1"/>
    <col min="776" max="776" width="13.36328125" style="554"/>
    <col min="777" max="777" width="13.453125" style="554" bestFit="1" customWidth="1"/>
    <col min="778" max="778" width="13.36328125" style="554"/>
    <col min="779" max="781" width="13.453125" style="554" bestFit="1" customWidth="1"/>
    <col min="782" max="782" width="13.36328125" style="554"/>
    <col min="783" max="783" width="13.453125" style="554" bestFit="1" customWidth="1"/>
    <col min="784" max="784" width="13.36328125" style="554"/>
    <col min="785" max="785" width="14.1796875" style="554" bestFit="1" customWidth="1"/>
    <col min="786" max="786" width="13.36328125" style="554"/>
    <col min="787" max="787" width="13.453125" style="554" bestFit="1" customWidth="1"/>
    <col min="788" max="1025" width="13.36328125" style="554"/>
    <col min="1026" max="1026" width="14.453125" style="554" customWidth="1"/>
    <col min="1027" max="1027" width="13.453125" style="554" bestFit="1" customWidth="1"/>
    <col min="1028" max="1028" width="14.36328125" style="554" bestFit="1" customWidth="1"/>
    <col min="1029" max="1030" width="13.36328125" style="554"/>
    <col min="1031" max="1031" width="13.453125" style="554" bestFit="1" customWidth="1"/>
    <col min="1032" max="1032" width="13.36328125" style="554"/>
    <col min="1033" max="1033" width="13.453125" style="554" bestFit="1" customWidth="1"/>
    <col min="1034" max="1034" width="13.36328125" style="554"/>
    <col min="1035" max="1037" width="13.453125" style="554" bestFit="1" customWidth="1"/>
    <col min="1038" max="1038" width="13.36328125" style="554"/>
    <col min="1039" max="1039" width="13.453125" style="554" bestFit="1" customWidth="1"/>
    <col min="1040" max="1040" width="13.36328125" style="554"/>
    <col min="1041" max="1041" width="14.1796875" style="554" bestFit="1" customWidth="1"/>
    <col min="1042" max="1042" width="13.36328125" style="554"/>
    <col min="1043" max="1043" width="13.453125" style="554" bestFit="1" customWidth="1"/>
    <col min="1044" max="1281" width="13.36328125" style="554"/>
    <col min="1282" max="1282" width="14.453125" style="554" customWidth="1"/>
    <col min="1283" max="1283" width="13.453125" style="554" bestFit="1" customWidth="1"/>
    <col min="1284" max="1284" width="14.36328125" style="554" bestFit="1" customWidth="1"/>
    <col min="1285" max="1286" width="13.36328125" style="554"/>
    <col min="1287" max="1287" width="13.453125" style="554" bestFit="1" customWidth="1"/>
    <col min="1288" max="1288" width="13.36328125" style="554"/>
    <col min="1289" max="1289" width="13.453125" style="554" bestFit="1" customWidth="1"/>
    <col min="1290" max="1290" width="13.36328125" style="554"/>
    <col min="1291" max="1293" width="13.453125" style="554" bestFit="1" customWidth="1"/>
    <col min="1294" max="1294" width="13.36328125" style="554"/>
    <col min="1295" max="1295" width="13.453125" style="554" bestFit="1" customWidth="1"/>
    <col min="1296" max="1296" width="13.36328125" style="554"/>
    <col min="1297" max="1297" width="14.1796875" style="554" bestFit="1" customWidth="1"/>
    <col min="1298" max="1298" width="13.36328125" style="554"/>
    <col min="1299" max="1299" width="13.453125" style="554" bestFit="1" customWidth="1"/>
    <col min="1300" max="1537" width="13.36328125" style="554"/>
    <col min="1538" max="1538" width="14.453125" style="554" customWidth="1"/>
    <col min="1539" max="1539" width="13.453125" style="554" bestFit="1" customWidth="1"/>
    <col min="1540" max="1540" width="14.36328125" style="554" bestFit="1" customWidth="1"/>
    <col min="1541" max="1542" width="13.36328125" style="554"/>
    <col min="1543" max="1543" width="13.453125" style="554" bestFit="1" customWidth="1"/>
    <col min="1544" max="1544" width="13.36328125" style="554"/>
    <col min="1545" max="1545" width="13.453125" style="554" bestFit="1" customWidth="1"/>
    <col min="1546" max="1546" width="13.36328125" style="554"/>
    <col min="1547" max="1549" width="13.453125" style="554" bestFit="1" customWidth="1"/>
    <col min="1550" max="1550" width="13.36328125" style="554"/>
    <col min="1551" max="1551" width="13.453125" style="554" bestFit="1" customWidth="1"/>
    <col min="1552" max="1552" width="13.36328125" style="554"/>
    <col min="1553" max="1553" width="14.1796875" style="554" bestFit="1" customWidth="1"/>
    <col min="1554" max="1554" width="13.36328125" style="554"/>
    <col min="1555" max="1555" width="13.453125" style="554" bestFit="1" customWidth="1"/>
    <col min="1556" max="1793" width="13.36328125" style="554"/>
    <col min="1794" max="1794" width="14.453125" style="554" customWidth="1"/>
    <col min="1795" max="1795" width="13.453125" style="554" bestFit="1" customWidth="1"/>
    <col min="1796" max="1796" width="14.36328125" style="554" bestFit="1" customWidth="1"/>
    <col min="1797" max="1798" width="13.36328125" style="554"/>
    <col min="1799" max="1799" width="13.453125" style="554" bestFit="1" customWidth="1"/>
    <col min="1800" max="1800" width="13.36328125" style="554"/>
    <col min="1801" max="1801" width="13.453125" style="554" bestFit="1" customWidth="1"/>
    <col min="1802" max="1802" width="13.36328125" style="554"/>
    <col min="1803" max="1805" width="13.453125" style="554" bestFit="1" customWidth="1"/>
    <col min="1806" max="1806" width="13.36328125" style="554"/>
    <col min="1807" max="1807" width="13.453125" style="554" bestFit="1" customWidth="1"/>
    <col min="1808" max="1808" width="13.36328125" style="554"/>
    <col min="1809" max="1809" width="14.1796875" style="554" bestFit="1" customWidth="1"/>
    <col min="1810" max="1810" width="13.36328125" style="554"/>
    <col min="1811" max="1811" width="13.453125" style="554" bestFit="1" customWidth="1"/>
    <col min="1812" max="2049" width="13.36328125" style="554"/>
    <col min="2050" max="2050" width="14.453125" style="554" customWidth="1"/>
    <col min="2051" max="2051" width="13.453125" style="554" bestFit="1" customWidth="1"/>
    <col min="2052" max="2052" width="14.36328125" style="554" bestFit="1" customWidth="1"/>
    <col min="2053" max="2054" width="13.36328125" style="554"/>
    <col min="2055" max="2055" width="13.453125" style="554" bestFit="1" customWidth="1"/>
    <col min="2056" max="2056" width="13.36328125" style="554"/>
    <col min="2057" max="2057" width="13.453125" style="554" bestFit="1" customWidth="1"/>
    <col min="2058" max="2058" width="13.36328125" style="554"/>
    <col min="2059" max="2061" width="13.453125" style="554" bestFit="1" customWidth="1"/>
    <col min="2062" max="2062" width="13.36328125" style="554"/>
    <col min="2063" max="2063" width="13.453125" style="554" bestFit="1" customWidth="1"/>
    <col min="2064" max="2064" width="13.36328125" style="554"/>
    <col min="2065" max="2065" width="14.1796875" style="554" bestFit="1" customWidth="1"/>
    <col min="2066" max="2066" width="13.36328125" style="554"/>
    <col min="2067" max="2067" width="13.453125" style="554" bestFit="1" customWidth="1"/>
    <col min="2068" max="2305" width="13.36328125" style="554"/>
    <col min="2306" max="2306" width="14.453125" style="554" customWidth="1"/>
    <col min="2307" max="2307" width="13.453125" style="554" bestFit="1" customWidth="1"/>
    <col min="2308" max="2308" width="14.36328125" style="554" bestFit="1" customWidth="1"/>
    <col min="2309" max="2310" width="13.36328125" style="554"/>
    <col min="2311" max="2311" width="13.453125" style="554" bestFit="1" customWidth="1"/>
    <col min="2312" max="2312" width="13.36328125" style="554"/>
    <col min="2313" max="2313" width="13.453125" style="554" bestFit="1" customWidth="1"/>
    <col min="2314" max="2314" width="13.36328125" style="554"/>
    <col min="2315" max="2317" width="13.453125" style="554" bestFit="1" customWidth="1"/>
    <col min="2318" max="2318" width="13.36328125" style="554"/>
    <col min="2319" max="2319" width="13.453125" style="554" bestFit="1" customWidth="1"/>
    <col min="2320" max="2320" width="13.36328125" style="554"/>
    <col min="2321" max="2321" width="14.1796875" style="554" bestFit="1" customWidth="1"/>
    <col min="2322" max="2322" width="13.36328125" style="554"/>
    <col min="2323" max="2323" width="13.453125" style="554" bestFit="1" customWidth="1"/>
    <col min="2324" max="2561" width="13.36328125" style="554"/>
    <col min="2562" max="2562" width="14.453125" style="554" customWidth="1"/>
    <col min="2563" max="2563" width="13.453125" style="554" bestFit="1" customWidth="1"/>
    <col min="2564" max="2564" width="14.36328125" style="554" bestFit="1" customWidth="1"/>
    <col min="2565" max="2566" width="13.36328125" style="554"/>
    <col min="2567" max="2567" width="13.453125" style="554" bestFit="1" customWidth="1"/>
    <col min="2568" max="2568" width="13.36328125" style="554"/>
    <col min="2569" max="2569" width="13.453125" style="554" bestFit="1" customWidth="1"/>
    <col min="2570" max="2570" width="13.36328125" style="554"/>
    <col min="2571" max="2573" width="13.453125" style="554" bestFit="1" customWidth="1"/>
    <col min="2574" max="2574" width="13.36328125" style="554"/>
    <col min="2575" max="2575" width="13.453125" style="554" bestFit="1" customWidth="1"/>
    <col min="2576" max="2576" width="13.36328125" style="554"/>
    <col min="2577" max="2577" width="14.1796875" style="554" bestFit="1" customWidth="1"/>
    <col min="2578" max="2578" width="13.36328125" style="554"/>
    <col min="2579" max="2579" width="13.453125" style="554" bestFit="1" customWidth="1"/>
    <col min="2580" max="2817" width="13.36328125" style="554"/>
    <col min="2818" max="2818" width="14.453125" style="554" customWidth="1"/>
    <col min="2819" max="2819" width="13.453125" style="554" bestFit="1" customWidth="1"/>
    <col min="2820" max="2820" width="14.36328125" style="554" bestFit="1" customWidth="1"/>
    <col min="2821" max="2822" width="13.36328125" style="554"/>
    <col min="2823" max="2823" width="13.453125" style="554" bestFit="1" customWidth="1"/>
    <col min="2824" max="2824" width="13.36328125" style="554"/>
    <col min="2825" max="2825" width="13.453125" style="554" bestFit="1" customWidth="1"/>
    <col min="2826" max="2826" width="13.36328125" style="554"/>
    <col min="2827" max="2829" width="13.453125" style="554" bestFit="1" customWidth="1"/>
    <col min="2830" max="2830" width="13.36328125" style="554"/>
    <col min="2831" max="2831" width="13.453125" style="554" bestFit="1" customWidth="1"/>
    <col min="2832" max="2832" width="13.36328125" style="554"/>
    <col min="2833" max="2833" width="14.1796875" style="554" bestFit="1" customWidth="1"/>
    <col min="2834" max="2834" width="13.36328125" style="554"/>
    <col min="2835" max="2835" width="13.453125" style="554" bestFit="1" customWidth="1"/>
    <col min="2836" max="3073" width="13.36328125" style="554"/>
    <col min="3074" max="3074" width="14.453125" style="554" customWidth="1"/>
    <col min="3075" max="3075" width="13.453125" style="554" bestFit="1" customWidth="1"/>
    <col min="3076" max="3076" width="14.36328125" style="554" bestFit="1" customWidth="1"/>
    <col min="3077" max="3078" width="13.36328125" style="554"/>
    <col min="3079" max="3079" width="13.453125" style="554" bestFit="1" customWidth="1"/>
    <col min="3080" max="3080" width="13.36328125" style="554"/>
    <col min="3081" max="3081" width="13.453125" style="554" bestFit="1" customWidth="1"/>
    <col min="3082" max="3082" width="13.36328125" style="554"/>
    <col min="3083" max="3085" width="13.453125" style="554" bestFit="1" customWidth="1"/>
    <col min="3086" max="3086" width="13.36328125" style="554"/>
    <col min="3087" max="3087" width="13.453125" style="554" bestFit="1" customWidth="1"/>
    <col min="3088" max="3088" width="13.36328125" style="554"/>
    <col min="3089" max="3089" width="14.1796875" style="554" bestFit="1" customWidth="1"/>
    <col min="3090" max="3090" width="13.36328125" style="554"/>
    <col min="3091" max="3091" width="13.453125" style="554" bestFit="1" customWidth="1"/>
    <col min="3092" max="3329" width="13.36328125" style="554"/>
    <col min="3330" max="3330" width="14.453125" style="554" customWidth="1"/>
    <col min="3331" max="3331" width="13.453125" style="554" bestFit="1" customWidth="1"/>
    <col min="3332" max="3332" width="14.36328125" style="554" bestFit="1" customWidth="1"/>
    <col min="3333" max="3334" width="13.36328125" style="554"/>
    <col min="3335" max="3335" width="13.453125" style="554" bestFit="1" customWidth="1"/>
    <col min="3336" max="3336" width="13.36328125" style="554"/>
    <col min="3337" max="3337" width="13.453125" style="554" bestFit="1" customWidth="1"/>
    <col min="3338" max="3338" width="13.36328125" style="554"/>
    <col min="3339" max="3341" width="13.453125" style="554" bestFit="1" customWidth="1"/>
    <col min="3342" max="3342" width="13.36328125" style="554"/>
    <col min="3343" max="3343" width="13.453125" style="554" bestFit="1" customWidth="1"/>
    <col min="3344" max="3344" width="13.36328125" style="554"/>
    <col min="3345" max="3345" width="14.1796875" style="554" bestFit="1" customWidth="1"/>
    <col min="3346" max="3346" width="13.36328125" style="554"/>
    <col min="3347" max="3347" width="13.453125" style="554" bestFit="1" customWidth="1"/>
    <col min="3348" max="3585" width="13.36328125" style="554"/>
    <col min="3586" max="3586" width="14.453125" style="554" customWidth="1"/>
    <col min="3587" max="3587" width="13.453125" style="554" bestFit="1" customWidth="1"/>
    <col min="3588" max="3588" width="14.36328125" style="554" bestFit="1" customWidth="1"/>
    <col min="3589" max="3590" width="13.36328125" style="554"/>
    <col min="3591" max="3591" width="13.453125" style="554" bestFit="1" customWidth="1"/>
    <col min="3592" max="3592" width="13.36328125" style="554"/>
    <col min="3593" max="3593" width="13.453125" style="554" bestFit="1" customWidth="1"/>
    <col min="3594" max="3594" width="13.36328125" style="554"/>
    <col min="3595" max="3597" width="13.453125" style="554" bestFit="1" customWidth="1"/>
    <col min="3598" max="3598" width="13.36328125" style="554"/>
    <col min="3599" max="3599" width="13.453125" style="554" bestFit="1" customWidth="1"/>
    <col min="3600" max="3600" width="13.36328125" style="554"/>
    <col min="3601" max="3601" width="14.1796875" style="554" bestFit="1" customWidth="1"/>
    <col min="3602" max="3602" width="13.36328125" style="554"/>
    <col min="3603" max="3603" width="13.453125" style="554" bestFit="1" customWidth="1"/>
    <col min="3604" max="3841" width="13.36328125" style="554"/>
    <col min="3842" max="3842" width="14.453125" style="554" customWidth="1"/>
    <col min="3843" max="3843" width="13.453125" style="554" bestFit="1" customWidth="1"/>
    <col min="3844" max="3844" width="14.36328125" style="554" bestFit="1" customWidth="1"/>
    <col min="3845" max="3846" width="13.36328125" style="554"/>
    <col min="3847" max="3847" width="13.453125" style="554" bestFit="1" customWidth="1"/>
    <col min="3848" max="3848" width="13.36328125" style="554"/>
    <col min="3849" max="3849" width="13.453125" style="554" bestFit="1" customWidth="1"/>
    <col min="3850" max="3850" width="13.36328125" style="554"/>
    <col min="3851" max="3853" width="13.453125" style="554" bestFit="1" customWidth="1"/>
    <col min="3854" max="3854" width="13.36328125" style="554"/>
    <col min="3855" max="3855" width="13.453125" style="554" bestFit="1" customWidth="1"/>
    <col min="3856" max="3856" width="13.36328125" style="554"/>
    <col min="3857" max="3857" width="14.1796875" style="554" bestFit="1" customWidth="1"/>
    <col min="3858" max="3858" width="13.36328125" style="554"/>
    <col min="3859" max="3859" width="13.453125" style="554" bestFit="1" customWidth="1"/>
    <col min="3860" max="4097" width="13.36328125" style="554"/>
    <col min="4098" max="4098" width="14.453125" style="554" customWidth="1"/>
    <col min="4099" max="4099" width="13.453125" style="554" bestFit="1" customWidth="1"/>
    <col min="4100" max="4100" width="14.36328125" style="554" bestFit="1" customWidth="1"/>
    <col min="4101" max="4102" width="13.36328125" style="554"/>
    <col min="4103" max="4103" width="13.453125" style="554" bestFit="1" customWidth="1"/>
    <col min="4104" max="4104" width="13.36328125" style="554"/>
    <col min="4105" max="4105" width="13.453125" style="554" bestFit="1" customWidth="1"/>
    <col min="4106" max="4106" width="13.36328125" style="554"/>
    <col min="4107" max="4109" width="13.453125" style="554" bestFit="1" customWidth="1"/>
    <col min="4110" max="4110" width="13.36328125" style="554"/>
    <col min="4111" max="4111" width="13.453125" style="554" bestFit="1" customWidth="1"/>
    <col min="4112" max="4112" width="13.36328125" style="554"/>
    <col min="4113" max="4113" width="14.1796875" style="554" bestFit="1" customWidth="1"/>
    <col min="4114" max="4114" width="13.36328125" style="554"/>
    <col min="4115" max="4115" width="13.453125" style="554" bestFit="1" customWidth="1"/>
    <col min="4116" max="4353" width="13.36328125" style="554"/>
    <col min="4354" max="4354" width="14.453125" style="554" customWidth="1"/>
    <col min="4355" max="4355" width="13.453125" style="554" bestFit="1" customWidth="1"/>
    <col min="4356" max="4356" width="14.36328125" style="554" bestFit="1" customWidth="1"/>
    <col min="4357" max="4358" width="13.36328125" style="554"/>
    <col min="4359" max="4359" width="13.453125" style="554" bestFit="1" customWidth="1"/>
    <col min="4360" max="4360" width="13.36328125" style="554"/>
    <col min="4361" max="4361" width="13.453125" style="554" bestFit="1" customWidth="1"/>
    <col min="4362" max="4362" width="13.36328125" style="554"/>
    <col min="4363" max="4365" width="13.453125" style="554" bestFit="1" customWidth="1"/>
    <col min="4366" max="4366" width="13.36328125" style="554"/>
    <col min="4367" max="4367" width="13.453125" style="554" bestFit="1" customWidth="1"/>
    <col min="4368" max="4368" width="13.36328125" style="554"/>
    <col min="4369" max="4369" width="14.1796875" style="554" bestFit="1" customWidth="1"/>
    <col min="4370" max="4370" width="13.36328125" style="554"/>
    <col min="4371" max="4371" width="13.453125" style="554" bestFit="1" customWidth="1"/>
    <col min="4372" max="4609" width="13.36328125" style="554"/>
    <col min="4610" max="4610" width="14.453125" style="554" customWidth="1"/>
    <col min="4611" max="4611" width="13.453125" style="554" bestFit="1" customWidth="1"/>
    <col min="4612" max="4612" width="14.36328125" style="554" bestFit="1" customWidth="1"/>
    <col min="4613" max="4614" width="13.36328125" style="554"/>
    <col min="4615" max="4615" width="13.453125" style="554" bestFit="1" customWidth="1"/>
    <col min="4616" max="4616" width="13.36328125" style="554"/>
    <col min="4617" max="4617" width="13.453125" style="554" bestFit="1" customWidth="1"/>
    <col min="4618" max="4618" width="13.36328125" style="554"/>
    <col min="4619" max="4621" width="13.453125" style="554" bestFit="1" customWidth="1"/>
    <col min="4622" max="4622" width="13.36328125" style="554"/>
    <col min="4623" max="4623" width="13.453125" style="554" bestFit="1" customWidth="1"/>
    <col min="4624" max="4624" width="13.36328125" style="554"/>
    <col min="4625" max="4625" width="14.1796875" style="554" bestFit="1" customWidth="1"/>
    <col min="4626" max="4626" width="13.36328125" style="554"/>
    <col min="4627" max="4627" width="13.453125" style="554" bestFit="1" customWidth="1"/>
    <col min="4628" max="4865" width="13.36328125" style="554"/>
    <col min="4866" max="4866" width="14.453125" style="554" customWidth="1"/>
    <col min="4867" max="4867" width="13.453125" style="554" bestFit="1" customWidth="1"/>
    <col min="4868" max="4868" width="14.36328125" style="554" bestFit="1" customWidth="1"/>
    <col min="4869" max="4870" width="13.36328125" style="554"/>
    <col min="4871" max="4871" width="13.453125" style="554" bestFit="1" customWidth="1"/>
    <col min="4872" max="4872" width="13.36328125" style="554"/>
    <col min="4873" max="4873" width="13.453125" style="554" bestFit="1" customWidth="1"/>
    <col min="4874" max="4874" width="13.36328125" style="554"/>
    <col min="4875" max="4877" width="13.453125" style="554" bestFit="1" customWidth="1"/>
    <col min="4878" max="4878" width="13.36328125" style="554"/>
    <col min="4879" max="4879" width="13.453125" style="554" bestFit="1" customWidth="1"/>
    <col min="4880" max="4880" width="13.36328125" style="554"/>
    <col min="4881" max="4881" width="14.1796875" style="554" bestFit="1" customWidth="1"/>
    <col min="4882" max="4882" width="13.36328125" style="554"/>
    <col min="4883" max="4883" width="13.453125" style="554" bestFit="1" customWidth="1"/>
    <col min="4884" max="5121" width="13.36328125" style="554"/>
    <col min="5122" max="5122" width="14.453125" style="554" customWidth="1"/>
    <col min="5123" max="5123" width="13.453125" style="554" bestFit="1" customWidth="1"/>
    <col min="5124" max="5124" width="14.36328125" style="554" bestFit="1" customWidth="1"/>
    <col min="5125" max="5126" width="13.36328125" style="554"/>
    <col min="5127" max="5127" width="13.453125" style="554" bestFit="1" customWidth="1"/>
    <col min="5128" max="5128" width="13.36328125" style="554"/>
    <col min="5129" max="5129" width="13.453125" style="554" bestFit="1" customWidth="1"/>
    <col min="5130" max="5130" width="13.36328125" style="554"/>
    <col min="5131" max="5133" width="13.453125" style="554" bestFit="1" customWidth="1"/>
    <col min="5134" max="5134" width="13.36328125" style="554"/>
    <col min="5135" max="5135" width="13.453125" style="554" bestFit="1" customWidth="1"/>
    <col min="5136" max="5136" width="13.36328125" style="554"/>
    <col min="5137" max="5137" width="14.1796875" style="554" bestFit="1" customWidth="1"/>
    <col min="5138" max="5138" width="13.36328125" style="554"/>
    <col min="5139" max="5139" width="13.453125" style="554" bestFit="1" customWidth="1"/>
    <col min="5140" max="5377" width="13.36328125" style="554"/>
    <col min="5378" max="5378" width="14.453125" style="554" customWidth="1"/>
    <col min="5379" max="5379" width="13.453125" style="554" bestFit="1" customWidth="1"/>
    <col min="5380" max="5380" width="14.36328125" style="554" bestFit="1" customWidth="1"/>
    <col min="5381" max="5382" width="13.36328125" style="554"/>
    <col min="5383" max="5383" width="13.453125" style="554" bestFit="1" customWidth="1"/>
    <col min="5384" max="5384" width="13.36328125" style="554"/>
    <col min="5385" max="5385" width="13.453125" style="554" bestFit="1" customWidth="1"/>
    <col min="5386" max="5386" width="13.36328125" style="554"/>
    <col min="5387" max="5389" width="13.453125" style="554" bestFit="1" customWidth="1"/>
    <col min="5390" max="5390" width="13.36328125" style="554"/>
    <col min="5391" max="5391" width="13.453125" style="554" bestFit="1" customWidth="1"/>
    <col min="5392" max="5392" width="13.36328125" style="554"/>
    <col min="5393" max="5393" width="14.1796875" style="554" bestFit="1" customWidth="1"/>
    <col min="5394" max="5394" width="13.36328125" style="554"/>
    <col min="5395" max="5395" width="13.453125" style="554" bestFit="1" customWidth="1"/>
    <col min="5396" max="5633" width="13.36328125" style="554"/>
    <col min="5634" max="5634" width="14.453125" style="554" customWidth="1"/>
    <col min="5635" max="5635" width="13.453125" style="554" bestFit="1" customWidth="1"/>
    <col min="5636" max="5636" width="14.36328125" style="554" bestFit="1" customWidth="1"/>
    <col min="5637" max="5638" width="13.36328125" style="554"/>
    <col min="5639" max="5639" width="13.453125" style="554" bestFit="1" customWidth="1"/>
    <col min="5640" max="5640" width="13.36328125" style="554"/>
    <col min="5641" max="5641" width="13.453125" style="554" bestFit="1" customWidth="1"/>
    <col min="5642" max="5642" width="13.36328125" style="554"/>
    <col min="5643" max="5645" width="13.453125" style="554" bestFit="1" customWidth="1"/>
    <col min="5646" max="5646" width="13.36328125" style="554"/>
    <col min="5647" max="5647" width="13.453125" style="554" bestFit="1" customWidth="1"/>
    <col min="5648" max="5648" width="13.36328125" style="554"/>
    <col min="5649" max="5649" width="14.1796875" style="554" bestFit="1" customWidth="1"/>
    <col min="5650" max="5650" width="13.36328125" style="554"/>
    <col min="5651" max="5651" width="13.453125" style="554" bestFit="1" customWidth="1"/>
    <col min="5652" max="5889" width="13.36328125" style="554"/>
    <col min="5890" max="5890" width="14.453125" style="554" customWidth="1"/>
    <col min="5891" max="5891" width="13.453125" style="554" bestFit="1" customWidth="1"/>
    <col min="5892" max="5892" width="14.36328125" style="554" bestFit="1" customWidth="1"/>
    <col min="5893" max="5894" width="13.36328125" style="554"/>
    <col min="5895" max="5895" width="13.453125" style="554" bestFit="1" customWidth="1"/>
    <col min="5896" max="5896" width="13.36328125" style="554"/>
    <col min="5897" max="5897" width="13.453125" style="554" bestFit="1" customWidth="1"/>
    <col min="5898" max="5898" width="13.36328125" style="554"/>
    <col min="5899" max="5901" width="13.453125" style="554" bestFit="1" customWidth="1"/>
    <col min="5902" max="5902" width="13.36328125" style="554"/>
    <col min="5903" max="5903" width="13.453125" style="554" bestFit="1" customWidth="1"/>
    <col min="5904" max="5904" width="13.36328125" style="554"/>
    <col min="5905" max="5905" width="14.1796875" style="554" bestFit="1" customWidth="1"/>
    <col min="5906" max="5906" width="13.36328125" style="554"/>
    <col min="5907" max="5907" width="13.453125" style="554" bestFit="1" customWidth="1"/>
    <col min="5908" max="6145" width="13.36328125" style="554"/>
    <col min="6146" max="6146" width="14.453125" style="554" customWidth="1"/>
    <col min="6147" max="6147" width="13.453125" style="554" bestFit="1" customWidth="1"/>
    <col min="6148" max="6148" width="14.36328125" style="554" bestFit="1" customWidth="1"/>
    <col min="6149" max="6150" width="13.36328125" style="554"/>
    <col min="6151" max="6151" width="13.453125" style="554" bestFit="1" customWidth="1"/>
    <col min="6152" max="6152" width="13.36328125" style="554"/>
    <col min="6153" max="6153" width="13.453125" style="554" bestFit="1" customWidth="1"/>
    <col min="6154" max="6154" width="13.36328125" style="554"/>
    <col min="6155" max="6157" width="13.453125" style="554" bestFit="1" customWidth="1"/>
    <col min="6158" max="6158" width="13.36328125" style="554"/>
    <col min="6159" max="6159" width="13.453125" style="554" bestFit="1" customWidth="1"/>
    <col min="6160" max="6160" width="13.36328125" style="554"/>
    <col min="6161" max="6161" width="14.1796875" style="554" bestFit="1" customWidth="1"/>
    <col min="6162" max="6162" width="13.36328125" style="554"/>
    <col min="6163" max="6163" width="13.453125" style="554" bestFit="1" customWidth="1"/>
    <col min="6164" max="6401" width="13.36328125" style="554"/>
    <col min="6402" max="6402" width="14.453125" style="554" customWidth="1"/>
    <col min="6403" max="6403" width="13.453125" style="554" bestFit="1" customWidth="1"/>
    <col min="6404" max="6404" width="14.36328125" style="554" bestFit="1" customWidth="1"/>
    <col min="6405" max="6406" width="13.36328125" style="554"/>
    <col min="6407" max="6407" width="13.453125" style="554" bestFit="1" customWidth="1"/>
    <col min="6408" max="6408" width="13.36328125" style="554"/>
    <col min="6409" max="6409" width="13.453125" style="554" bestFit="1" customWidth="1"/>
    <col min="6410" max="6410" width="13.36328125" style="554"/>
    <col min="6411" max="6413" width="13.453125" style="554" bestFit="1" customWidth="1"/>
    <col min="6414" max="6414" width="13.36328125" style="554"/>
    <col min="6415" max="6415" width="13.453125" style="554" bestFit="1" customWidth="1"/>
    <col min="6416" max="6416" width="13.36328125" style="554"/>
    <col min="6417" max="6417" width="14.1796875" style="554" bestFit="1" customWidth="1"/>
    <col min="6418" max="6418" width="13.36328125" style="554"/>
    <col min="6419" max="6419" width="13.453125" style="554" bestFit="1" customWidth="1"/>
    <col min="6420" max="6657" width="13.36328125" style="554"/>
    <col min="6658" max="6658" width="14.453125" style="554" customWidth="1"/>
    <col min="6659" max="6659" width="13.453125" style="554" bestFit="1" customWidth="1"/>
    <col min="6660" max="6660" width="14.36328125" style="554" bestFit="1" customWidth="1"/>
    <col min="6661" max="6662" width="13.36328125" style="554"/>
    <col min="6663" max="6663" width="13.453125" style="554" bestFit="1" customWidth="1"/>
    <col min="6664" max="6664" width="13.36328125" style="554"/>
    <col min="6665" max="6665" width="13.453125" style="554" bestFit="1" customWidth="1"/>
    <col min="6666" max="6666" width="13.36328125" style="554"/>
    <col min="6667" max="6669" width="13.453125" style="554" bestFit="1" customWidth="1"/>
    <col min="6670" max="6670" width="13.36328125" style="554"/>
    <col min="6671" max="6671" width="13.453125" style="554" bestFit="1" customWidth="1"/>
    <col min="6672" max="6672" width="13.36328125" style="554"/>
    <col min="6673" max="6673" width="14.1796875" style="554" bestFit="1" customWidth="1"/>
    <col min="6674" max="6674" width="13.36328125" style="554"/>
    <col min="6675" max="6675" width="13.453125" style="554" bestFit="1" customWidth="1"/>
    <col min="6676" max="6913" width="13.36328125" style="554"/>
    <col min="6914" max="6914" width="14.453125" style="554" customWidth="1"/>
    <col min="6915" max="6915" width="13.453125" style="554" bestFit="1" customWidth="1"/>
    <col min="6916" max="6916" width="14.36328125" style="554" bestFit="1" customWidth="1"/>
    <col min="6917" max="6918" width="13.36328125" style="554"/>
    <col min="6919" max="6919" width="13.453125" style="554" bestFit="1" customWidth="1"/>
    <col min="6920" max="6920" width="13.36328125" style="554"/>
    <col min="6921" max="6921" width="13.453125" style="554" bestFit="1" customWidth="1"/>
    <col min="6922" max="6922" width="13.36328125" style="554"/>
    <col min="6923" max="6925" width="13.453125" style="554" bestFit="1" customWidth="1"/>
    <col min="6926" max="6926" width="13.36328125" style="554"/>
    <col min="6927" max="6927" width="13.453125" style="554" bestFit="1" customWidth="1"/>
    <col min="6928" max="6928" width="13.36328125" style="554"/>
    <col min="6929" max="6929" width="14.1796875" style="554" bestFit="1" customWidth="1"/>
    <col min="6930" max="6930" width="13.36328125" style="554"/>
    <col min="6931" max="6931" width="13.453125" style="554" bestFit="1" customWidth="1"/>
    <col min="6932" max="7169" width="13.36328125" style="554"/>
    <col min="7170" max="7170" width="14.453125" style="554" customWidth="1"/>
    <col min="7171" max="7171" width="13.453125" style="554" bestFit="1" customWidth="1"/>
    <col min="7172" max="7172" width="14.36328125" style="554" bestFit="1" customWidth="1"/>
    <col min="7173" max="7174" width="13.36328125" style="554"/>
    <col min="7175" max="7175" width="13.453125" style="554" bestFit="1" customWidth="1"/>
    <col min="7176" max="7176" width="13.36328125" style="554"/>
    <col min="7177" max="7177" width="13.453125" style="554" bestFit="1" customWidth="1"/>
    <col min="7178" max="7178" width="13.36328125" style="554"/>
    <col min="7179" max="7181" width="13.453125" style="554" bestFit="1" customWidth="1"/>
    <col min="7182" max="7182" width="13.36328125" style="554"/>
    <col min="7183" max="7183" width="13.453125" style="554" bestFit="1" customWidth="1"/>
    <col min="7184" max="7184" width="13.36328125" style="554"/>
    <col min="7185" max="7185" width="14.1796875" style="554" bestFit="1" customWidth="1"/>
    <col min="7186" max="7186" width="13.36328125" style="554"/>
    <col min="7187" max="7187" width="13.453125" style="554" bestFit="1" customWidth="1"/>
    <col min="7188" max="7425" width="13.36328125" style="554"/>
    <col min="7426" max="7426" width="14.453125" style="554" customWidth="1"/>
    <col min="7427" max="7427" width="13.453125" style="554" bestFit="1" customWidth="1"/>
    <col min="7428" max="7428" width="14.36328125" style="554" bestFit="1" customWidth="1"/>
    <col min="7429" max="7430" width="13.36328125" style="554"/>
    <col min="7431" max="7431" width="13.453125" style="554" bestFit="1" customWidth="1"/>
    <col min="7432" max="7432" width="13.36328125" style="554"/>
    <col min="7433" max="7433" width="13.453125" style="554" bestFit="1" customWidth="1"/>
    <col min="7434" max="7434" width="13.36328125" style="554"/>
    <col min="7435" max="7437" width="13.453125" style="554" bestFit="1" customWidth="1"/>
    <col min="7438" max="7438" width="13.36328125" style="554"/>
    <col min="7439" max="7439" width="13.453125" style="554" bestFit="1" customWidth="1"/>
    <col min="7440" max="7440" width="13.36328125" style="554"/>
    <col min="7441" max="7441" width="14.1796875" style="554" bestFit="1" customWidth="1"/>
    <col min="7442" max="7442" width="13.36328125" style="554"/>
    <col min="7443" max="7443" width="13.453125" style="554" bestFit="1" customWidth="1"/>
    <col min="7444" max="7681" width="13.36328125" style="554"/>
    <col min="7682" max="7682" width="14.453125" style="554" customWidth="1"/>
    <col min="7683" max="7683" width="13.453125" style="554" bestFit="1" customWidth="1"/>
    <col min="7684" max="7684" width="14.36328125" style="554" bestFit="1" customWidth="1"/>
    <col min="7685" max="7686" width="13.36328125" style="554"/>
    <col min="7687" max="7687" width="13.453125" style="554" bestFit="1" customWidth="1"/>
    <col min="7688" max="7688" width="13.36328125" style="554"/>
    <col min="7689" max="7689" width="13.453125" style="554" bestFit="1" customWidth="1"/>
    <col min="7690" max="7690" width="13.36328125" style="554"/>
    <col min="7691" max="7693" width="13.453125" style="554" bestFit="1" customWidth="1"/>
    <col min="7694" max="7694" width="13.36328125" style="554"/>
    <col min="7695" max="7695" width="13.453125" style="554" bestFit="1" customWidth="1"/>
    <col min="7696" max="7696" width="13.36328125" style="554"/>
    <col min="7697" max="7697" width="14.1796875" style="554" bestFit="1" customWidth="1"/>
    <col min="7698" max="7698" width="13.36328125" style="554"/>
    <col min="7699" max="7699" width="13.453125" style="554" bestFit="1" customWidth="1"/>
    <col min="7700" max="7937" width="13.36328125" style="554"/>
    <col min="7938" max="7938" width="14.453125" style="554" customWidth="1"/>
    <col min="7939" max="7939" width="13.453125" style="554" bestFit="1" customWidth="1"/>
    <col min="7940" max="7940" width="14.36328125" style="554" bestFit="1" customWidth="1"/>
    <col min="7941" max="7942" width="13.36328125" style="554"/>
    <col min="7943" max="7943" width="13.453125" style="554" bestFit="1" customWidth="1"/>
    <col min="7944" max="7944" width="13.36328125" style="554"/>
    <col min="7945" max="7945" width="13.453125" style="554" bestFit="1" customWidth="1"/>
    <col min="7946" max="7946" width="13.36328125" style="554"/>
    <col min="7947" max="7949" width="13.453125" style="554" bestFit="1" customWidth="1"/>
    <col min="7950" max="7950" width="13.36328125" style="554"/>
    <col min="7951" max="7951" width="13.453125" style="554" bestFit="1" customWidth="1"/>
    <col min="7952" max="7952" width="13.36328125" style="554"/>
    <col min="7953" max="7953" width="14.1796875" style="554" bestFit="1" customWidth="1"/>
    <col min="7954" max="7954" width="13.36328125" style="554"/>
    <col min="7955" max="7955" width="13.453125" style="554" bestFit="1" customWidth="1"/>
    <col min="7956" max="8193" width="13.36328125" style="554"/>
    <col min="8194" max="8194" width="14.453125" style="554" customWidth="1"/>
    <col min="8195" max="8195" width="13.453125" style="554" bestFit="1" customWidth="1"/>
    <col min="8196" max="8196" width="14.36328125" style="554" bestFit="1" customWidth="1"/>
    <col min="8197" max="8198" width="13.36328125" style="554"/>
    <col min="8199" max="8199" width="13.453125" style="554" bestFit="1" customWidth="1"/>
    <col min="8200" max="8200" width="13.36328125" style="554"/>
    <col min="8201" max="8201" width="13.453125" style="554" bestFit="1" customWidth="1"/>
    <col min="8202" max="8202" width="13.36328125" style="554"/>
    <col min="8203" max="8205" width="13.453125" style="554" bestFit="1" customWidth="1"/>
    <col min="8206" max="8206" width="13.36328125" style="554"/>
    <col min="8207" max="8207" width="13.453125" style="554" bestFit="1" customWidth="1"/>
    <col min="8208" max="8208" width="13.36328125" style="554"/>
    <col min="8209" max="8209" width="14.1796875" style="554" bestFit="1" customWidth="1"/>
    <col min="8210" max="8210" width="13.36328125" style="554"/>
    <col min="8211" max="8211" width="13.453125" style="554" bestFit="1" customWidth="1"/>
    <col min="8212" max="8449" width="13.36328125" style="554"/>
    <col min="8450" max="8450" width="14.453125" style="554" customWidth="1"/>
    <col min="8451" max="8451" width="13.453125" style="554" bestFit="1" customWidth="1"/>
    <col min="8452" max="8452" width="14.36328125" style="554" bestFit="1" customWidth="1"/>
    <col min="8453" max="8454" width="13.36328125" style="554"/>
    <col min="8455" max="8455" width="13.453125" style="554" bestFit="1" customWidth="1"/>
    <col min="8456" max="8456" width="13.36328125" style="554"/>
    <col min="8457" max="8457" width="13.453125" style="554" bestFit="1" customWidth="1"/>
    <col min="8458" max="8458" width="13.36328125" style="554"/>
    <col min="8459" max="8461" width="13.453125" style="554" bestFit="1" customWidth="1"/>
    <col min="8462" max="8462" width="13.36328125" style="554"/>
    <col min="8463" max="8463" width="13.453125" style="554" bestFit="1" customWidth="1"/>
    <col min="8464" max="8464" width="13.36328125" style="554"/>
    <col min="8465" max="8465" width="14.1796875" style="554" bestFit="1" customWidth="1"/>
    <col min="8466" max="8466" width="13.36328125" style="554"/>
    <col min="8467" max="8467" width="13.453125" style="554" bestFit="1" customWidth="1"/>
    <col min="8468" max="8705" width="13.36328125" style="554"/>
    <col min="8706" max="8706" width="14.453125" style="554" customWidth="1"/>
    <col min="8707" max="8707" width="13.453125" style="554" bestFit="1" customWidth="1"/>
    <col min="8708" max="8708" width="14.36328125" style="554" bestFit="1" customWidth="1"/>
    <col min="8709" max="8710" width="13.36328125" style="554"/>
    <col min="8711" max="8711" width="13.453125" style="554" bestFit="1" customWidth="1"/>
    <col min="8712" max="8712" width="13.36328125" style="554"/>
    <col min="8713" max="8713" width="13.453125" style="554" bestFit="1" customWidth="1"/>
    <col min="8714" max="8714" width="13.36328125" style="554"/>
    <col min="8715" max="8717" width="13.453125" style="554" bestFit="1" customWidth="1"/>
    <col min="8718" max="8718" width="13.36328125" style="554"/>
    <col min="8719" max="8719" width="13.453125" style="554" bestFit="1" customWidth="1"/>
    <col min="8720" max="8720" width="13.36328125" style="554"/>
    <col min="8721" max="8721" width="14.1796875" style="554" bestFit="1" customWidth="1"/>
    <col min="8722" max="8722" width="13.36328125" style="554"/>
    <col min="8723" max="8723" width="13.453125" style="554" bestFit="1" customWidth="1"/>
    <col min="8724" max="8961" width="13.36328125" style="554"/>
    <col min="8962" max="8962" width="14.453125" style="554" customWidth="1"/>
    <col min="8963" max="8963" width="13.453125" style="554" bestFit="1" customWidth="1"/>
    <col min="8964" max="8964" width="14.36328125" style="554" bestFit="1" customWidth="1"/>
    <col min="8965" max="8966" width="13.36328125" style="554"/>
    <col min="8967" max="8967" width="13.453125" style="554" bestFit="1" customWidth="1"/>
    <col min="8968" max="8968" width="13.36328125" style="554"/>
    <col min="8969" max="8969" width="13.453125" style="554" bestFit="1" customWidth="1"/>
    <col min="8970" max="8970" width="13.36328125" style="554"/>
    <col min="8971" max="8973" width="13.453125" style="554" bestFit="1" customWidth="1"/>
    <col min="8974" max="8974" width="13.36328125" style="554"/>
    <col min="8975" max="8975" width="13.453125" style="554" bestFit="1" customWidth="1"/>
    <col min="8976" max="8976" width="13.36328125" style="554"/>
    <col min="8977" max="8977" width="14.1796875" style="554" bestFit="1" customWidth="1"/>
    <col min="8978" max="8978" width="13.36328125" style="554"/>
    <col min="8979" max="8979" width="13.453125" style="554" bestFit="1" customWidth="1"/>
    <col min="8980" max="9217" width="13.36328125" style="554"/>
    <col min="9218" max="9218" width="14.453125" style="554" customWidth="1"/>
    <col min="9219" max="9219" width="13.453125" style="554" bestFit="1" customWidth="1"/>
    <col min="9220" max="9220" width="14.36328125" style="554" bestFit="1" customWidth="1"/>
    <col min="9221" max="9222" width="13.36328125" style="554"/>
    <col min="9223" max="9223" width="13.453125" style="554" bestFit="1" customWidth="1"/>
    <col min="9224" max="9224" width="13.36328125" style="554"/>
    <col min="9225" max="9225" width="13.453125" style="554" bestFit="1" customWidth="1"/>
    <col min="9226" max="9226" width="13.36328125" style="554"/>
    <col min="9227" max="9229" width="13.453125" style="554" bestFit="1" customWidth="1"/>
    <col min="9230" max="9230" width="13.36328125" style="554"/>
    <col min="9231" max="9231" width="13.453125" style="554" bestFit="1" customWidth="1"/>
    <col min="9232" max="9232" width="13.36328125" style="554"/>
    <col min="9233" max="9233" width="14.1796875" style="554" bestFit="1" customWidth="1"/>
    <col min="9234" max="9234" width="13.36328125" style="554"/>
    <col min="9235" max="9235" width="13.453125" style="554" bestFit="1" customWidth="1"/>
    <col min="9236" max="9473" width="13.36328125" style="554"/>
    <col min="9474" max="9474" width="14.453125" style="554" customWidth="1"/>
    <col min="9475" max="9475" width="13.453125" style="554" bestFit="1" customWidth="1"/>
    <col min="9476" max="9476" width="14.36328125" style="554" bestFit="1" customWidth="1"/>
    <col min="9477" max="9478" width="13.36328125" style="554"/>
    <col min="9479" max="9479" width="13.453125" style="554" bestFit="1" customWidth="1"/>
    <col min="9480" max="9480" width="13.36328125" style="554"/>
    <col min="9481" max="9481" width="13.453125" style="554" bestFit="1" customWidth="1"/>
    <col min="9482" max="9482" width="13.36328125" style="554"/>
    <col min="9483" max="9485" width="13.453125" style="554" bestFit="1" customWidth="1"/>
    <col min="9486" max="9486" width="13.36328125" style="554"/>
    <col min="9487" max="9487" width="13.453125" style="554" bestFit="1" customWidth="1"/>
    <col min="9488" max="9488" width="13.36328125" style="554"/>
    <col min="9489" max="9489" width="14.1796875" style="554" bestFit="1" customWidth="1"/>
    <col min="9490" max="9490" width="13.36328125" style="554"/>
    <col min="9491" max="9491" width="13.453125" style="554" bestFit="1" customWidth="1"/>
    <col min="9492" max="9729" width="13.36328125" style="554"/>
    <col min="9730" max="9730" width="14.453125" style="554" customWidth="1"/>
    <col min="9731" max="9731" width="13.453125" style="554" bestFit="1" customWidth="1"/>
    <col min="9732" max="9732" width="14.36328125" style="554" bestFit="1" customWidth="1"/>
    <col min="9733" max="9734" width="13.36328125" style="554"/>
    <col min="9735" max="9735" width="13.453125" style="554" bestFit="1" customWidth="1"/>
    <col min="9736" max="9736" width="13.36328125" style="554"/>
    <col min="9737" max="9737" width="13.453125" style="554" bestFit="1" customWidth="1"/>
    <col min="9738" max="9738" width="13.36328125" style="554"/>
    <col min="9739" max="9741" width="13.453125" style="554" bestFit="1" customWidth="1"/>
    <col min="9742" max="9742" width="13.36328125" style="554"/>
    <col min="9743" max="9743" width="13.453125" style="554" bestFit="1" customWidth="1"/>
    <col min="9744" max="9744" width="13.36328125" style="554"/>
    <col min="9745" max="9745" width="14.1796875" style="554" bestFit="1" customWidth="1"/>
    <col min="9746" max="9746" width="13.36328125" style="554"/>
    <col min="9747" max="9747" width="13.453125" style="554" bestFit="1" customWidth="1"/>
    <col min="9748" max="9985" width="13.36328125" style="554"/>
    <col min="9986" max="9986" width="14.453125" style="554" customWidth="1"/>
    <col min="9987" max="9987" width="13.453125" style="554" bestFit="1" customWidth="1"/>
    <col min="9988" max="9988" width="14.36328125" style="554" bestFit="1" customWidth="1"/>
    <col min="9989" max="9990" width="13.36328125" style="554"/>
    <col min="9991" max="9991" width="13.453125" style="554" bestFit="1" customWidth="1"/>
    <col min="9992" max="9992" width="13.36328125" style="554"/>
    <col min="9993" max="9993" width="13.453125" style="554" bestFit="1" customWidth="1"/>
    <col min="9994" max="9994" width="13.36328125" style="554"/>
    <col min="9995" max="9997" width="13.453125" style="554" bestFit="1" customWidth="1"/>
    <col min="9998" max="9998" width="13.36328125" style="554"/>
    <col min="9999" max="9999" width="13.453125" style="554" bestFit="1" customWidth="1"/>
    <col min="10000" max="10000" width="13.36328125" style="554"/>
    <col min="10001" max="10001" width="14.1796875" style="554" bestFit="1" customWidth="1"/>
    <col min="10002" max="10002" width="13.36328125" style="554"/>
    <col min="10003" max="10003" width="13.453125" style="554" bestFit="1" customWidth="1"/>
    <col min="10004" max="10241" width="13.36328125" style="554"/>
    <col min="10242" max="10242" width="14.453125" style="554" customWidth="1"/>
    <col min="10243" max="10243" width="13.453125" style="554" bestFit="1" customWidth="1"/>
    <col min="10244" max="10244" width="14.36328125" style="554" bestFit="1" customWidth="1"/>
    <col min="10245" max="10246" width="13.36328125" style="554"/>
    <col min="10247" max="10247" width="13.453125" style="554" bestFit="1" customWidth="1"/>
    <col min="10248" max="10248" width="13.36328125" style="554"/>
    <col min="10249" max="10249" width="13.453125" style="554" bestFit="1" customWidth="1"/>
    <col min="10250" max="10250" width="13.36328125" style="554"/>
    <col min="10251" max="10253" width="13.453125" style="554" bestFit="1" customWidth="1"/>
    <col min="10254" max="10254" width="13.36328125" style="554"/>
    <col min="10255" max="10255" width="13.453125" style="554" bestFit="1" customWidth="1"/>
    <col min="10256" max="10256" width="13.36328125" style="554"/>
    <col min="10257" max="10257" width="14.1796875" style="554" bestFit="1" customWidth="1"/>
    <col min="10258" max="10258" width="13.36328125" style="554"/>
    <col min="10259" max="10259" width="13.453125" style="554" bestFit="1" customWidth="1"/>
    <col min="10260" max="10497" width="13.36328125" style="554"/>
    <col min="10498" max="10498" width="14.453125" style="554" customWidth="1"/>
    <col min="10499" max="10499" width="13.453125" style="554" bestFit="1" customWidth="1"/>
    <col min="10500" max="10500" width="14.36328125" style="554" bestFit="1" customWidth="1"/>
    <col min="10501" max="10502" width="13.36328125" style="554"/>
    <col min="10503" max="10503" width="13.453125" style="554" bestFit="1" customWidth="1"/>
    <col min="10504" max="10504" width="13.36328125" style="554"/>
    <col min="10505" max="10505" width="13.453125" style="554" bestFit="1" customWidth="1"/>
    <col min="10506" max="10506" width="13.36328125" style="554"/>
    <col min="10507" max="10509" width="13.453125" style="554" bestFit="1" customWidth="1"/>
    <col min="10510" max="10510" width="13.36328125" style="554"/>
    <col min="10511" max="10511" width="13.453125" style="554" bestFit="1" customWidth="1"/>
    <col min="10512" max="10512" width="13.36328125" style="554"/>
    <col min="10513" max="10513" width="14.1796875" style="554" bestFit="1" customWidth="1"/>
    <col min="10514" max="10514" width="13.36328125" style="554"/>
    <col min="10515" max="10515" width="13.453125" style="554" bestFit="1" customWidth="1"/>
    <col min="10516" max="10753" width="13.36328125" style="554"/>
    <col min="10754" max="10754" width="14.453125" style="554" customWidth="1"/>
    <col min="10755" max="10755" width="13.453125" style="554" bestFit="1" customWidth="1"/>
    <col min="10756" max="10756" width="14.36328125" style="554" bestFit="1" customWidth="1"/>
    <col min="10757" max="10758" width="13.36328125" style="554"/>
    <col min="10759" max="10759" width="13.453125" style="554" bestFit="1" customWidth="1"/>
    <col min="10760" max="10760" width="13.36328125" style="554"/>
    <col min="10761" max="10761" width="13.453125" style="554" bestFit="1" customWidth="1"/>
    <col min="10762" max="10762" width="13.36328125" style="554"/>
    <col min="10763" max="10765" width="13.453125" style="554" bestFit="1" customWidth="1"/>
    <col min="10766" max="10766" width="13.36328125" style="554"/>
    <col min="10767" max="10767" width="13.453125" style="554" bestFit="1" customWidth="1"/>
    <col min="10768" max="10768" width="13.36328125" style="554"/>
    <col min="10769" max="10769" width="14.1796875" style="554" bestFit="1" customWidth="1"/>
    <col min="10770" max="10770" width="13.36328125" style="554"/>
    <col min="10771" max="10771" width="13.453125" style="554" bestFit="1" customWidth="1"/>
    <col min="10772" max="11009" width="13.36328125" style="554"/>
    <col min="11010" max="11010" width="14.453125" style="554" customWidth="1"/>
    <col min="11011" max="11011" width="13.453125" style="554" bestFit="1" customWidth="1"/>
    <col min="11012" max="11012" width="14.36328125" style="554" bestFit="1" customWidth="1"/>
    <col min="11013" max="11014" width="13.36328125" style="554"/>
    <col min="11015" max="11015" width="13.453125" style="554" bestFit="1" customWidth="1"/>
    <col min="11016" max="11016" width="13.36328125" style="554"/>
    <col min="11017" max="11017" width="13.453125" style="554" bestFit="1" customWidth="1"/>
    <col min="11018" max="11018" width="13.36328125" style="554"/>
    <col min="11019" max="11021" width="13.453125" style="554" bestFit="1" customWidth="1"/>
    <col min="11022" max="11022" width="13.36328125" style="554"/>
    <col min="11023" max="11023" width="13.453125" style="554" bestFit="1" customWidth="1"/>
    <col min="11024" max="11024" width="13.36328125" style="554"/>
    <col min="11025" max="11025" width="14.1796875" style="554" bestFit="1" customWidth="1"/>
    <col min="11026" max="11026" width="13.36328125" style="554"/>
    <col min="11027" max="11027" width="13.453125" style="554" bestFit="1" customWidth="1"/>
    <col min="11028" max="11265" width="13.36328125" style="554"/>
    <col min="11266" max="11266" width="14.453125" style="554" customWidth="1"/>
    <col min="11267" max="11267" width="13.453125" style="554" bestFit="1" customWidth="1"/>
    <col min="11268" max="11268" width="14.36328125" style="554" bestFit="1" customWidth="1"/>
    <col min="11269" max="11270" width="13.36328125" style="554"/>
    <col min="11271" max="11271" width="13.453125" style="554" bestFit="1" customWidth="1"/>
    <col min="11272" max="11272" width="13.36328125" style="554"/>
    <col min="11273" max="11273" width="13.453125" style="554" bestFit="1" customWidth="1"/>
    <col min="11274" max="11274" width="13.36328125" style="554"/>
    <col min="11275" max="11277" width="13.453125" style="554" bestFit="1" customWidth="1"/>
    <col min="11278" max="11278" width="13.36328125" style="554"/>
    <col min="11279" max="11279" width="13.453125" style="554" bestFit="1" customWidth="1"/>
    <col min="11280" max="11280" width="13.36328125" style="554"/>
    <col min="11281" max="11281" width="14.1796875" style="554" bestFit="1" customWidth="1"/>
    <col min="11282" max="11282" width="13.36328125" style="554"/>
    <col min="11283" max="11283" width="13.453125" style="554" bestFit="1" customWidth="1"/>
    <col min="11284" max="11521" width="13.36328125" style="554"/>
    <col min="11522" max="11522" width="14.453125" style="554" customWidth="1"/>
    <col min="11523" max="11523" width="13.453125" style="554" bestFit="1" customWidth="1"/>
    <col min="11524" max="11524" width="14.36328125" style="554" bestFit="1" customWidth="1"/>
    <col min="11525" max="11526" width="13.36328125" style="554"/>
    <col min="11527" max="11527" width="13.453125" style="554" bestFit="1" customWidth="1"/>
    <col min="11528" max="11528" width="13.36328125" style="554"/>
    <col min="11529" max="11529" width="13.453125" style="554" bestFit="1" customWidth="1"/>
    <col min="11530" max="11530" width="13.36328125" style="554"/>
    <col min="11531" max="11533" width="13.453125" style="554" bestFit="1" customWidth="1"/>
    <col min="11534" max="11534" width="13.36328125" style="554"/>
    <col min="11535" max="11535" width="13.453125" style="554" bestFit="1" customWidth="1"/>
    <col min="11536" max="11536" width="13.36328125" style="554"/>
    <col min="11537" max="11537" width="14.1796875" style="554" bestFit="1" customWidth="1"/>
    <col min="11538" max="11538" width="13.36328125" style="554"/>
    <col min="11539" max="11539" width="13.453125" style="554" bestFit="1" customWidth="1"/>
    <col min="11540" max="11777" width="13.36328125" style="554"/>
    <col min="11778" max="11778" width="14.453125" style="554" customWidth="1"/>
    <col min="11779" max="11779" width="13.453125" style="554" bestFit="1" customWidth="1"/>
    <col min="11780" max="11780" width="14.36328125" style="554" bestFit="1" customWidth="1"/>
    <col min="11781" max="11782" width="13.36328125" style="554"/>
    <col min="11783" max="11783" width="13.453125" style="554" bestFit="1" customWidth="1"/>
    <col min="11784" max="11784" width="13.36328125" style="554"/>
    <col min="11785" max="11785" width="13.453125" style="554" bestFit="1" customWidth="1"/>
    <col min="11786" max="11786" width="13.36328125" style="554"/>
    <col min="11787" max="11789" width="13.453125" style="554" bestFit="1" customWidth="1"/>
    <col min="11790" max="11790" width="13.36328125" style="554"/>
    <col min="11791" max="11791" width="13.453125" style="554" bestFit="1" customWidth="1"/>
    <col min="11792" max="11792" width="13.36328125" style="554"/>
    <col min="11793" max="11793" width="14.1796875" style="554" bestFit="1" customWidth="1"/>
    <col min="11794" max="11794" width="13.36328125" style="554"/>
    <col min="11795" max="11795" width="13.453125" style="554" bestFit="1" customWidth="1"/>
    <col min="11796" max="12033" width="13.36328125" style="554"/>
    <col min="12034" max="12034" width="14.453125" style="554" customWidth="1"/>
    <col min="12035" max="12035" width="13.453125" style="554" bestFit="1" customWidth="1"/>
    <col min="12036" max="12036" width="14.36328125" style="554" bestFit="1" customWidth="1"/>
    <col min="12037" max="12038" width="13.36328125" style="554"/>
    <col min="12039" max="12039" width="13.453125" style="554" bestFit="1" customWidth="1"/>
    <col min="12040" max="12040" width="13.36328125" style="554"/>
    <col min="12041" max="12041" width="13.453125" style="554" bestFit="1" customWidth="1"/>
    <col min="12042" max="12042" width="13.36328125" style="554"/>
    <col min="12043" max="12045" width="13.453125" style="554" bestFit="1" customWidth="1"/>
    <col min="12046" max="12046" width="13.36328125" style="554"/>
    <col min="12047" max="12047" width="13.453125" style="554" bestFit="1" customWidth="1"/>
    <col min="12048" max="12048" width="13.36328125" style="554"/>
    <col min="12049" max="12049" width="14.1796875" style="554" bestFit="1" customWidth="1"/>
    <col min="12050" max="12050" width="13.36328125" style="554"/>
    <col min="12051" max="12051" width="13.453125" style="554" bestFit="1" customWidth="1"/>
    <col min="12052" max="12289" width="13.36328125" style="554"/>
    <col min="12290" max="12290" width="14.453125" style="554" customWidth="1"/>
    <col min="12291" max="12291" width="13.453125" style="554" bestFit="1" customWidth="1"/>
    <col min="12292" max="12292" width="14.36328125" style="554" bestFit="1" customWidth="1"/>
    <col min="12293" max="12294" width="13.36328125" style="554"/>
    <col min="12295" max="12295" width="13.453125" style="554" bestFit="1" customWidth="1"/>
    <col min="12296" max="12296" width="13.36328125" style="554"/>
    <col min="12297" max="12297" width="13.453125" style="554" bestFit="1" customWidth="1"/>
    <col min="12298" max="12298" width="13.36328125" style="554"/>
    <col min="12299" max="12301" width="13.453125" style="554" bestFit="1" customWidth="1"/>
    <col min="12302" max="12302" width="13.36328125" style="554"/>
    <col min="12303" max="12303" width="13.453125" style="554" bestFit="1" customWidth="1"/>
    <col min="12304" max="12304" width="13.36328125" style="554"/>
    <col min="12305" max="12305" width="14.1796875" style="554" bestFit="1" customWidth="1"/>
    <col min="12306" max="12306" width="13.36328125" style="554"/>
    <col min="12307" max="12307" width="13.453125" style="554" bestFit="1" customWidth="1"/>
    <col min="12308" max="12545" width="13.36328125" style="554"/>
    <col min="12546" max="12546" width="14.453125" style="554" customWidth="1"/>
    <col min="12547" max="12547" width="13.453125" style="554" bestFit="1" customWidth="1"/>
    <col min="12548" max="12548" width="14.36328125" style="554" bestFit="1" customWidth="1"/>
    <col min="12549" max="12550" width="13.36328125" style="554"/>
    <col min="12551" max="12551" width="13.453125" style="554" bestFit="1" customWidth="1"/>
    <col min="12552" max="12552" width="13.36328125" style="554"/>
    <col min="12553" max="12553" width="13.453125" style="554" bestFit="1" customWidth="1"/>
    <col min="12554" max="12554" width="13.36328125" style="554"/>
    <col min="12555" max="12557" width="13.453125" style="554" bestFit="1" customWidth="1"/>
    <col min="12558" max="12558" width="13.36328125" style="554"/>
    <col min="12559" max="12559" width="13.453125" style="554" bestFit="1" customWidth="1"/>
    <col min="12560" max="12560" width="13.36328125" style="554"/>
    <col min="12561" max="12561" width="14.1796875" style="554" bestFit="1" customWidth="1"/>
    <col min="12562" max="12562" width="13.36328125" style="554"/>
    <col min="12563" max="12563" width="13.453125" style="554" bestFit="1" customWidth="1"/>
    <col min="12564" max="12801" width="13.36328125" style="554"/>
    <col min="12802" max="12802" width="14.453125" style="554" customWidth="1"/>
    <col min="12803" max="12803" width="13.453125" style="554" bestFit="1" customWidth="1"/>
    <col min="12804" max="12804" width="14.36328125" style="554" bestFit="1" customWidth="1"/>
    <col min="12805" max="12806" width="13.36328125" style="554"/>
    <col min="12807" max="12807" width="13.453125" style="554" bestFit="1" customWidth="1"/>
    <col min="12808" max="12808" width="13.36328125" style="554"/>
    <col min="12809" max="12809" width="13.453125" style="554" bestFit="1" customWidth="1"/>
    <col min="12810" max="12810" width="13.36328125" style="554"/>
    <col min="12811" max="12813" width="13.453125" style="554" bestFit="1" customWidth="1"/>
    <col min="12814" max="12814" width="13.36328125" style="554"/>
    <col min="12815" max="12815" width="13.453125" style="554" bestFit="1" customWidth="1"/>
    <col min="12816" max="12816" width="13.36328125" style="554"/>
    <col min="12817" max="12817" width="14.1796875" style="554" bestFit="1" customWidth="1"/>
    <col min="12818" max="12818" width="13.36328125" style="554"/>
    <col min="12819" max="12819" width="13.453125" style="554" bestFit="1" customWidth="1"/>
    <col min="12820" max="13057" width="13.36328125" style="554"/>
    <col min="13058" max="13058" width="14.453125" style="554" customWidth="1"/>
    <col min="13059" max="13059" width="13.453125" style="554" bestFit="1" customWidth="1"/>
    <col min="13060" max="13060" width="14.36328125" style="554" bestFit="1" customWidth="1"/>
    <col min="13061" max="13062" width="13.36328125" style="554"/>
    <col min="13063" max="13063" width="13.453125" style="554" bestFit="1" customWidth="1"/>
    <col min="13064" max="13064" width="13.36328125" style="554"/>
    <col min="13065" max="13065" width="13.453125" style="554" bestFit="1" customWidth="1"/>
    <col min="13066" max="13066" width="13.36328125" style="554"/>
    <col min="13067" max="13069" width="13.453125" style="554" bestFit="1" customWidth="1"/>
    <col min="13070" max="13070" width="13.36328125" style="554"/>
    <col min="13071" max="13071" width="13.453125" style="554" bestFit="1" customWidth="1"/>
    <col min="13072" max="13072" width="13.36328125" style="554"/>
    <col min="13073" max="13073" width="14.1796875" style="554" bestFit="1" customWidth="1"/>
    <col min="13074" max="13074" width="13.36328125" style="554"/>
    <col min="13075" max="13075" width="13.453125" style="554" bestFit="1" customWidth="1"/>
    <col min="13076" max="13313" width="13.36328125" style="554"/>
    <col min="13314" max="13314" width="14.453125" style="554" customWidth="1"/>
    <col min="13315" max="13315" width="13.453125" style="554" bestFit="1" customWidth="1"/>
    <col min="13316" max="13316" width="14.36328125" style="554" bestFit="1" customWidth="1"/>
    <col min="13317" max="13318" width="13.36328125" style="554"/>
    <col min="13319" max="13319" width="13.453125" style="554" bestFit="1" customWidth="1"/>
    <col min="13320" max="13320" width="13.36328125" style="554"/>
    <col min="13321" max="13321" width="13.453125" style="554" bestFit="1" customWidth="1"/>
    <col min="13322" max="13322" width="13.36328125" style="554"/>
    <col min="13323" max="13325" width="13.453125" style="554" bestFit="1" customWidth="1"/>
    <col min="13326" max="13326" width="13.36328125" style="554"/>
    <col min="13327" max="13327" width="13.453125" style="554" bestFit="1" customWidth="1"/>
    <col min="13328" max="13328" width="13.36328125" style="554"/>
    <col min="13329" max="13329" width="14.1796875" style="554" bestFit="1" customWidth="1"/>
    <col min="13330" max="13330" width="13.36328125" style="554"/>
    <col min="13331" max="13331" width="13.453125" style="554" bestFit="1" customWidth="1"/>
    <col min="13332" max="13569" width="13.36328125" style="554"/>
    <col min="13570" max="13570" width="14.453125" style="554" customWidth="1"/>
    <col min="13571" max="13571" width="13.453125" style="554" bestFit="1" customWidth="1"/>
    <col min="13572" max="13572" width="14.36328125" style="554" bestFit="1" customWidth="1"/>
    <col min="13573" max="13574" width="13.36328125" style="554"/>
    <col min="13575" max="13575" width="13.453125" style="554" bestFit="1" customWidth="1"/>
    <col min="13576" max="13576" width="13.36328125" style="554"/>
    <col min="13577" max="13577" width="13.453125" style="554" bestFit="1" customWidth="1"/>
    <col min="13578" max="13578" width="13.36328125" style="554"/>
    <col min="13579" max="13581" width="13.453125" style="554" bestFit="1" customWidth="1"/>
    <col min="13582" max="13582" width="13.36328125" style="554"/>
    <col min="13583" max="13583" width="13.453125" style="554" bestFit="1" customWidth="1"/>
    <col min="13584" max="13584" width="13.36328125" style="554"/>
    <col min="13585" max="13585" width="14.1796875" style="554" bestFit="1" customWidth="1"/>
    <col min="13586" max="13586" width="13.36328125" style="554"/>
    <col min="13587" max="13587" width="13.453125" style="554" bestFit="1" customWidth="1"/>
    <col min="13588" max="13825" width="13.36328125" style="554"/>
    <col min="13826" max="13826" width="14.453125" style="554" customWidth="1"/>
    <col min="13827" max="13827" width="13.453125" style="554" bestFit="1" customWidth="1"/>
    <col min="13828" max="13828" width="14.36328125" style="554" bestFit="1" customWidth="1"/>
    <col min="13829" max="13830" width="13.36328125" style="554"/>
    <col min="13831" max="13831" width="13.453125" style="554" bestFit="1" customWidth="1"/>
    <col min="13832" max="13832" width="13.36328125" style="554"/>
    <col min="13833" max="13833" width="13.453125" style="554" bestFit="1" customWidth="1"/>
    <col min="13834" max="13834" width="13.36328125" style="554"/>
    <col min="13835" max="13837" width="13.453125" style="554" bestFit="1" customWidth="1"/>
    <col min="13838" max="13838" width="13.36328125" style="554"/>
    <col min="13839" max="13839" width="13.453125" style="554" bestFit="1" customWidth="1"/>
    <col min="13840" max="13840" width="13.36328125" style="554"/>
    <col min="13841" max="13841" width="14.1796875" style="554" bestFit="1" customWidth="1"/>
    <col min="13842" max="13842" width="13.36328125" style="554"/>
    <col min="13843" max="13843" width="13.453125" style="554" bestFit="1" customWidth="1"/>
    <col min="13844" max="14081" width="13.36328125" style="554"/>
    <col min="14082" max="14082" width="14.453125" style="554" customWidth="1"/>
    <col min="14083" max="14083" width="13.453125" style="554" bestFit="1" customWidth="1"/>
    <col min="14084" max="14084" width="14.36328125" style="554" bestFit="1" customWidth="1"/>
    <col min="14085" max="14086" width="13.36328125" style="554"/>
    <col min="14087" max="14087" width="13.453125" style="554" bestFit="1" customWidth="1"/>
    <col min="14088" max="14088" width="13.36328125" style="554"/>
    <col min="14089" max="14089" width="13.453125" style="554" bestFit="1" customWidth="1"/>
    <col min="14090" max="14090" width="13.36328125" style="554"/>
    <col min="14091" max="14093" width="13.453125" style="554" bestFit="1" customWidth="1"/>
    <col min="14094" max="14094" width="13.36328125" style="554"/>
    <col min="14095" max="14095" width="13.453125" style="554" bestFit="1" customWidth="1"/>
    <col min="14096" max="14096" width="13.36328125" style="554"/>
    <col min="14097" max="14097" width="14.1796875" style="554" bestFit="1" customWidth="1"/>
    <col min="14098" max="14098" width="13.36328125" style="554"/>
    <col min="14099" max="14099" width="13.453125" style="554" bestFit="1" customWidth="1"/>
    <col min="14100" max="14337" width="13.36328125" style="554"/>
    <col min="14338" max="14338" width="14.453125" style="554" customWidth="1"/>
    <col min="14339" max="14339" width="13.453125" style="554" bestFit="1" customWidth="1"/>
    <col min="14340" max="14340" width="14.36328125" style="554" bestFit="1" customWidth="1"/>
    <col min="14341" max="14342" width="13.36328125" style="554"/>
    <col min="14343" max="14343" width="13.453125" style="554" bestFit="1" customWidth="1"/>
    <col min="14344" max="14344" width="13.36328125" style="554"/>
    <col min="14345" max="14345" width="13.453125" style="554" bestFit="1" customWidth="1"/>
    <col min="14346" max="14346" width="13.36328125" style="554"/>
    <col min="14347" max="14349" width="13.453125" style="554" bestFit="1" customWidth="1"/>
    <col min="14350" max="14350" width="13.36328125" style="554"/>
    <col min="14351" max="14351" width="13.453125" style="554" bestFit="1" customWidth="1"/>
    <col min="14352" max="14352" width="13.36328125" style="554"/>
    <col min="14353" max="14353" width="14.1796875" style="554" bestFit="1" customWidth="1"/>
    <col min="14354" max="14354" width="13.36328125" style="554"/>
    <col min="14355" max="14355" width="13.453125" style="554" bestFit="1" customWidth="1"/>
    <col min="14356" max="14593" width="13.36328125" style="554"/>
    <col min="14594" max="14594" width="14.453125" style="554" customWidth="1"/>
    <col min="14595" max="14595" width="13.453125" style="554" bestFit="1" customWidth="1"/>
    <col min="14596" max="14596" width="14.36328125" style="554" bestFit="1" customWidth="1"/>
    <col min="14597" max="14598" width="13.36328125" style="554"/>
    <col min="14599" max="14599" width="13.453125" style="554" bestFit="1" customWidth="1"/>
    <col min="14600" max="14600" width="13.36328125" style="554"/>
    <col min="14601" max="14601" width="13.453125" style="554" bestFit="1" customWidth="1"/>
    <col min="14602" max="14602" width="13.36328125" style="554"/>
    <col min="14603" max="14605" width="13.453125" style="554" bestFit="1" customWidth="1"/>
    <col min="14606" max="14606" width="13.36328125" style="554"/>
    <col min="14607" max="14607" width="13.453125" style="554" bestFit="1" customWidth="1"/>
    <col min="14608" max="14608" width="13.36328125" style="554"/>
    <col min="14609" max="14609" width="14.1796875" style="554" bestFit="1" customWidth="1"/>
    <col min="14610" max="14610" width="13.36328125" style="554"/>
    <col min="14611" max="14611" width="13.453125" style="554" bestFit="1" customWidth="1"/>
    <col min="14612" max="14849" width="13.36328125" style="554"/>
    <col min="14850" max="14850" width="14.453125" style="554" customWidth="1"/>
    <col min="14851" max="14851" width="13.453125" style="554" bestFit="1" customWidth="1"/>
    <col min="14852" max="14852" width="14.36328125" style="554" bestFit="1" customWidth="1"/>
    <col min="14853" max="14854" width="13.36328125" style="554"/>
    <col min="14855" max="14855" width="13.453125" style="554" bestFit="1" customWidth="1"/>
    <col min="14856" max="14856" width="13.36328125" style="554"/>
    <col min="14857" max="14857" width="13.453125" style="554" bestFit="1" customWidth="1"/>
    <col min="14858" max="14858" width="13.36328125" style="554"/>
    <col min="14859" max="14861" width="13.453125" style="554" bestFit="1" customWidth="1"/>
    <col min="14862" max="14862" width="13.36328125" style="554"/>
    <col min="14863" max="14863" width="13.453125" style="554" bestFit="1" customWidth="1"/>
    <col min="14864" max="14864" width="13.36328125" style="554"/>
    <col min="14865" max="14865" width="14.1796875" style="554" bestFit="1" customWidth="1"/>
    <col min="14866" max="14866" width="13.36328125" style="554"/>
    <col min="14867" max="14867" width="13.453125" style="554" bestFit="1" customWidth="1"/>
    <col min="14868" max="15105" width="13.36328125" style="554"/>
    <col min="15106" max="15106" width="14.453125" style="554" customWidth="1"/>
    <col min="15107" max="15107" width="13.453125" style="554" bestFit="1" customWidth="1"/>
    <col min="15108" max="15108" width="14.36328125" style="554" bestFit="1" customWidth="1"/>
    <col min="15109" max="15110" width="13.36328125" style="554"/>
    <col min="15111" max="15111" width="13.453125" style="554" bestFit="1" customWidth="1"/>
    <col min="15112" max="15112" width="13.36328125" style="554"/>
    <col min="15113" max="15113" width="13.453125" style="554" bestFit="1" customWidth="1"/>
    <col min="15114" max="15114" width="13.36328125" style="554"/>
    <col min="15115" max="15117" width="13.453125" style="554" bestFit="1" customWidth="1"/>
    <col min="15118" max="15118" width="13.36328125" style="554"/>
    <col min="15119" max="15119" width="13.453125" style="554" bestFit="1" customWidth="1"/>
    <col min="15120" max="15120" width="13.36328125" style="554"/>
    <col min="15121" max="15121" width="14.1796875" style="554" bestFit="1" customWidth="1"/>
    <col min="15122" max="15122" width="13.36328125" style="554"/>
    <col min="15123" max="15123" width="13.453125" style="554" bestFit="1" customWidth="1"/>
    <col min="15124" max="15361" width="13.36328125" style="554"/>
    <col min="15362" max="15362" width="14.453125" style="554" customWidth="1"/>
    <col min="15363" max="15363" width="13.453125" style="554" bestFit="1" customWidth="1"/>
    <col min="15364" max="15364" width="14.36328125" style="554" bestFit="1" customWidth="1"/>
    <col min="15365" max="15366" width="13.36328125" style="554"/>
    <col min="15367" max="15367" width="13.453125" style="554" bestFit="1" customWidth="1"/>
    <col min="15368" max="15368" width="13.36328125" style="554"/>
    <col min="15369" max="15369" width="13.453125" style="554" bestFit="1" customWidth="1"/>
    <col min="15370" max="15370" width="13.36328125" style="554"/>
    <col min="15371" max="15373" width="13.453125" style="554" bestFit="1" customWidth="1"/>
    <col min="15374" max="15374" width="13.36328125" style="554"/>
    <col min="15375" max="15375" width="13.453125" style="554" bestFit="1" customWidth="1"/>
    <col min="15376" max="15376" width="13.36328125" style="554"/>
    <col min="15377" max="15377" width="14.1796875" style="554" bestFit="1" customWidth="1"/>
    <col min="15378" max="15378" width="13.36328125" style="554"/>
    <col min="15379" max="15379" width="13.453125" style="554" bestFit="1" customWidth="1"/>
    <col min="15380" max="15617" width="13.36328125" style="554"/>
    <col min="15618" max="15618" width="14.453125" style="554" customWidth="1"/>
    <col min="15619" max="15619" width="13.453125" style="554" bestFit="1" customWidth="1"/>
    <col min="15620" max="15620" width="14.36328125" style="554" bestFit="1" customWidth="1"/>
    <col min="15621" max="15622" width="13.36328125" style="554"/>
    <col min="15623" max="15623" width="13.453125" style="554" bestFit="1" customWidth="1"/>
    <col min="15624" max="15624" width="13.36328125" style="554"/>
    <col min="15625" max="15625" width="13.453125" style="554" bestFit="1" customWidth="1"/>
    <col min="15626" max="15626" width="13.36328125" style="554"/>
    <col min="15627" max="15629" width="13.453125" style="554" bestFit="1" customWidth="1"/>
    <col min="15630" max="15630" width="13.36328125" style="554"/>
    <col min="15631" max="15631" width="13.453125" style="554" bestFit="1" customWidth="1"/>
    <col min="15632" max="15632" width="13.36328125" style="554"/>
    <col min="15633" max="15633" width="14.1796875" style="554" bestFit="1" customWidth="1"/>
    <col min="15634" max="15634" width="13.36328125" style="554"/>
    <col min="15635" max="15635" width="13.453125" style="554" bestFit="1" customWidth="1"/>
    <col min="15636" max="15873" width="13.36328125" style="554"/>
    <col min="15874" max="15874" width="14.453125" style="554" customWidth="1"/>
    <col min="15875" max="15875" width="13.453125" style="554" bestFit="1" customWidth="1"/>
    <col min="15876" max="15876" width="14.36328125" style="554" bestFit="1" customWidth="1"/>
    <col min="15877" max="15878" width="13.36328125" style="554"/>
    <col min="15879" max="15879" width="13.453125" style="554" bestFit="1" customWidth="1"/>
    <col min="15880" max="15880" width="13.36328125" style="554"/>
    <col min="15881" max="15881" width="13.453125" style="554" bestFit="1" customWidth="1"/>
    <col min="15882" max="15882" width="13.36328125" style="554"/>
    <col min="15883" max="15885" width="13.453125" style="554" bestFit="1" customWidth="1"/>
    <col min="15886" max="15886" width="13.36328125" style="554"/>
    <col min="15887" max="15887" width="13.453125" style="554" bestFit="1" customWidth="1"/>
    <col min="15888" max="15888" width="13.36328125" style="554"/>
    <col min="15889" max="15889" width="14.1796875" style="554" bestFit="1" customWidth="1"/>
    <col min="15890" max="15890" width="13.36328125" style="554"/>
    <col min="15891" max="15891" width="13.453125" style="554" bestFit="1" customWidth="1"/>
    <col min="15892" max="16129" width="13.36328125" style="554"/>
    <col min="16130" max="16130" width="14.453125" style="554" customWidth="1"/>
    <col min="16131" max="16131" width="13.453125" style="554" bestFit="1" customWidth="1"/>
    <col min="16132" max="16132" width="14.36328125" style="554" bestFit="1" customWidth="1"/>
    <col min="16133" max="16134" width="13.36328125" style="554"/>
    <col min="16135" max="16135" width="13.453125" style="554" bestFit="1" customWidth="1"/>
    <col min="16136" max="16136" width="13.36328125" style="554"/>
    <col min="16137" max="16137" width="13.453125" style="554" bestFit="1" customWidth="1"/>
    <col min="16138" max="16138" width="13.36328125" style="554"/>
    <col min="16139" max="16141" width="13.453125" style="554" bestFit="1" customWidth="1"/>
    <col min="16142" max="16142" width="13.36328125" style="554"/>
    <col min="16143" max="16143" width="13.453125" style="554" bestFit="1" customWidth="1"/>
    <col min="16144" max="16144" width="13.36328125" style="554"/>
    <col min="16145" max="16145" width="14.1796875" style="554" bestFit="1" customWidth="1"/>
    <col min="16146" max="16146" width="13.36328125" style="554"/>
    <col min="16147" max="16147" width="13.453125" style="554" bestFit="1" customWidth="1"/>
    <col min="16148" max="16384" width="13.36328125" style="554"/>
  </cols>
  <sheetData>
    <row r="1" spans="1:52" ht="15.6">
      <c r="B1" s="361"/>
      <c r="AA1" s="4" t="str">
        <f>'Attachment H-11A '!K1&amp;""&amp;", Attachment 10"</f>
        <v>Attachment H -11A, Attachment 10</v>
      </c>
    </row>
    <row r="2" spans="1:52" ht="15.6">
      <c r="B2" s="361"/>
      <c r="AA2" s="26" t="s">
        <v>188</v>
      </c>
    </row>
    <row r="3" spans="1:52" ht="17.399999999999999">
      <c r="B3" s="361"/>
      <c r="M3" s="360" t="s">
        <v>561</v>
      </c>
      <c r="AA3" s="26" t="str">
        <f>'Attachment H-11A '!K4</f>
        <v>For the 12 months ended 12/31/2022</v>
      </c>
    </row>
    <row r="4" spans="1:52" ht="15.6">
      <c r="B4" s="362"/>
    </row>
    <row r="5" spans="1:52" ht="15.6">
      <c r="A5" s="555"/>
      <c r="B5" s="363" t="s">
        <v>397</v>
      </c>
      <c r="C5" s="363"/>
      <c r="D5" s="363"/>
      <c r="E5" s="363"/>
      <c r="F5" s="363"/>
      <c r="G5" s="363"/>
      <c r="H5" s="363"/>
      <c r="I5" s="363"/>
      <c r="J5" s="363"/>
      <c r="K5" s="363"/>
      <c r="L5" s="363"/>
      <c r="M5" s="363"/>
      <c r="N5" s="363"/>
      <c r="O5" s="363"/>
      <c r="P5" s="363"/>
      <c r="Q5" s="363"/>
      <c r="R5" s="363"/>
      <c r="S5" s="363"/>
      <c r="T5" s="363"/>
      <c r="U5" s="363"/>
      <c r="V5" s="363"/>
      <c r="W5" s="363"/>
      <c r="X5" s="363"/>
      <c r="Y5" s="556"/>
      <c r="Z5" s="557"/>
    </row>
    <row r="6" spans="1:52" ht="15.6">
      <c r="A6" s="558"/>
      <c r="B6" s="559"/>
      <c r="C6" s="557"/>
      <c r="D6" s="557"/>
      <c r="E6" s="557"/>
      <c r="F6" s="557"/>
      <c r="G6" s="560"/>
      <c r="H6" s="560"/>
      <c r="I6" s="560"/>
      <c r="J6" s="560"/>
      <c r="K6" s="561"/>
      <c r="L6" s="561"/>
      <c r="M6" s="561"/>
      <c r="N6" s="561"/>
      <c r="O6" s="561"/>
      <c r="P6" s="561"/>
      <c r="Q6" s="561"/>
      <c r="R6" s="561"/>
      <c r="S6" s="561"/>
      <c r="T6" s="561"/>
      <c r="U6" s="561"/>
      <c r="V6" s="561"/>
      <c r="W6" s="561"/>
      <c r="X6" s="561"/>
      <c r="Y6" s="562"/>
      <c r="Z6" s="557"/>
    </row>
    <row r="7" spans="1:52" ht="15.6">
      <c r="A7" s="558"/>
      <c r="B7" s="561" t="s">
        <v>398</v>
      </c>
      <c r="C7" s="557"/>
      <c r="D7" s="557"/>
      <c r="E7" s="557"/>
      <c r="F7" s="557"/>
      <c r="G7" s="560"/>
      <c r="H7" s="560"/>
      <c r="I7" s="560"/>
      <c r="J7" s="560"/>
      <c r="K7" s="561"/>
      <c r="L7" s="561"/>
      <c r="M7" s="561"/>
      <c r="N7" s="561"/>
      <c r="O7" s="561"/>
      <c r="P7" s="561"/>
      <c r="Q7" s="561"/>
      <c r="R7" s="561"/>
      <c r="S7" s="561"/>
      <c r="T7" s="561"/>
      <c r="U7" s="561"/>
      <c r="V7" s="561"/>
      <c r="W7" s="561"/>
      <c r="X7" s="561"/>
      <c r="Y7" s="562"/>
      <c r="Z7" s="557"/>
    </row>
    <row r="8" spans="1:52" ht="16.2" thickBot="1">
      <c r="A8" s="558"/>
      <c r="B8" s="559"/>
      <c r="C8" s="559"/>
      <c r="D8" s="557"/>
      <c r="E8" s="557"/>
      <c r="F8" s="557"/>
      <c r="G8" s="560"/>
      <c r="H8" s="560"/>
      <c r="I8" s="560"/>
      <c r="J8" s="560"/>
      <c r="K8" s="561"/>
      <c r="L8" s="561"/>
      <c r="M8" s="561"/>
      <c r="N8" s="561"/>
      <c r="O8" s="561"/>
      <c r="P8" s="561"/>
      <c r="Q8" s="561"/>
      <c r="R8" s="561"/>
      <c r="S8" s="561"/>
      <c r="T8" s="561"/>
      <c r="U8" s="561"/>
      <c r="V8" s="561"/>
      <c r="W8" s="561"/>
      <c r="X8" s="561"/>
      <c r="Y8" s="562"/>
      <c r="Z8" s="557"/>
    </row>
    <row r="9" spans="1:52" ht="16.2" thickBot="1">
      <c r="A9" s="558"/>
      <c r="B9" s="563" t="s">
        <v>399</v>
      </c>
      <c r="C9" s="1208" t="str">
        <f>MID(AA3,25,10)</f>
        <v>12/31/2022</v>
      </c>
      <c r="D9" s="557"/>
      <c r="E9" s="557"/>
      <c r="F9" s="557"/>
      <c r="G9" s="561"/>
      <c r="H9" s="561"/>
      <c r="I9" s="559"/>
      <c r="J9" s="561"/>
      <c r="K9" s="565"/>
      <c r="L9" s="561"/>
      <c r="M9" s="561"/>
      <c r="N9" s="561"/>
      <c r="O9" s="561"/>
      <c r="P9" s="561"/>
      <c r="Q9" s="561"/>
      <c r="R9" s="561"/>
      <c r="S9" s="561"/>
      <c r="T9" s="561"/>
      <c r="U9" s="561"/>
      <c r="V9" s="561"/>
      <c r="W9" s="561"/>
      <c r="X9" s="561"/>
      <c r="Y9" s="562"/>
      <c r="Z9" s="557"/>
    </row>
    <row r="10" spans="1:52" s="559" customFormat="1" ht="15.6">
      <c r="A10" s="558"/>
      <c r="B10" s="566"/>
      <c r="C10" s="561"/>
      <c r="E10" s="557"/>
      <c r="F10" s="557"/>
      <c r="H10" s="561"/>
      <c r="I10" s="561"/>
      <c r="J10" s="561"/>
      <c r="K10" s="565"/>
      <c r="L10" s="561"/>
      <c r="M10" s="561"/>
      <c r="N10" s="561"/>
      <c r="O10" s="561"/>
      <c r="P10" s="561"/>
      <c r="Q10" s="561"/>
      <c r="R10" s="561"/>
      <c r="S10" s="561"/>
      <c r="T10" s="561"/>
      <c r="U10" s="561"/>
      <c r="V10" s="561"/>
      <c r="W10" s="561"/>
      <c r="X10" s="561"/>
      <c r="Y10" s="562"/>
      <c r="Z10" s="557"/>
    </row>
    <row r="11" spans="1:52" s="571" customFormat="1" ht="15.6">
      <c r="A11" s="567"/>
      <c r="B11" s="364"/>
      <c r="C11" s="568"/>
      <c r="D11" s="364" t="s">
        <v>258</v>
      </c>
      <c r="E11" s="364"/>
      <c r="F11" s="364"/>
      <c r="G11" s="568" t="s">
        <v>259</v>
      </c>
      <c r="H11" s="568"/>
      <c r="I11" s="568" t="s">
        <v>400</v>
      </c>
      <c r="J11" s="568"/>
      <c r="K11" s="568" t="s">
        <v>261</v>
      </c>
      <c r="L11" s="568"/>
      <c r="M11" s="569" t="s">
        <v>262</v>
      </c>
      <c r="N11" s="568"/>
      <c r="O11" s="569" t="s">
        <v>263</v>
      </c>
      <c r="P11" s="568"/>
      <c r="Q11" s="568" t="s">
        <v>264</v>
      </c>
      <c r="R11" s="568"/>
      <c r="S11" s="568" t="s">
        <v>265</v>
      </c>
      <c r="T11" s="568"/>
      <c r="U11" s="364" t="s">
        <v>266</v>
      </c>
      <c r="V11" s="568"/>
      <c r="W11" s="364" t="s">
        <v>267</v>
      </c>
      <c r="X11" s="568"/>
      <c r="Y11" s="570"/>
      <c r="Z11" s="364"/>
      <c r="AD11" s="364"/>
      <c r="AE11" s="364"/>
    </row>
    <row r="12" spans="1:52" ht="15.6">
      <c r="A12" s="558"/>
      <c r="B12" s="572"/>
      <c r="C12" s="559"/>
      <c r="D12" s="559"/>
      <c r="E12" s="559"/>
      <c r="F12" s="559"/>
      <c r="G12" s="559"/>
      <c r="H12" s="573"/>
      <c r="I12" s="559"/>
      <c r="J12" s="573"/>
      <c r="K12" s="559"/>
      <c r="L12" s="573"/>
      <c r="M12" s="559"/>
      <c r="N12" s="572"/>
      <c r="O12" s="573"/>
      <c r="P12" s="573"/>
      <c r="Q12" s="573"/>
      <c r="R12" s="573"/>
      <c r="S12" s="574"/>
      <c r="T12" s="573"/>
      <c r="U12" s="559"/>
      <c r="V12" s="573"/>
      <c r="W12" s="559"/>
      <c r="X12" s="574"/>
      <c r="Y12" s="575"/>
      <c r="Z12" s="559"/>
      <c r="AD12" s="559"/>
      <c r="AE12" s="576"/>
      <c r="AK12" s="577"/>
      <c r="AL12" s="572"/>
      <c r="AM12" s="572"/>
      <c r="AN12" s="572"/>
      <c r="AO12" s="572"/>
      <c r="AP12" s="572"/>
      <c r="AQ12" s="572"/>
      <c r="AR12" s="572"/>
      <c r="AS12" s="572"/>
      <c r="AT12" s="1361"/>
      <c r="AU12" s="1361"/>
      <c r="AV12" s="559"/>
      <c r="AW12" s="559"/>
      <c r="AX12" s="559"/>
      <c r="AY12" s="559"/>
      <c r="AZ12" s="559"/>
    </row>
    <row r="13" spans="1:52" ht="15.6">
      <c r="A13" s="558"/>
      <c r="B13" s="559"/>
      <c r="C13" s="559"/>
      <c r="D13" s="559"/>
      <c r="E13" s="559"/>
      <c r="F13" s="559"/>
      <c r="G13" s="559"/>
      <c r="H13" s="573"/>
      <c r="I13" s="559"/>
      <c r="J13" s="573"/>
      <c r="K13" s="559"/>
      <c r="L13" s="573"/>
      <c r="M13" s="572" t="s">
        <v>401</v>
      </c>
      <c r="N13" s="572"/>
      <c r="O13" s="573"/>
      <c r="P13" s="573"/>
      <c r="Q13" s="578" t="s">
        <v>402</v>
      </c>
      <c r="R13" s="573"/>
      <c r="S13" s="574"/>
      <c r="T13" s="573"/>
      <c r="U13" s="559"/>
      <c r="V13" s="573"/>
      <c r="W13" s="572" t="s">
        <v>95</v>
      </c>
      <c r="X13" s="574"/>
      <c r="Y13" s="575"/>
      <c r="Z13" s="559"/>
      <c r="AD13" s="559"/>
      <c r="AE13" s="576"/>
      <c r="AK13" s="577"/>
      <c r="AL13" s="572"/>
      <c r="AM13" s="572"/>
      <c r="AN13" s="572"/>
      <c r="AO13" s="572"/>
      <c r="AP13" s="572"/>
      <c r="AQ13" s="572"/>
      <c r="AR13" s="572"/>
      <c r="AS13" s="572"/>
      <c r="AT13" s="572"/>
      <c r="AU13" s="572"/>
      <c r="AV13" s="559"/>
      <c r="AW13" s="559"/>
      <c r="AX13" s="559"/>
      <c r="AY13" s="559"/>
      <c r="AZ13" s="559"/>
    </row>
    <row r="14" spans="1:52" ht="15.6">
      <c r="A14" s="558"/>
      <c r="B14" s="561"/>
      <c r="C14" s="559"/>
      <c r="D14" s="559"/>
      <c r="E14" s="559"/>
      <c r="F14" s="559"/>
      <c r="G14" s="572"/>
      <c r="H14" s="572"/>
      <c r="I14" s="572"/>
      <c r="J14" s="572"/>
      <c r="K14" s="572"/>
      <c r="L14" s="572"/>
      <c r="M14" s="572" t="s">
        <v>8</v>
      </c>
      <c r="N14" s="572"/>
      <c r="O14" s="572" t="s">
        <v>281</v>
      </c>
      <c r="P14" s="572"/>
      <c r="Q14" s="578" t="s">
        <v>403</v>
      </c>
      <c r="R14" s="572"/>
      <c r="S14" s="572" t="s">
        <v>95</v>
      </c>
      <c r="T14" s="572"/>
      <c r="U14" s="572" t="s">
        <v>404</v>
      </c>
      <c r="V14" s="572"/>
      <c r="W14" s="572" t="s">
        <v>405</v>
      </c>
      <c r="X14" s="559"/>
      <c r="Y14" s="575"/>
      <c r="Z14" s="559"/>
      <c r="AD14" s="559"/>
      <c r="AE14" s="576"/>
      <c r="AK14" s="579"/>
      <c r="AL14" s="580"/>
      <c r="AM14" s="580"/>
      <c r="AN14" s="580"/>
      <c r="AO14" s="580"/>
      <c r="AP14" s="580"/>
      <c r="AQ14" s="580"/>
      <c r="AR14" s="580"/>
      <c r="AS14" s="580"/>
      <c r="AT14" s="580"/>
      <c r="AU14" s="580"/>
      <c r="AV14" s="559"/>
      <c r="AW14" s="559"/>
      <c r="AX14" s="559"/>
      <c r="AY14" s="559"/>
      <c r="AZ14" s="559"/>
    </row>
    <row r="15" spans="1:52" ht="15.6">
      <c r="A15" s="558"/>
      <c r="B15" s="557"/>
      <c r="C15" s="559"/>
      <c r="D15" s="559"/>
      <c r="E15" s="572"/>
      <c r="F15" s="572"/>
      <c r="G15" s="572"/>
      <c r="H15" s="572"/>
      <c r="I15" s="572" t="s">
        <v>406</v>
      </c>
      <c r="J15" s="572"/>
      <c r="K15" s="572" t="s">
        <v>407</v>
      </c>
      <c r="L15" s="572"/>
      <c r="M15" s="572" t="s">
        <v>403</v>
      </c>
      <c r="N15" s="572"/>
      <c r="O15" s="572" t="s">
        <v>403</v>
      </c>
      <c r="P15" s="572"/>
      <c r="Q15" s="578" t="s">
        <v>408</v>
      </c>
      <c r="R15" s="572"/>
      <c r="S15" s="572" t="s">
        <v>403</v>
      </c>
      <c r="T15" s="572"/>
      <c r="U15" s="572" t="s">
        <v>409</v>
      </c>
      <c r="V15" s="572"/>
      <c r="W15" s="572" t="s">
        <v>410</v>
      </c>
      <c r="X15" s="559"/>
      <c r="Y15" s="575"/>
      <c r="Z15" s="559"/>
      <c r="AD15" s="559"/>
      <c r="AE15" s="576"/>
      <c r="AK15" s="581"/>
      <c r="AL15" s="582"/>
      <c r="AM15" s="582"/>
      <c r="AN15" s="582"/>
      <c r="AO15" s="582"/>
      <c r="AP15" s="582"/>
      <c r="AQ15" s="582"/>
      <c r="AR15" s="582"/>
      <c r="AS15" s="582"/>
      <c r="AT15" s="582"/>
      <c r="AU15" s="582"/>
      <c r="AV15" s="559"/>
      <c r="AW15" s="559"/>
      <c r="AX15" s="559"/>
      <c r="AY15" s="559"/>
      <c r="AZ15" s="559"/>
    </row>
    <row r="16" spans="1:52" ht="15.6">
      <c r="A16" s="558"/>
      <c r="B16" s="559"/>
      <c r="C16" s="364" t="s">
        <v>411</v>
      </c>
      <c r="D16" s="572" t="s">
        <v>412</v>
      </c>
      <c r="E16" s="572"/>
      <c r="F16" s="572"/>
      <c r="G16" s="572" t="s">
        <v>413</v>
      </c>
      <c r="H16" s="572"/>
      <c r="I16" s="572" t="s">
        <v>414</v>
      </c>
      <c r="J16" s="572"/>
      <c r="K16" s="572" t="s">
        <v>415</v>
      </c>
      <c r="L16" s="572"/>
      <c r="M16" s="578" t="s">
        <v>416</v>
      </c>
      <c r="N16" s="578"/>
      <c r="O16" s="572" t="s">
        <v>416</v>
      </c>
      <c r="P16" s="572"/>
      <c r="Q16" s="578" t="s">
        <v>417</v>
      </c>
      <c r="R16" s="572"/>
      <c r="S16" s="572" t="s">
        <v>418</v>
      </c>
      <c r="T16" s="572"/>
      <c r="U16" s="559" t="s">
        <v>468</v>
      </c>
      <c r="V16" s="572"/>
      <c r="W16" s="578" t="s">
        <v>419</v>
      </c>
      <c r="X16" s="559"/>
      <c r="Y16" s="575"/>
      <c r="Z16" s="559"/>
      <c r="AD16" s="559"/>
      <c r="AE16" s="559"/>
      <c r="AK16" s="581"/>
      <c r="AL16" s="582"/>
      <c r="AM16" s="582"/>
      <c r="AN16" s="582"/>
      <c r="AO16" s="582"/>
      <c r="AP16" s="582"/>
      <c r="AQ16" s="582"/>
      <c r="AR16" s="582"/>
      <c r="AS16" s="582"/>
      <c r="AT16" s="582"/>
      <c r="AU16" s="582"/>
      <c r="AV16" s="559"/>
      <c r="AW16" s="559"/>
      <c r="AX16" s="559"/>
      <c r="AY16" s="559"/>
      <c r="AZ16" s="559"/>
    </row>
    <row r="17" spans="1:52" ht="15.6">
      <c r="A17" s="558"/>
      <c r="B17" s="365" t="s">
        <v>420</v>
      </c>
      <c r="C17" s="583" t="str">
        <f>C39</f>
        <v>12/31/2022</v>
      </c>
      <c r="D17" s="559"/>
      <c r="E17" s="572"/>
      <c r="F17" s="572"/>
      <c r="G17" s="572"/>
      <c r="H17" s="572"/>
      <c r="I17" s="572" t="s">
        <v>587</v>
      </c>
      <c r="J17" s="572"/>
      <c r="K17" s="572" t="s">
        <v>588</v>
      </c>
      <c r="L17" s="572"/>
      <c r="M17" s="572"/>
      <c r="N17" s="572"/>
      <c r="O17" s="572"/>
      <c r="P17" s="572"/>
      <c r="Q17" s="578" t="s">
        <v>590</v>
      </c>
      <c r="R17" s="572"/>
      <c r="S17" s="572" t="s">
        <v>589</v>
      </c>
      <c r="T17" s="572"/>
      <c r="U17" s="572"/>
      <c r="V17" s="572"/>
      <c r="W17" s="559"/>
      <c r="X17" s="559"/>
      <c r="Y17" s="575"/>
      <c r="Z17" s="559"/>
      <c r="AD17" s="559"/>
      <c r="AE17" s="559"/>
      <c r="AK17" s="581"/>
      <c r="AL17" s="582"/>
      <c r="AM17" s="582"/>
      <c r="AN17" s="582"/>
      <c r="AO17" s="582"/>
      <c r="AP17" s="582"/>
      <c r="AQ17" s="582"/>
      <c r="AR17" s="582"/>
      <c r="AS17" s="582"/>
      <c r="AT17" s="582"/>
      <c r="AU17" s="582"/>
      <c r="AV17" s="559"/>
      <c r="AW17" s="559"/>
      <c r="AX17" s="559"/>
      <c r="AY17" s="559"/>
      <c r="AZ17" s="559"/>
    </row>
    <row r="18" spans="1:52">
      <c r="A18" s="558"/>
      <c r="B18" s="584" t="s">
        <v>421</v>
      </c>
      <c r="C18" s="559"/>
      <c r="D18" s="559"/>
      <c r="E18" s="585"/>
      <c r="F18" s="585"/>
      <c r="G18" s="585"/>
      <c r="H18" s="585"/>
      <c r="I18" s="585"/>
      <c r="J18" s="585"/>
      <c r="K18" s="585"/>
      <c r="L18" s="585"/>
      <c r="M18" s="585"/>
      <c r="N18" s="585"/>
      <c r="O18" s="572"/>
      <c r="P18" s="585"/>
      <c r="Q18" s="586"/>
      <c r="R18" s="585"/>
      <c r="S18" s="572"/>
      <c r="T18" s="572"/>
      <c r="U18" s="572"/>
      <c r="V18" s="572"/>
      <c r="W18" s="559"/>
      <c r="X18" s="559"/>
      <c r="Y18" s="575"/>
      <c r="Z18" s="559"/>
      <c r="AD18" s="559"/>
      <c r="AE18" s="559"/>
      <c r="AK18" s="581"/>
      <c r="AL18" s="582"/>
      <c r="AM18" s="582"/>
      <c r="AN18" s="582"/>
      <c r="AO18" s="582"/>
      <c r="AP18" s="582"/>
      <c r="AQ18" s="582"/>
      <c r="AR18" s="582"/>
      <c r="AS18" s="582"/>
      <c r="AT18" s="582"/>
      <c r="AU18" s="582"/>
      <c r="AV18" s="559"/>
      <c r="AW18" s="559"/>
      <c r="AX18" s="559"/>
      <c r="AY18" s="559"/>
      <c r="AZ18" s="559"/>
    </row>
    <row r="19" spans="1:52">
      <c r="A19" s="943" t="s">
        <v>19</v>
      </c>
      <c r="B19" s="662" t="s">
        <v>1217</v>
      </c>
      <c r="C19" s="675"/>
      <c r="D19" s="673">
        <v>41605</v>
      </c>
      <c r="E19" s="676"/>
      <c r="F19" s="676"/>
      <c r="G19" s="673">
        <v>45397</v>
      </c>
      <c r="H19" s="585"/>
      <c r="I19" s="589">
        <f>I46</f>
        <v>400000000</v>
      </c>
      <c r="J19" s="589"/>
      <c r="K19" s="589">
        <f>S46</f>
        <v>397205412</v>
      </c>
      <c r="L19" s="589"/>
      <c r="M19" s="590">
        <v>399652887.40822786</v>
      </c>
      <c r="N19" s="678"/>
      <c r="O19" s="679">
        <v>12</v>
      </c>
      <c r="P19" s="585"/>
      <c r="Q19" s="591">
        <f>M19*O19/12</f>
        <v>399652887.40822786</v>
      </c>
      <c r="R19" s="585"/>
      <c r="S19" s="592">
        <f t="shared" ref="S19:S24" si="0">+Q19/$Q$25</f>
        <v>0.24182188899716825</v>
      </c>
      <c r="T19" s="559"/>
      <c r="U19" s="593">
        <f>AA46</f>
        <v>4.1831896920155952E-2</v>
      </c>
      <c r="V19" s="559"/>
      <c r="W19" s="592">
        <f>+S19*U19</f>
        <v>1.0115868333566936E-2</v>
      </c>
      <c r="X19" s="559"/>
      <c r="Y19" s="575"/>
      <c r="Z19" s="594"/>
      <c r="AD19" s="559"/>
      <c r="AE19" s="559"/>
      <c r="AK19" s="581"/>
      <c r="AL19" s="582"/>
      <c r="AM19" s="582"/>
      <c r="AN19" s="582"/>
      <c r="AO19" s="582"/>
      <c r="AP19" s="582"/>
      <c r="AQ19" s="582"/>
      <c r="AR19" s="582"/>
      <c r="AS19" s="582"/>
      <c r="AT19" s="582"/>
      <c r="AU19" s="582"/>
      <c r="AV19" s="559"/>
      <c r="AW19" s="559"/>
      <c r="AX19" s="559"/>
      <c r="AY19" s="559"/>
      <c r="AZ19" s="559"/>
    </row>
    <row r="20" spans="1:52">
      <c r="A20" s="943" t="s">
        <v>20</v>
      </c>
      <c r="B20" s="662" t="s">
        <v>1218</v>
      </c>
      <c r="C20" s="677"/>
      <c r="D20" s="673">
        <v>41605</v>
      </c>
      <c r="E20" s="596"/>
      <c r="F20" s="596"/>
      <c r="G20" s="673">
        <v>52580</v>
      </c>
      <c r="H20" s="596"/>
      <c r="I20" s="600">
        <f>I47</f>
        <v>600000000</v>
      </c>
      <c r="J20" s="600"/>
      <c r="K20" s="589">
        <f>S47</f>
        <v>595004162</v>
      </c>
      <c r="L20" s="600"/>
      <c r="M20" s="682">
        <v>594618243.34203124</v>
      </c>
      <c r="N20" s="680"/>
      <c r="O20" s="679">
        <v>12</v>
      </c>
      <c r="P20" s="597"/>
      <c r="Q20" s="591">
        <f t="shared" ref="Q20:Q23" si="1">M20*O20/12</f>
        <v>594618243.34203124</v>
      </c>
      <c r="R20" s="597"/>
      <c r="S20" s="592">
        <f t="shared" si="0"/>
        <v>0.35979148748216339</v>
      </c>
      <c r="T20" s="595"/>
      <c r="U20" s="593">
        <f>AA47</f>
        <v>5.4564508055501622E-2</v>
      </c>
      <c r="V20" s="595"/>
      <c r="W20" s="592">
        <f t="shared" ref="W20:W23" si="2">+S20*U20</f>
        <v>1.9631845517021414E-2</v>
      </c>
      <c r="X20" s="595"/>
      <c r="Y20" s="575"/>
      <c r="Z20" s="594"/>
      <c r="AD20" s="559"/>
      <c r="AE20" s="559"/>
      <c r="AK20" s="581"/>
      <c r="AL20" s="582"/>
      <c r="AM20" s="582"/>
      <c r="AN20" s="582"/>
      <c r="AO20" s="582"/>
      <c r="AP20" s="582"/>
      <c r="AQ20" s="582"/>
      <c r="AR20" s="582"/>
      <c r="AS20" s="582"/>
      <c r="AT20" s="582"/>
      <c r="AU20" s="582"/>
      <c r="AV20" s="559"/>
      <c r="AW20" s="559"/>
      <c r="AX20" s="559"/>
      <c r="AY20" s="559"/>
      <c r="AZ20" s="559"/>
    </row>
    <row r="21" spans="1:52">
      <c r="A21" s="943" t="s">
        <v>21</v>
      </c>
      <c r="B21" s="662" t="s">
        <v>1219</v>
      </c>
      <c r="C21" s="672"/>
      <c r="D21" s="673">
        <v>42871</v>
      </c>
      <c r="E21" s="674"/>
      <c r="F21" s="674"/>
      <c r="G21" s="673">
        <v>46522</v>
      </c>
      <c r="H21" s="599"/>
      <c r="I21" s="600">
        <f>I48</f>
        <v>250000000</v>
      </c>
      <c r="J21" s="600"/>
      <c r="K21" s="589">
        <f>S48</f>
        <v>247578784</v>
      </c>
      <c r="L21" s="600"/>
      <c r="M21" s="590">
        <v>248941588.40427279</v>
      </c>
      <c r="N21" s="676"/>
      <c r="O21" s="679">
        <v>12</v>
      </c>
      <c r="P21" s="601"/>
      <c r="Q21" s="591">
        <f t="shared" si="1"/>
        <v>248941588.40427279</v>
      </c>
      <c r="R21" s="601"/>
      <c r="S21" s="592">
        <f t="shared" si="0"/>
        <v>0.1506295264079642</v>
      </c>
      <c r="T21" s="573"/>
      <c r="U21" s="593">
        <f t="shared" ref="U21:U23" si="3">AA48</f>
        <v>3.6665778587178378E-2</v>
      </c>
      <c r="V21" s="573"/>
      <c r="W21" s="592">
        <f t="shared" si="2"/>
        <v>5.5229488639659541E-3</v>
      </c>
      <c r="X21" s="559"/>
      <c r="Y21" s="575"/>
      <c r="Z21" s="559"/>
      <c r="AD21" s="559"/>
      <c r="AE21" s="559"/>
      <c r="AK21" s="581"/>
      <c r="AL21" s="582"/>
      <c r="AM21" s="582"/>
      <c r="AN21" s="582"/>
      <c r="AO21" s="582"/>
      <c r="AP21" s="582"/>
      <c r="AQ21" s="582"/>
      <c r="AR21" s="582"/>
      <c r="AS21" s="582"/>
      <c r="AT21" s="582"/>
      <c r="AU21" s="582"/>
      <c r="AV21" s="559"/>
      <c r="AW21" s="559"/>
      <c r="AX21" s="559"/>
      <c r="AY21" s="559"/>
      <c r="AZ21" s="559"/>
    </row>
    <row r="22" spans="1:52">
      <c r="A22" s="943" t="s">
        <v>22</v>
      </c>
      <c r="B22" s="662" t="s">
        <v>1220</v>
      </c>
      <c r="C22" s="672"/>
      <c r="D22" s="673">
        <v>43783</v>
      </c>
      <c r="E22" s="674"/>
      <c r="F22" s="674"/>
      <c r="G22" s="673">
        <v>47437</v>
      </c>
      <c r="H22" s="602"/>
      <c r="I22" s="600">
        <f>I49</f>
        <v>155000000</v>
      </c>
      <c r="J22" s="600"/>
      <c r="K22" s="589">
        <f>S49</f>
        <v>154413237</v>
      </c>
      <c r="L22" s="600"/>
      <c r="M22" s="590">
        <v>154596781.091133</v>
      </c>
      <c r="N22" s="680"/>
      <c r="O22" s="679">
        <v>12</v>
      </c>
      <c r="P22" s="585"/>
      <c r="Q22" s="591">
        <f t="shared" si="1"/>
        <v>154596781.091133</v>
      </c>
      <c r="R22" s="585"/>
      <c r="S22" s="592">
        <f t="shared" si="0"/>
        <v>9.3543389311616473E-2</v>
      </c>
      <c r="T22" s="573"/>
      <c r="U22" s="593">
        <f t="shared" si="3"/>
        <v>3.2746788845760377E-2</v>
      </c>
      <c r="V22" s="573"/>
      <c r="W22" s="592">
        <f t="shared" si="2"/>
        <v>3.0632456177042628E-3</v>
      </c>
      <c r="X22" s="559"/>
      <c r="Y22" s="575"/>
      <c r="Z22" s="559"/>
      <c r="AD22" s="559"/>
      <c r="AE22" s="559"/>
      <c r="AK22" s="581"/>
      <c r="AL22" s="582"/>
      <c r="AM22" s="582"/>
      <c r="AN22" s="582"/>
      <c r="AO22" s="582"/>
      <c r="AP22" s="582"/>
      <c r="AQ22" s="582"/>
      <c r="AR22" s="582"/>
      <c r="AS22" s="582"/>
      <c r="AT22" s="582"/>
      <c r="AU22" s="582"/>
      <c r="AV22" s="559"/>
      <c r="AW22" s="559"/>
      <c r="AX22" s="559"/>
      <c r="AY22" s="559"/>
      <c r="AZ22" s="559"/>
    </row>
    <row r="23" spans="1:52">
      <c r="A23" s="943" t="s">
        <v>23</v>
      </c>
      <c r="B23" s="662" t="s">
        <v>1221</v>
      </c>
      <c r="C23" s="672"/>
      <c r="D23" s="673">
        <v>43783</v>
      </c>
      <c r="E23" s="674"/>
      <c r="F23" s="674"/>
      <c r="G23" s="673">
        <v>47437</v>
      </c>
      <c r="H23" s="602"/>
      <c r="I23" s="600">
        <f>I50</f>
        <v>45000000</v>
      </c>
      <c r="J23" s="600"/>
      <c r="K23" s="589">
        <f>S50</f>
        <v>44413237</v>
      </c>
      <c r="L23" s="600"/>
      <c r="M23" s="590">
        <v>44596781.091133006</v>
      </c>
      <c r="N23" s="680"/>
      <c r="O23" s="679">
        <v>12</v>
      </c>
      <c r="P23" s="585"/>
      <c r="Q23" s="591">
        <f t="shared" si="1"/>
        <v>44596781.091133006</v>
      </c>
      <c r="R23" s="585"/>
      <c r="S23" s="592">
        <f t="shared" si="0"/>
        <v>2.6984611362597534E-2</v>
      </c>
      <c r="T23" s="573"/>
      <c r="U23" s="593">
        <f t="shared" si="3"/>
        <v>4.0901314833460926E-2</v>
      </c>
      <c r="V23" s="573"/>
      <c r="W23" s="592">
        <f t="shared" si="2"/>
        <v>1.1037060850001888E-3</v>
      </c>
      <c r="X23" s="559"/>
      <c r="Y23" s="575"/>
      <c r="Z23" s="559"/>
      <c r="AD23" s="559"/>
      <c r="AE23" s="559"/>
      <c r="AK23" s="581"/>
      <c r="AL23" s="582"/>
      <c r="AM23" s="582"/>
      <c r="AN23" s="582"/>
      <c r="AO23" s="582"/>
      <c r="AP23" s="582"/>
      <c r="AQ23" s="582"/>
      <c r="AR23" s="582"/>
      <c r="AS23" s="582"/>
      <c r="AT23" s="582"/>
      <c r="AU23" s="582"/>
      <c r="AV23" s="559"/>
      <c r="AW23" s="559"/>
      <c r="AX23" s="559"/>
      <c r="AY23" s="559"/>
      <c r="AZ23" s="559"/>
    </row>
    <row r="24" spans="1:52" ht="16.8">
      <c r="A24" s="943" t="s">
        <v>24</v>
      </c>
      <c r="B24" s="662" t="s">
        <v>1219</v>
      </c>
      <c r="C24" s="672"/>
      <c r="D24" s="673">
        <v>44295</v>
      </c>
      <c r="E24" s="674"/>
      <c r="F24" s="674"/>
      <c r="G24" s="673">
        <v>46522</v>
      </c>
      <c r="H24" s="602"/>
      <c r="I24" s="683">
        <f t="shared" ref="I24" si="4">I51</f>
        <v>200000000</v>
      </c>
      <c r="J24" s="600"/>
      <c r="K24" s="589">
        <f t="shared" ref="K24" si="5">S51</f>
        <v>214328000</v>
      </c>
      <c r="L24" s="600"/>
      <c r="M24" s="603">
        <v>210268292.77054334</v>
      </c>
      <c r="N24" s="674"/>
      <c r="O24" s="679">
        <v>12</v>
      </c>
      <c r="P24" s="601"/>
      <c r="Q24" s="604">
        <f>M24*O24/12</f>
        <v>210268292.77054334</v>
      </c>
      <c r="R24" s="601"/>
      <c r="S24" s="605">
        <f t="shared" si="0"/>
        <v>0.12722909643849001</v>
      </c>
      <c r="T24" s="573"/>
      <c r="U24" s="593">
        <f>AA51</f>
        <v>2.2848593947896151E-2</v>
      </c>
      <c r="V24" s="573"/>
      <c r="W24" s="941">
        <f>+S24*U24</f>
        <v>2.9070059628807784E-3</v>
      </c>
      <c r="X24" s="559"/>
      <c r="Y24" s="575"/>
      <c r="Z24" s="559"/>
      <c r="AD24" s="559"/>
      <c r="AE24" s="559"/>
      <c r="AK24" s="559"/>
      <c r="AL24" s="559"/>
      <c r="AM24" s="559"/>
      <c r="AN24" s="559"/>
      <c r="AO24" s="559"/>
      <c r="AP24" s="559"/>
      <c r="AQ24" s="582"/>
      <c r="AR24" s="559"/>
      <c r="AS24" s="582"/>
      <c r="AT24" s="559"/>
      <c r="AU24" s="559"/>
      <c r="AV24" s="559"/>
      <c r="AW24" s="559"/>
      <c r="AX24" s="559"/>
      <c r="AY24" s="559"/>
      <c r="AZ24" s="559"/>
    </row>
    <row r="25" spans="1:52" ht="15.6" thickBot="1">
      <c r="A25" s="587"/>
      <c r="B25" s="660"/>
      <c r="C25" s="594"/>
      <c r="D25" s="559"/>
      <c r="E25" s="594"/>
      <c r="F25" s="594"/>
      <c r="G25" s="576"/>
      <c r="H25" s="594"/>
      <c r="I25" s="606">
        <f>SUM(I19:I24)</f>
        <v>1650000000</v>
      </c>
      <c r="J25" s="606"/>
      <c r="K25" s="606"/>
      <c r="L25" s="606"/>
      <c r="M25" s="606">
        <f>SUM(M19:M24)</f>
        <v>1652674574.1073415</v>
      </c>
      <c r="N25" s="576"/>
      <c r="O25" s="594"/>
      <c r="P25" s="576"/>
      <c r="Q25" s="600">
        <f>SUM(Q19:Q24)</f>
        <v>1652674574.1073415</v>
      </c>
      <c r="R25" s="576"/>
      <c r="S25" s="607">
        <f>SUM(S19:S24)</f>
        <v>0.99999999999999989</v>
      </c>
      <c r="T25" s="594"/>
      <c r="U25" s="559"/>
      <c r="V25" s="594"/>
      <c r="W25" s="866">
        <f>ROUND(SUM(W19:W24),4)</f>
        <v>4.2299999999999997E-2</v>
      </c>
      <c r="X25" s="957" t="s">
        <v>422</v>
      </c>
      <c r="Y25" s="575"/>
      <c r="Z25" s="559"/>
      <c r="AD25" s="559"/>
      <c r="AE25" s="559"/>
      <c r="AK25" s="559"/>
      <c r="AL25" s="559"/>
      <c r="AM25" s="559"/>
      <c r="AN25" s="559"/>
      <c r="AO25" s="559"/>
      <c r="AP25" s="559"/>
      <c r="AQ25" s="582"/>
      <c r="AR25" s="559"/>
      <c r="AS25" s="582"/>
      <c r="AT25" s="559"/>
      <c r="AU25" s="559"/>
      <c r="AV25" s="559"/>
      <c r="AW25" s="559"/>
      <c r="AX25" s="559"/>
      <c r="AY25" s="559"/>
      <c r="AZ25" s="559"/>
    </row>
    <row r="26" spans="1:52" ht="15.6" thickTop="1">
      <c r="A26" s="558"/>
      <c r="B26" s="559"/>
      <c r="C26" s="594"/>
      <c r="D26" s="594"/>
      <c r="E26" s="594"/>
      <c r="F26" s="594"/>
      <c r="G26" s="594"/>
      <c r="H26" s="594"/>
      <c r="I26" s="594"/>
      <c r="J26" s="594"/>
      <c r="K26" s="594"/>
      <c r="L26" s="594"/>
      <c r="M26" s="594"/>
      <c r="N26" s="594"/>
      <c r="O26" s="594"/>
      <c r="P26" s="594"/>
      <c r="Q26" s="608"/>
      <c r="R26" s="594"/>
      <c r="S26" s="594"/>
      <c r="T26" s="594"/>
      <c r="U26" s="594"/>
      <c r="V26" s="594"/>
      <c r="W26" s="607"/>
      <c r="X26" s="594"/>
      <c r="Y26" s="609"/>
      <c r="Z26" s="594"/>
      <c r="AA26" s="559"/>
      <c r="AB26" s="559"/>
      <c r="AC26" s="559"/>
      <c r="AD26" s="559"/>
      <c r="AE26" s="559"/>
      <c r="AK26" s="559"/>
      <c r="AL26" s="559"/>
      <c r="AM26" s="559"/>
      <c r="AN26" s="559"/>
      <c r="AO26" s="559"/>
      <c r="AP26" s="559"/>
      <c r="AQ26" s="610"/>
      <c r="AR26" s="559"/>
      <c r="AS26" s="610"/>
      <c r="AT26" s="559"/>
      <c r="AU26" s="559"/>
      <c r="AV26" s="559"/>
      <c r="AW26" s="559"/>
      <c r="AX26" s="559"/>
      <c r="AY26" s="559"/>
      <c r="AZ26" s="559"/>
    </row>
    <row r="27" spans="1:52">
      <c r="A27" s="558"/>
      <c r="B27" s="559"/>
      <c r="C27" s="594"/>
      <c r="D27" s="594"/>
      <c r="E27" s="594"/>
      <c r="F27" s="594"/>
      <c r="G27" s="594"/>
      <c r="H27" s="594"/>
      <c r="I27" s="594"/>
      <c r="J27" s="594"/>
      <c r="K27" s="594"/>
      <c r="L27" s="594"/>
      <c r="M27" s="594"/>
      <c r="N27" s="594"/>
      <c r="O27" s="594"/>
      <c r="P27" s="594"/>
      <c r="Q27" s="608"/>
      <c r="R27" s="594"/>
      <c r="S27" s="594"/>
      <c r="T27" s="594"/>
      <c r="U27" s="594"/>
      <c r="V27" s="594"/>
      <c r="W27" s="607"/>
      <c r="X27" s="594"/>
      <c r="Y27" s="609"/>
      <c r="Z27" s="594"/>
      <c r="AA27" s="559"/>
      <c r="AB27" s="559"/>
      <c r="AC27" s="559"/>
      <c r="AD27" s="559"/>
      <c r="AE27" s="559"/>
      <c r="AK27" s="559"/>
      <c r="AL27" s="559"/>
      <c r="AM27" s="559"/>
      <c r="AN27" s="559"/>
      <c r="AO27" s="559"/>
      <c r="AP27" s="559"/>
      <c r="AQ27" s="610"/>
      <c r="AR27" s="559"/>
      <c r="AS27" s="610"/>
      <c r="AT27" s="559"/>
      <c r="AU27" s="559"/>
      <c r="AV27" s="559"/>
      <c r="AW27" s="559"/>
      <c r="AX27" s="559"/>
      <c r="AY27" s="559"/>
      <c r="AZ27" s="559"/>
    </row>
    <row r="28" spans="1:52">
      <c r="A28" s="558"/>
      <c r="B28" s="366" t="s">
        <v>423</v>
      </c>
      <c r="C28" s="594"/>
      <c r="D28" s="594"/>
      <c r="E28" s="594"/>
      <c r="F28" s="594"/>
      <c r="G28" s="594"/>
      <c r="H28" s="594"/>
      <c r="I28" s="594"/>
      <c r="J28" s="594"/>
      <c r="K28" s="594"/>
      <c r="L28" s="594"/>
      <c r="M28" s="594"/>
      <c r="N28" s="594"/>
      <c r="O28" s="594"/>
      <c r="P28" s="594"/>
      <c r="Q28" s="594"/>
      <c r="R28" s="594"/>
      <c r="S28" s="594"/>
      <c r="T28" s="594"/>
      <c r="U28" s="594"/>
      <c r="V28" s="594"/>
      <c r="W28" s="607"/>
      <c r="X28" s="594"/>
      <c r="Y28" s="609"/>
      <c r="Z28" s="594"/>
      <c r="AA28" s="559"/>
      <c r="AB28" s="559"/>
      <c r="AC28" s="559"/>
      <c r="AD28" s="559"/>
      <c r="AE28" s="559"/>
      <c r="AK28" s="559"/>
      <c r="AL28" s="559"/>
      <c r="AM28" s="559"/>
      <c r="AN28" s="559"/>
      <c r="AO28" s="559"/>
      <c r="AP28" s="559"/>
      <c r="AQ28" s="610"/>
      <c r="AR28" s="559"/>
      <c r="AS28" s="610"/>
      <c r="AT28" s="559"/>
      <c r="AU28" s="559"/>
      <c r="AV28" s="559"/>
      <c r="AW28" s="559"/>
      <c r="AX28" s="559"/>
      <c r="AY28" s="559"/>
      <c r="AZ28" s="559"/>
    </row>
    <row r="29" spans="1:52">
      <c r="A29" s="558"/>
      <c r="B29" s="366" t="s">
        <v>424</v>
      </c>
      <c r="C29" s="594"/>
      <c r="D29" s="594"/>
      <c r="E29" s="594"/>
      <c r="F29" s="594"/>
      <c r="G29" s="594"/>
      <c r="H29" s="594"/>
      <c r="I29" s="594"/>
      <c r="J29" s="594"/>
      <c r="K29" s="594"/>
      <c r="L29" s="594"/>
      <c r="M29" s="594"/>
      <c r="N29" s="594"/>
      <c r="O29" s="594"/>
      <c r="P29" s="594"/>
      <c r="Q29" s="594"/>
      <c r="R29" s="594"/>
      <c r="S29" s="594"/>
      <c r="T29" s="594"/>
      <c r="U29" s="594"/>
      <c r="V29" s="594"/>
      <c r="W29" s="607"/>
      <c r="X29" s="594"/>
      <c r="Y29" s="609"/>
      <c r="Z29" s="594"/>
      <c r="AA29" s="559"/>
      <c r="AB29" s="559"/>
      <c r="AC29" s="559"/>
      <c r="AD29" s="559"/>
      <c r="AE29" s="559"/>
      <c r="AK29" s="559"/>
      <c r="AL29" s="559"/>
      <c r="AM29" s="559"/>
      <c r="AN29" s="559"/>
      <c r="AO29" s="559"/>
      <c r="AP29" s="559"/>
      <c r="AQ29" s="610"/>
      <c r="AR29" s="559"/>
      <c r="AS29" s="610"/>
      <c r="AT29" s="559"/>
      <c r="AU29" s="559"/>
      <c r="AV29" s="559"/>
      <c r="AW29" s="559"/>
      <c r="AX29" s="559"/>
      <c r="AY29" s="559"/>
      <c r="AZ29" s="559"/>
    </row>
    <row r="30" spans="1:52">
      <c r="A30" s="558"/>
      <c r="B30" s="657" t="s">
        <v>425</v>
      </c>
      <c r="C30" s="594"/>
      <c r="D30" s="594"/>
      <c r="E30" s="594"/>
      <c r="F30" s="594"/>
      <c r="G30" s="594"/>
      <c r="H30" s="594"/>
      <c r="I30" s="594"/>
      <c r="J30" s="594"/>
      <c r="K30" s="594"/>
      <c r="L30" s="594"/>
      <c r="M30" s="594"/>
      <c r="N30" s="594"/>
      <c r="O30" s="594"/>
      <c r="P30" s="594"/>
      <c r="Q30" s="594"/>
      <c r="R30" s="594"/>
      <c r="S30" s="594"/>
      <c r="T30" s="594"/>
      <c r="U30" s="594"/>
      <c r="V30" s="594"/>
      <c r="W30" s="594"/>
      <c r="X30" s="594"/>
      <c r="Y30" s="609"/>
      <c r="Z30" s="594"/>
      <c r="AA30" s="559"/>
      <c r="AB30" s="559"/>
      <c r="AC30" s="559"/>
      <c r="AD30" s="559"/>
      <c r="AE30" s="559"/>
      <c r="AK30" s="559"/>
      <c r="AL30" s="559"/>
      <c r="AM30" s="559"/>
      <c r="AN30" s="559"/>
      <c r="AO30" s="559"/>
      <c r="AP30" s="559"/>
      <c r="AQ30" s="559"/>
      <c r="AR30" s="559"/>
      <c r="AS30" s="559"/>
      <c r="AT30" s="559"/>
      <c r="AU30" s="559"/>
      <c r="AV30" s="559"/>
      <c r="AW30" s="559"/>
      <c r="AX30" s="559"/>
      <c r="AY30" s="559"/>
      <c r="AZ30" s="559"/>
    </row>
    <row r="31" spans="1:52">
      <c r="A31" s="558"/>
      <c r="B31" s="658" t="s">
        <v>1128</v>
      </c>
      <c r="C31" s="602"/>
      <c r="D31" s="602"/>
      <c r="E31" s="602"/>
      <c r="F31" s="602"/>
      <c r="G31" s="602"/>
      <c r="H31" s="602"/>
      <c r="I31" s="602"/>
      <c r="J31" s="602"/>
      <c r="K31" s="602"/>
      <c r="L31" s="602"/>
      <c r="M31" s="602"/>
      <c r="N31" s="602"/>
      <c r="O31" s="602"/>
      <c r="P31" s="594"/>
      <c r="Q31" s="594"/>
      <c r="R31" s="594"/>
      <c r="S31" s="594"/>
      <c r="T31" s="594"/>
      <c r="U31" s="594"/>
      <c r="V31" s="594"/>
      <c r="W31" s="594"/>
      <c r="X31" s="594"/>
      <c r="Y31" s="609"/>
      <c r="Z31" s="594"/>
      <c r="AA31" s="559"/>
      <c r="AB31" s="559"/>
      <c r="AC31" s="559"/>
      <c r="AD31" s="559"/>
      <c r="AE31" s="559"/>
      <c r="AK31" s="559"/>
      <c r="AL31" s="559"/>
      <c r="AM31" s="559"/>
      <c r="AN31" s="559"/>
      <c r="AO31" s="559"/>
      <c r="AP31" s="559"/>
      <c r="AQ31" s="559"/>
      <c r="AR31" s="559"/>
      <c r="AS31" s="559"/>
      <c r="AT31" s="559"/>
      <c r="AU31" s="559"/>
      <c r="AV31" s="559"/>
      <c r="AW31" s="559"/>
      <c r="AX31" s="559"/>
      <c r="AY31" s="559"/>
      <c r="AZ31" s="559"/>
    </row>
    <row r="32" spans="1:52">
      <c r="A32" s="611"/>
      <c r="B32" s="659" t="s">
        <v>426</v>
      </c>
      <c r="C32" s="612"/>
      <c r="D32" s="612"/>
      <c r="E32" s="612"/>
      <c r="F32" s="612"/>
      <c r="G32" s="612"/>
      <c r="H32" s="612"/>
      <c r="I32" s="612"/>
      <c r="J32" s="612"/>
      <c r="K32" s="612"/>
      <c r="L32" s="612"/>
      <c r="M32" s="612"/>
      <c r="N32" s="612"/>
      <c r="O32" s="612"/>
      <c r="P32" s="612"/>
      <c r="Q32" s="612"/>
      <c r="R32" s="612"/>
      <c r="S32" s="612"/>
      <c r="T32" s="612"/>
      <c r="U32" s="612"/>
      <c r="V32" s="612"/>
      <c r="W32" s="612"/>
      <c r="X32" s="612"/>
      <c r="Y32" s="613"/>
      <c r="Z32" s="594"/>
      <c r="AA32" s="559"/>
      <c r="AB32" s="559"/>
      <c r="AC32" s="559"/>
      <c r="AD32" s="559"/>
      <c r="AE32" s="559"/>
      <c r="AK32" s="559"/>
      <c r="AL32" s="559"/>
      <c r="AM32" s="559"/>
      <c r="AN32" s="559"/>
      <c r="AO32" s="559"/>
      <c r="AP32" s="559"/>
      <c r="AQ32" s="559"/>
      <c r="AR32" s="559"/>
      <c r="AS32" s="559"/>
      <c r="AT32" s="559"/>
      <c r="AU32" s="559"/>
      <c r="AV32" s="559"/>
      <c r="AW32" s="559"/>
      <c r="AX32" s="559"/>
      <c r="AY32" s="559"/>
      <c r="AZ32" s="559"/>
    </row>
    <row r="33" spans="1:52" s="1254" customFormat="1">
      <c r="A33" s="1250"/>
      <c r="B33" s="1251" t="s">
        <v>1094</v>
      </c>
      <c r="C33" s="1252"/>
      <c r="D33" s="1252"/>
      <c r="E33" s="1252"/>
      <c r="F33" s="1252"/>
      <c r="G33" s="1252"/>
      <c r="H33" s="1252"/>
      <c r="I33" s="1252"/>
      <c r="J33" s="1252"/>
      <c r="K33" s="1252"/>
      <c r="L33" s="1252"/>
      <c r="M33" s="1252"/>
      <c r="N33" s="1252"/>
      <c r="O33" s="1252"/>
      <c r="P33" s="1252"/>
      <c r="Q33" s="1252"/>
      <c r="R33" s="1252"/>
      <c r="S33" s="1252"/>
      <c r="T33" s="1252"/>
      <c r="U33" s="1252"/>
      <c r="V33" s="1252"/>
      <c r="W33" s="1252"/>
      <c r="X33" s="1252"/>
      <c r="Y33" s="1253"/>
      <c r="Z33" s="602"/>
      <c r="AA33" s="573"/>
      <c r="AB33" s="573"/>
      <c r="AC33" s="573"/>
      <c r="AD33" s="573"/>
      <c r="AE33" s="573"/>
      <c r="AK33" s="573"/>
      <c r="AL33" s="573"/>
      <c r="AM33" s="573"/>
      <c r="AN33" s="573"/>
      <c r="AO33" s="573"/>
      <c r="AP33" s="573"/>
      <c r="AQ33" s="573"/>
      <c r="AR33" s="573"/>
      <c r="AS33" s="573"/>
      <c r="AT33" s="573"/>
      <c r="AU33" s="573"/>
      <c r="AV33" s="573"/>
      <c r="AW33" s="573"/>
      <c r="AX33" s="573"/>
      <c r="AY33" s="573"/>
      <c r="AZ33" s="573"/>
    </row>
    <row r="34" spans="1:52">
      <c r="A34" s="559"/>
      <c r="B34" s="607"/>
      <c r="C34" s="594"/>
      <c r="D34" s="594"/>
      <c r="E34" s="594"/>
      <c r="F34" s="594"/>
      <c r="G34" s="594"/>
      <c r="H34" s="594"/>
      <c r="I34" s="594"/>
      <c r="J34" s="594"/>
      <c r="K34" s="594"/>
      <c r="L34" s="594"/>
      <c r="M34" s="594"/>
      <c r="N34" s="594"/>
      <c r="O34" s="594"/>
      <c r="P34" s="594"/>
      <c r="Q34" s="594"/>
      <c r="R34" s="594"/>
      <c r="S34" s="594"/>
      <c r="T34" s="594"/>
      <c r="U34" s="594"/>
      <c r="V34" s="594"/>
      <c r="W34" s="594"/>
      <c r="X34" s="594"/>
      <c r="Y34" s="594"/>
      <c r="Z34" s="594"/>
      <c r="AA34" s="559"/>
      <c r="AB34" s="559"/>
      <c r="AC34" s="559"/>
      <c r="AD34" s="559"/>
      <c r="AE34" s="559"/>
      <c r="AK34" s="559"/>
      <c r="AL34" s="559"/>
      <c r="AM34" s="559"/>
      <c r="AN34" s="559"/>
      <c r="AO34" s="559"/>
      <c r="AP34" s="559"/>
      <c r="AQ34" s="559"/>
      <c r="AR34" s="559"/>
      <c r="AS34" s="559"/>
      <c r="AT34" s="559"/>
      <c r="AU34" s="559"/>
      <c r="AV34" s="559"/>
      <c r="AW34" s="559"/>
      <c r="AX34" s="559"/>
      <c r="AY34" s="559"/>
      <c r="AZ34" s="559"/>
    </row>
    <row r="35" spans="1:52">
      <c r="A35" s="559"/>
      <c r="B35" s="607"/>
      <c r="C35" s="594"/>
      <c r="D35" s="594"/>
      <c r="E35" s="594"/>
      <c r="F35" s="594"/>
      <c r="G35" s="594"/>
      <c r="H35" s="594"/>
      <c r="I35" s="594"/>
      <c r="J35" s="594"/>
      <c r="K35" s="594"/>
      <c r="L35" s="594"/>
      <c r="M35" s="594"/>
      <c r="N35" s="594"/>
      <c r="O35" s="594"/>
      <c r="P35" s="594"/>
      <c r="Q35" s="594"/>
      <c r="R35" s="594"/>
      <c r="S35" s="594"/>
      <c r="T35" s="594"/>
      <c r="U35" s="594"/>
      <c r="V35" s="594"/>
      <c r="W35" s="594"/>
      <c r="X35" s="594"/>
      <c r="Y35" s="594"/>
      <c r="Z35" s="594"/>
      <c r="AA35" s="559"/>
      <c r="AB35" s="559"/>
      <c r="AC35" s="559"/>
      <c r="AD35" s="559"/>
      <c r="AE35" s="559"/>
      <c r="AK35" s="559"/>
      <c r="AL35" s="559"/>
      <c r="AM35" s="559"/>
      <c r="AN35" s="559"/>
      <c r="AO35" s="559"/>
      <c r="AP35" s="559"/>
      <c r="AQ35" s="559"/>
      <c r="AR35" s="559"/>
      <c r="AS35" s="559"/>
      <c r="AT35" s="559"/>
      <c r="AU35" s="559"/>
      <c r="AV35" s="559"/>
      <c r="AW35" s="559"/>
      <c r="AX35" s="559"/>
      <c r="AY35" s="559"/>
      <c r="AZ35" s="559"/>
    </row>
    <row r="36" spans="1:52" s="559" customFormat="1" ht="15.6">
      <c r="B36" s="367"/>
      <c r="C36" s="594"/>
      <c r="D36" s="594"/>
      <c r="E36" s="594"/>
      <c r="F36" s="594"/>
      <c r="G36" s="594"/>
      <c r="H36" s="594"/>
      <c r="I36" s="594"/>
      <c r="J36" s="594"/>
      <c r="K36" s="594"/>
      <c r="L36" s="594"/>
      <c r="M36" s="594"/>
      <c r="N36" s="594"/>
      <c r="O36" s="594"/>
      <c r="P36" s="594"/>
      <c r="Q36" s="594"/>
      <c r="R36" s="594"/>
      <c r="S36" s="594"/>
      <c r="T36" s="594"/>
      <c r="U36" s="594"/>
      <c r="V36" s="594"/>
      <c r="W36" s="594"/>
      <c r="X36" s="594"/>
      <c r="Y36" s="594"/>
      <c r="Z36" s="612"/>
      <c r="AA36" s="614"/>
    </row>
    <row r="37" spans="1:52" ht="15.6">
      <c r="A37" s="555"/>
      <c r="B37" s="368" t="s">
        <v>427</v>
      </c>
      <c r="C37" s="615"/>
      <c r="D37" s="615"/>
      <c r="E37" s="615"/>
      <c r="F37" s="615"/>
      <c r="G37" s="615"/>
      <c r="H37" s="615"/>
      <c r="I37" s="615"/>
      <c r="J37" s="615"/>
      <c r="K37" s="615"/>
      <c r="L37" s="615"/>
      <c r="M37" s="615"/>
      <c r="N37" s="615"/>
      <c r="O37" s="615"/>
      <c r="P37" s="615"/>
      <c r="Q37" s="615"/>
      <c r="R37" s="615"/>
      <c r="S37" s="616"/>
      <c r="T37" s="615"/>
      <c r="U37" s="615"/>
      <c r="V37" s="615"/>
      <c r="W37" s="615"/>
      <c r="X37" s="615"/>
      <c r="Y37" s="615"/>
      <c r="Z37" s="594"/>
      <c r="AA37" s="617"/>
      <c r="AB37" s="559"/>
      <c r="AK37" s="559"/>
      <c r="AL37" s="559"/>
      <c r="AM37" s="559"/>
      <c r="AN37" s="559"/>
      <c r="AO37" s="559"/>
      <c r="AP37" s="559"/>
      <c r="AQ37" s="559"/>
      <c r="AR37" s="559"/>
      <c r="AS37" s="559"/>
      <c r="AT37" s="559"/>
      <c r="AU37" s="559"/>
      <c r="AV37" s="559"/>
      <c r="AW37" s="559"/>
      <c r="AX37" s="559"/>
      <c r="AY37" s="559"/>
      <c r="AZ37" s="559"/>
    </row>
    <row r="38" spans="1:52" ht="16.2" thickBot="1">
      <c r="A38" s="558"/>
      <c r="B38" s="365"/>
      <c r="C38" s="594"/>
      <c r="D38" s="594"/>
      <c r="E38" s="594"/>
      <c r="F38" s="594"/>
      <c r="G38" s="594"/>
      <c r="H38" s="594"/>
      <c r="I38" s="594"/>
      <c r="J38" s="594"/>
      <c r="K38" s="594"/>
      <c r="L38" s="594"/>
      <c r="M38" s="594"/>
      <c r="N38" s="594"/>
      <c r="O38" s="594"/>
      <c r="P38" s="594"/>
      <c r="Q38" s="594"/>
      <c r="R38" s="594"/>
      <c r="S38" s="609"/>
      <c r="T38" s="594"/>
      <c r="U38" s="594"/>
      <c r="V38" s="594"/>
      <c r="W38" s="594"/>
      <c r="X38" s="594"/>
      <c r="Y38" s="594"/>
      <c r="Z38" s="594"/>
      <c r="AA38" s="575"/>
      <c r="AB38" s="559"/>
      <c r="AK38" s="559"/>
      <c r="AL38" s="559"/>
      <c r="AM38" s="559"/>
      <c r="AN38" s="559"/>
      <c r="AO38" s="559"/>
      <c r="AP38" s="559"/>
      <c r="AQ38" s="559"/>
      <c r="AR38" s="559"/>
      <c r="AS38" s="559"/>
      <c r="AT38" s="559"/>
      <c r="AU38" s="559"/>
      <c r="AV38" s="559"/>
      <c r="AW38" s="559"/>
      <c r="AX38" s="559"/>
      <c r="AY38" s="559"/>
      <c r="AZ38" s="559"/>
    </row>
    <row r="39" spans="1:52" ht="16.2" thickBot="1">
      <c r="A39" s="558"/>
      <c r="B39" s="563" t="s">
        <v>399</v>
      </c>
      <c r="C39" s="564" t="str">
        <f>C9</f>
        <v>12/31/2022</v>
      </c>
      <c r="D39" s="594"/>
      <c r="E39" s="594"/>
      <c r="F39" s="594"/>
      <c r="G39" s="594"/>
      <c r="H39" s="594"/>
      <c r="I39" s="594"/>
      <c r="J39" s="594"/>
      <c r="K39" s="594"/>
      <c r="L39" s="594"/>
      <c r="M39" s="594"/>
      <c r="N39" s="594"/>
      <c r="O39" s="594"/>
      <c r="P39" s="594"/>
      <c r="Q39" s="594"/>
      <c r="R39" s="594"/>
      <c r="S39" s="609"/>
      <c r="T39" s="594"/>
      <c r="U39" s="594"/>
      <c r="V39" s="594"/>
      <c r="W39" s="594"/>
      <c r="X39" s="594"/>
      <c r="Y39" s="594"/>
      <c r="Z39" s="594"/>
      <c r="AA39" s="575"/>
      <c r="AB39" s="559"/>
      <c r="AK39" s="559"/>
      <c r="AL39" s="559"/>
      <c r="AM39" s="559"/>
      <c r="AN39" s="559"/>
      <c r="AO39" s="559"/>
      <c r="AP39" s="559"/>
      <c r="AQ39" s="559"/>
      <c r="AR39" s="559"/>
      <c r="AS39" s="559"/>
      <c r="AT39" s="559"/>
      <c r="AU39" s="559"/>
      <c r="AV39" s="559"/>
      <c r="AW39" s="559"/>
      <c r="AX39" s="559"/>
      <c r="AY39" s="559"/>
      <c r="AZ39" s="559"/>
    </row>
    <row r="40" spans="1:52" s="571" customFormat="1" ht="15.6">
      <c r="A40" s="567"/>
      <c r="B40" s="364"/>
      <c r="C40" s="364"/>
      <c r="D40" s="618" t="s">
        <v>428</v>
      </c>
      <c r="E40" s="364"/>
      <c r="F40" s="364"/>
      <c r="G40" s="618" t="s">
        <v>429</v>
      </c>
      <c r="H40" s="364"/>
      <c r="I40" s="618" t="s">
        <v>430</v>
      </c>
      <c r="J40" s="364"/>
      <c r="K40" s="618" t="s">
        <v>431</v>
      </c>
      <c r="L40" s="364"/>
      <c r="M40" s="618" t="s">
        <v>432</v>
      </c>
      <c r="N40" s="364"/>
      <c r="O40" s="618" t="s">
        <v>433</v>
      </c>
      <c r="P40" s="364"/>
      <c r="Q40" s="364" t="s">
        <v>434</v>
      </c>
      <c r="R40" s="364"/>
      <c r="S40" s="570" t="s">
        <v>435</v>
      </c>
      <c r="T40" s="364"/>
      <c r="U40" s="618" t="s">
        <v>436</v>
      </c>
      <c r="V40" s="364"/>
      <c r="W40" s="618" t="s">
        <v>437</v>
      </c>
      <c r="X40" s="364"/>
      <c r="Y40" s="571" t="s">
        <v>438</v>
      </c>
      <c r="Z40" s="364"/>
      <c r="AA40" s="570" t="s">
        <v>439</v>
      </c>
      <c r="AB40" s="364"/>
      <c r="AG40" s="364"/>
      <c r="AK40" s="364"/>
      <c r="AL40" s="364"/>
      <c r="AM40" s="364"/>
      <c r="AN40" s="364"/>
      <c r="AO40" s="364"/>
      <c r="AP40" s="364"/>
      <c r="AQ40" s="619"/>
      <c r="AR40" s="364"/>
      <c r="AS40" s="619"/>
      <c r="AT40" s="364"/>
      <c r="AU40" s="364"/>
      <c r="AV40" s="364"/>
      <c r="AW40" s="364"/>
      <c r="AX40" s="364"/>
      <c r="AY40" s="364"/>
      <c r="AZ40" s="364"/>
    </row>
    <row r="41" spans="1:52" ht="15.6">
      <c r="A41" s="558"/>
      <c r="B41" s="620"/>
      <c r="C41" s="559"/>
      <c r="D41" s="559"/>
      <c r="E41" s="559"/>
      <c r="F41" s="559"/>
      <c r="G41" s="559"/>
      <c r="H41" s="559"/>
      <c r="I41" s="559"/>
      <c r="J41" s="559"/>
      <c r="K41" s="572" t="s">
        <v>440</v>
      </c>
      <c r="L41" s="572"/>
      <c r="M41" s="559"/>
      <c r="N41" s="559"/>
      <c r="O41" s="572" t="s">
        <v>441</v>
      </c>
      <c r="P41" s="559"/>
      <c r="Q41" s="572" t="s">
        <v>442</v>
      </c>
      <c r="R41" s="559"/>
      <c r="S41" s="575"/>
      <c r="T41" s="559"/>
      <c r="U41" s="572" t="s">
        <v>401</v>
      </c>
      <c r="V41" s="559"/>
      <c r="W41" s="559"/>
      <c r="X41" s="559"/>
      <c r="Y41" s="559"/>
      <c r="Z41" s="559"/>
      <c r="AA41" s="621" t="s">
        <v>443</v>
      </c>
      <c r="AB41" s="572"/>
      <c r="AD41" s="572"/>
      <c r="AE41" s="572"/>
      <c r="AF41" s="572"/>
      <c r="AG41" s="572"/>
      <c r="AH41" s="559"/>
      <c r="AI41" s="559"/>
      <c r="AK41" s="559"/>
      <c r="AL41" s="559"/>
      <c r="AM41" s="559"/>
      <c r="AN41" s="559"/>
      <c r="AO41" s="559"/>
      <c r="AP41" s="559"/>
      <c r="AQ41" s="559"/>
      <c r="AR41" s="559"/>
      <c r="AS41" s="559"/>
      <c r="AT41" s="559"/>
      <c r="AU41" s="559"/>
      <c r="AV41" s="559"/>
      <c r="AW41" s="559"/>
      <c r="AX41" s="559"/>
      <c r="AY41" s="559"/>
      <c r="AZ41" s="559"/>
    </row>
    <row r="42" spans="1:52">
      <c r="A42" s="558"/>
      <c r="B42" s="559"/>
      <c r="C42" s="559"/>
      <c r="D42" s="572" t="s">
        <v>444</v>
      </c>
      <c r="E42" s="572"/>
      <c r="F42" s="572"/>
      <c r="G42" s="572" t="s">
        <v>445</v>
      </c>
      <c r="H42" s="572"/>
      <c r="I42" s="572" t="s">
        <v>8</v>
      </c>
      <c r="J42" s="572"/>
      <c r="K42" s="572" t="s">
        <v>446</v>
      </c>
      <c r="L42" s="572"/>
      <c r="M42" s="572" t="s">
        <v>447</v>
      </c>
      <c r="N42" s="572"/>
      <c r="O42" s="572" t="s">
        <v>448</v>
      </c>
      <c r="P42" s="572"/>
      <c r="Q42" s="572" t="s">
        <v>358</v>
      </c>
      <c r="R42" s="559"/>
      <c r="S42" s="621" t="s">
        <v>401</v>
      </c>
      <c r="T42" s="572"/>
      <c r="U42" s="572" t="s">
        <v>449</v>
      </c>
      <c r="V42" s="572"/>
      <c r="W42" s="572" t="s">
        <v>450</v>
      </c>
      <c r="X42" s="572"/>
      <c r="Y42" s="572" t="s">
        <v>451</v>
      </c>
      <c r="Z42" s="572"/>
      <c r="AA42" s="621" t="s">
        <v>452</v>
      </c>
      <c r="AB42" s="572"/>
      <c r="AD42" s="572"/>
      <c r="AF42" s="572"/>
      <c r="AG42" s="588"/>
      <c r="AH42" s="572"/>
      <c r="AK42" s="559"/>
      <c r="AL42" s="559"/>
      <c r="AM42" s="559"/>
      <c r="AN42" s="559"/>
      <c r="AO42" s="559"/>
      <c r="AP42" s="559"/>
      <c r="AQ42" s="559"/>
      <c r="AR42" s="559"/>
      <c r="AS42" s="559"/>
      <c r="AT42" s="559"/>
      <c r="AU42" s="559"/>
      <c r="AV42" s="559"/>
      <c r="AW42" s="559"/>
      <c r="AX42" s="559"/>
      <c r="AY42" s="559"/>
      <c r="AZ42" s="559"/>
    </row>
    <row r="43" spans="1:52" ht="15.6">
      <c r="A43" s="558"/>
      <c r="B43" s="365" t="s">
        <v>453</v>
      </c>
      <c r="C43" s="559" t="s">
        <v>454</v>
      </c>
      <c r="D43" s="572" t="s">
        <v>455</v>
      </c>
      <c r="E43" s="580"/>
      <c r="F43" s="580"/>
      <c r="G43" s="572" t="s">
        <v>455</v>
      </c>
      <c r="H43" s="580"/>
      <c r="I43" s="572" t="s">
        <v>456</v>
      </c>
      <c r="J43" s="580"/>
      <c r="K43" s="572" t="s">
        <v>457</v>
      </c>
      <c r="L43" s="580"/>
      <c r="M43" s="572" t="s">
        <v>458</v>
      </c>
      <c r="N43" s="572"/>
      <c r="O43" s="572" t="s">
        <v>459</v>
      </c>
      <c r="P43" s="572"/>
      <c r="Q43" s="572"/>
      <c r="R43" s="559"/>
      <c r="S43" s="621" t="s">
        <v>449</v>
      </c>
      <c r="T43" s="572"/>
      <c r="U43" s="572" t="s">
        <v>460</v>
      </c>
      <c r="V43" s="580"/>
      <c r="W43" s="572" t="s">
        <v>461</v>
      </c>
      <c r="X43" s="580"/>
      <c r="Y43" s="572" t="s">
        <v>462</v>
      </c>
      <c r="Z43" s="580"/>
      <c r="AA43" s="621" t="s">
        <v>463</v>
      </c>
      <c r="AB43" s="572"/>
      <c r="AD43" s="572"/>
      <c r="AF43" s="572"/>
      <c r="AG43" s="588"/>
      <c r="AH43" s="572"/>
      <c r="AK43" s="559"/>
      <c r="AL43" s="559"/>
      <c r="AM43" s="559"/>
      <c r="AN43" s="559"/>
      <c r="AO43" s="559"/>
      <c r="AP43" s="559"/>
      <c r="AQ43" s="559"/>
      <c r="AR43" s="559"/>
      <c r="AS43" s="559"/>
      <c r="AT43" s="559"/>
      <c r="AU43" s="559"/>
      <c r="AV43" s="559"/>
      <c r="AW43" s="559"/>
      <c r="AX43" s="559"/>
      <c r="AY43" s="559"/>
      <c r="AZ43" s="559"/>
    </row>
    <row r="44" spans="1:52" ht="37.5" customHeight="1">
      <c r="A44" s="558"/>
      <c r="B44" s="559"/>
      <c r="C44" s="559"/>
      <c r="D44" s="572"/>
      <c r="E44" s="580"/>
      <c r="F44" s="580"/>
      <c r="G44" s="572"/>
      <c r="H44" s="580"/>
      <c r="I44" s="572"/>
      <c r="J44" s="580"/>
      <c r="K44" s="572"/>
      <c r="L44" s="580"/>
      <c r="M44" s="572"/>
      <c r="N44" s="572"/>
      <c r="O44" s="572"/>
      <c r="P44" s="572"/>
      <c r="Q44" s="559"/>
      <c r="R44" s="559"/>
      <c r="S44" s="939" t="s">
        <v>650</v>
      </c>
      <c r="T44" s="578"/>
      <c r="U44" s="940" t="s">
        <v>710</v>
      </c>
      <c r="V44" s="580"/>
      <c r="W44" s="572"/>
      <c r="X44" s="580"/>
      <c r="Y44" s="572" t="s">
        <v>591</v>
      </c>
      <c r="Z44" s="580"/>
      <c r="AA44" s="621"/>
      <c r="AB44" s="572"/>
      <c r="AD44" s="572"/>
      <c r="AF44" s="572"/>
      <c r="AG44" s="588"/>
      <c r="AH44" s="572"/>
      <c r="AK44" s="559"/>
      <c r="AL44" s="559"/>
      <c r="AM44" s="559"/>
      <c r="AN44" s="559"/>
      <c r="AO44" s="559"/>
      <c r="AP44" s="559"/>
      <c r="AQ44" s="559"/>
      <c r="AR44" s="559"/>
      <c r="AS44" s="559"/>
      <c r="AT44" s="559"/>
      <c r="AU44" s="559"/>
      <c r="AV44" s="559"/>
      <c r="AW44" s="559"/>
      <c r="AX44" s="559"/>
      <c r="AY44" s="559"/>
      <c r="AZ44" s="559"/>
    </row>
    <row r="45" spans="1:52">
      <c r="A45" s="558"/>
      <c r="B45" s="622"/>
      <c r="C45" s="559"/>
      <c r="D45" s="572"/>
      <c r="E45" s="580"/>
      <c r="F45" s="580"/>
      <c r="G45" s="572"/>
      <c r="H45" s="580"/>
      <c r="I45" s="572"/>
      <c r="J45" s="580"/>
      <c r="K45" s="572"/>
      <c r="L45" s="580"/>
      <c r="M45" s="572"/>
      <c r="N45" s="572"/>
      <c r="O45" s="572"/>
      <c r="P45" s="572"/>
      <c r="Q45" s="559"/>
      <c r="R45" s="559"/>
      <c r="S45" s="623"/>
      <c r="T45" s="572"/>
      <c r="U45" s="572"/>
      <c r="V45" s="580"/>
      <c r="W45" s="572"/>
      <c r="X45" s="580"/>
      <c r="Y45" s="572"/>
      <c r="Z45" s="580"/>
      <c r="AA45" s="621"/>
      <c r="AB45" s="572"/>
      <c r="AD45" s="572"/>
      <c r="AF45" s="572"/>
      <c r="AG45" s="572"/>
      <c r="AH45" s="572"/>
      <c r="AK45" s="559"/>
      <c r="AL45" s="559"/>
      <c r="AM45" s="559"/>
      <c r="AN45" s="559"/>
      <c r="AO45" s="559"/>
      <c r="AP45" s="559"/>
      <c r="AQ45" s="559"/>
      <c r="AR45" s="559"/>
      <c r="AS45" s="559"/>
      <c r="AT45" s="559"/>
      <c r="AU45" s="559"/>
      <c r="AV45" s="559"/>
      <c r="AW45" s="559"/>
      <c r="AX45" s="559"/>
      <c r="AY45" s="559"/>
      <c r="AZ45" s="559"/>
    </row>
    <row r="46" spans="1:52">
      <c r="A46" s="624" t="str">
        <f>A19</f>
        <v>(1)</v>
      </c>
      <c r="B46" s="964" t="str">
        <f>B19</f>
        <v>4.10%, Senior Unsecured Note</v>
      </c>
      <c r="C46" s="672"/>
      <c r="D46" s="673">
        <v>41605</v>
      </c>
      <c r="E46" s="674"/>
      <c r="F46" s="674"/>
      <c r="G46" s="673">
        <v>45397</v>
      </c>
      <c r="H46" s="672"/>
      <c r="I46" s="590">
        <v>400000000</v>
      </c>
      <c r="J46" s="672"/>
      <c r="K46" s="590">
        <v>456000</v>
      </c>
      <c r="L46" s="672"/>
      <c r="M46" s="590">
        <v>3250588</v>
      </c>
      <c r="N46" s="625"/>
      <c r="O46" s="599">
        <v>0</v>
      </c>
      <c r="P46" s="625"/>
      <c r="Q46" s="572"/>
      <c r="R46" s="559"/>
      <c r="S46" s="626">
        <f>+I46+K46-M46-O46</f>
        <v>397205412</v>
      </c>
      <c r="T46" s="625"/>
      <c r="U46" s="627">
        <f>(S46/I46)*100</f>
        <v>99.301353000000006</v>
      </c>
      <c r="V46" s="559"/>
      <c r="W46" s="1300">
        <v>4.1000000000000002E-2</v>
      </c>
      <c r="X46" s="559"/>
      <c r="Y46" s="576">
        <f>W46*I46</f>
        <v>16400000</v>
      </c>
      <c r="Z46" s="559"/>
      <c r="AA46" s="628">
        <f>YIELD(D46,G46,W46,U46,100,2,0)</f>
        <v>4.1831896920155952E-2</v>
      </c>
      <c r="AB46" s="629"/>
      <c r="AD46" s="630"/>
      <c r="AF46" s="631"/>
      <c r="AG46" s="632"/>
      <c r="AH46" s="632"/>
      <c r="AK46" s="559"/>
      <c r="AL46" s="559"/>
      <c r="AM46" s="559"/>
      <c r="AN46" s="559"/>
      <c r="AO46" s="559"/>
      <c r="AP46" s="559"/>
      <c r="AQ46" s="559"/>
      <c r="AR46" s="559"/>
      <c r="AS46" s="559"/>
      <c r="AT46" s="559"/>
      <c r="AU46" s="559"/>
      <c r="AV46" s="559"/>
      <c r="AW46" s="559"/>
      <c r="AX46" s="559"/>
      <c r="AY46" s="559"/>
      <c r="AZ46" s="559"/>
    </row>
    <row r="47" spans="1:52">
      <c r="A47" s="624" t="str">
        <f>A20</f>
        <v>(2)</v>
      </c>
      <c r="B47" s="964" t="str">
        <f t="shared" ref="B47:B51" si="6">B20</f>
        <v>5.40%, Senior Unsecured Note</v>
      </c>
      <c r="C47" s="672"/>
      <c r="D47" s="673">
        <v>41605</v>
      </c>
      <c r="E47" s="674"/>
      <c r="F47" s="674"/>
      <c r="G47" s="673">
        <v>52580</v>
      </c>
      <c r="H47" s="672"/>
      <c r="I47" s="590">
        <v>600000000</v>
      </c>
      <c r="J47" s="672"/>
      <c r="K47" s="590">
        <v>1086000</v>
      </c>
      <c r="L47" s="672"/>
      <c r="M47" s="590">
        <v>6081838</v>
      </c>
      <c r="N47" s="559"/>
      <c r="O47" s="559"/>
      <c r="P47" s="559"/>
      <c r="Q47" s="559"/>
      <c r="R47" s="559"/>
      <c r="S47" s="626">
        <f>+I47+K47-M47-O47</f>
        <v>595004162</v>
      </c>
      <c r="T47" s="559"/>
      <c r="U47" s="627">
        <f>(S47/I47)*100</f>
        <v>99.167360333333335</v>
      </c>
      <c r="V47" s="559"/>
      <c r="W47" s="1301">
        <v>5.3999999999999999E-2</v>
      </c>
      <c r="X47" s="559"/>
      <c r="Y47" s="576">
        <f>W47*I47</f>
        <v>32400000</v>
      </c>
      <c r="Z47" s="559"/>
      <c r="AA47" s="628">
        <f t="shared" ref="AA47:AA51" si="7">YIELD(D47,G47,W47,U47,100,2,0)</f>
        <v>5.4564508055501622E-2</v>
      </c>
      <c r="AB47" s="559"/>
    </row>
    <row r="48" spans="1:52">
      <c r="A48" s="624" t="str">
        <f>A21</f>
        <v>(3)</v>
      </c>
      <c r="B48" s="964" t="str">
        <f t="shared" si="6"/>
        <v>3.55%, Senior Unsecured Note</v>
      </c>
      <c r="C48" s="672"/>
      <c r="D48" s="673">
        <v>42871</v>
      </c>
      <c r="E48" s="674"/>
      <c r="F48" s="674"/>
      <c r="G48" s="673">
        <v>46522</v>
      </c>
      <c r="H48" s="672"/>
      <c r="I48" s="590">
        <v>250000000</v>
      </c>
      <c r="J48" s="672"/>
      <c r="K48" s="590">
        <v>105000</v>
      </c>
      <c r="L48" s="672"/>
      <c r="M48" s="590">
        <v>2526216</v>
      </c>
      <c r="N48" s="559"/>
      <c r="O48" s="559"/>
      <c r="P48" s="559"/>
      <c r="Q48" s="559"/>
      <c r="R48" s="559"/>
      <c r="S48" s="626">
        <f t="shared" ref="S48" si="8">+I48+K48-M48-O48</f>
        <v>247578784</v>
      </c>
      <c r="T48" s="559"/>
      <c r="U48" s="627">
        <f t="shared" ref="U48:U51" si="9">(S48/I48)*100</f>
        <v>99.031513599999997</v>
      </c>
      <c r="V48" s="559"/>
      <c r="W48" s="1301">
        <v>3.5499999999999997E-2</v>
      </c>
      <c r="X48" s="559"/>
      <c r="Y48" s="576">
        <f t="shared" ref="Y48:Y51" si="10">W48*I48</f>
        <v>8875000</v>
      </c>
      <c r="Z48" s="559"/>
      <c r="AA48" s="628">
        <f t="shared" si="7"/>
        <v>3.6665778587178378E-2</v>
      </c>
      <c r="AB48" s="559"/>
    </row>
    <row r="49" spans="1:35">
      <c r="A49" s="624" t="str">
        <f>A22</f>
        <v>(4)</v>
      </c>
      <c r="B49" s="964" t="str">
        <f t="shared" si="6"/>
        <v>3.23%, Senior Unsecured Note</v>
      </c>
      <c r="C49" s="672"/>
      <c r="D49" s="673">
        <v>43783</v>
      </c>
      <c r="E49" s="674"/>
      <c r="F49" s="674"/>
      <c r="G49" s="673">
        <v>47437</v>
      </c>
      <c r="H49" s="672"/>
      <c r="I49" s="590">
        <v>155000000</v>
      </c>
      <c r="J49" s="672"/>
      <c r="K49" s="590"/>
      <c r="L49" s="672"/>
      <c r="M49" s="590">
        <v>586763</v>
      </c>
      <c r="N49" s="633"/>
      <c r="O49" s="633"/>
      <c r="P49" s="633"/>
      <c r="Q49" s="559"/>
      <c r="R49" s="559"/>
      <c r="S49" s="626">
        <f>+I49+K49-M49-O49</f>
        <v>154413237</v>
      </c>
      <c r="T49" s="633"/>
      <c r="U49" s="627">
        <f t="shared" si="9"/>
        <v>99.621443225806445</v>
      </c>
      <c r="V49" s="559"/>
      <c r="W49" s="1301">
        <v>3.2300000000000002E-2</v>
      </c>
      <c r="X49" s="559"/>
      <c r="Y49" s="576">
        <f>W49*I49</f>
        <v>5006500</v>
      </c>
      <c r="Z49" s="559"/>
      <c r="AA49" s="628">
        <f t="shared" si="7"/>
        <v>3.2746788845760377E-2</v>
      </c>
      <c r="AB49" s="559"/>
      <c r="AG49" s="632"/>
    </row>
    <row r="50" spans="1:35">
      <c r="A50" s="624" t="str">
        <f t="shared" ref="A50:A51" si="11">A23</f>
        <v>(5)</v>
      </c>
      <c r="B50" s="964" t="str">
        <f t="shared" si="6"/>
        <v>3.93%, Senior Unsecured Note</v>
      </c>
      <c r="C50" s="672"/>
      <c r="D50" s="673">
        <v>43783</v>
      </c>
      <c r="E50" s="674"/>
      <c r="F50" s="674"/>
      <c r="G50" s="673">
        <v>47437</v>
      </c>
      <c r="H50" s="672"/>
      <c r="I50" s="590">
        <v>45000000</v>
      </c>
      <c r="J50" s="672"/>
      <c r="K50" s="590"/>
      <c r="L50" s="672"/>
      <c r="M50" s="590">
        <v>586763</v>
      </c>
      <c r="N50" s="633"/>
      <c r="O50" s="633"/>
      <c r="P50" s="633"/>
      <c r="Q50" s="559"/>
      <c r="R50" s="559"/>
      <c r="S50" s="626">
        <f>+I50+K50-M50-O50</f>
        <v>44413237</v>
      </c>
      <c r="T50" s="633"/>
      <c r="U50" s="627">
        <f t="shared" si="9"/>
        <v>98.69608222222223</v>
      </c>
      <c r="V50" s="559"/>
      <c r="W50" s="1301">
        <v>3.9300000000000002E-2</v>
      </c>
      <c r="X50" s="559"/>
      <c r="Y50" s="576">
        <f>W50*I50</f>
        <v>1768500</v>
      </c>
      <c r="Z50" s="559"/>
      <c r="AA50" s="628">
        <f t="shared" si="7"/>
        <v>4.0901314833460926E-2</v>
      </c>
      <c r="AB50" s="559"/>
      <c r="AG50" s="632"/>
    </row>
    <row r="51" spans="1:35" ht="16.8">
      <c r="A51" s="624" t="str">
        <f t="shared" si="11"/>
        <v>(6)</v>
      </c>
      <c r="B51" s="964" t="str">
        <f t="shared" si="6"/>
        <v>3.55%, Senior Unsecured Note</v>
      </c>
      <c r="C51" s="672"/>
      <c r="D51" s="673">
        <v>44295</v>
      </c>
      <c r="E51" s="674"/>
      <c r="F51" s="674"/>
      <c r="G51" s="673">
        <v>46522</v>
      </c>
      <c r="H51" s="672"/>
      <c r="I51" s="634">
        <v>200000000</v>
      </c>
      <c r="J51" s="672"/>
      <c r="K51" s="634">
        <v>16358000</v>
      </c>
      <c r="L51" s="672"/>
      <c r="M51" s="634">
        <v>2030000</v>
      </c>
      <c r="N51" s="633"/>
      <c r="O51" s="633"/>
      <c r="P51" s="633"/>
      <c r="Q51" s="572"/>
      <c r="R51" s="559"/>
      <c r="S51" s="897">
        <f>+I51+K51-M51-O51</f>
        <v>214328000</v>
      </c>
      <c r="T51" s="633"/>
      <c r="U51" s="627">
        <f t="shared" si="9"/>
        <v>107.16399999999999</v>
      </c>
      <c r="V51" s="559"/>
      <c r="W51" s="1300">
        <v>3.5499999999999997E-2</v>
      </c>
      <c r="X51" s="559"/>
      <c r="Y51" s="684">
        <f t="shared" si="10"/>
        <v>7099999.9999999991</v>
      </c>
      <c r="Z51" s="559"/>
      <c r="AA51" s="628">
        <f t="shared" si="7"/>
        <v>2.2848593947896151E-2</v>
      </c>
      <c r="AB51" s="559"/>
      <c r="AG51" s="632"/>
    </row>
    <row r="52" spans="1:35">
      <c r="A52" s="558"/>
      <c r="B52" s="635" t="s">
        <v>464</v>
      </c>
      <c r="C52" s="559"/>
      <c r="D52" s="636"/>
      <c r="E52" s="559"/>
      <c r="F52" s="559"/>
      <c r="G52" s="637"/>
      <c r="H52" s="559"/>
      <c r="I52" s="638">
        <f>SUM(I46:I51)</f>
        <v>1650000000</v>
      </c>
      <c r="J52" s="559"/>
      <c r="K52" s="633">
        <f>SUM(K46:K51)</f>
        <v>18005000</v>
      </c>
      <c r="L52" s="559"/>
      <c r="M52" s="638">
        <f>SUM(M46:M51)</f>
        <v>15062168</v>
      </c>
      <c r="N52" s="638"/>
      <c r="O52" s="633">
        <f>SUM(O46:O51)</f>
        <v>0</v>
      </c>
      <c r="P52" s="638"/>
      <c r="Q52" s="572"/>
      <c r="R52" s="559"/>
      <c r="S52" s="639">
        <f>SUM(S46:S51)</f>
        <v>1652942832</v>
      </c>
      <c r="T52" s="638"/>
      <c r="U52" s="559"/>
      <c r="V52" s="559"/>
      <c r="W52" s="559"/>
      <c r="X52" s="559"/>
      <c r="Y52" s="638">
        <f>SUM(Y46:Y51)</f>
        <v>71550000</v>
      </c>
      <c r="Z52" s="559"/>
      <c r="AA52" s="628"/>
      <c r="AB52" s="559"/>
      <c r="AE52" s="631"/>
      <c r="AG52" s="632"/>
    </row>
    <row r="53" spans="1:35">
      <c r="A53" s="558"/>
      <c r="B53" s="366" t="s">
        <v>465</v>
      </c>
      <c r="C53" s="559"/>
      <c r="D53" s="636"/>
      <c r="E53" s="559"/>
      <c r="F53" s="559"/>
      <c r="G53" s="637"/>
      <c r="H53" s="559"/>
      <c r="I53" s="633"/>
      <c r="J53" s="559"/>
      <c r="K53" s="633"/>
      <c r="L53" s="559"/>
      <c r="M53" s="633"/>
      <c r="N53" s="633"/>
      <c r="O53" s="633"/>
      <c r="P53" s="633"/>
      <c r="Q53" s="633"/>
      <c r="R53" s="633"/>
      <c r="S53" s="575"/>
      <c r="T53" s="559"/>
      <c r="U53" s="559"/>
      <c r="V53" s="559"/>
      <c r="W53" s="633"/>
      <c r="X53" s="559"/>
      <c r="Y53" s="633"/>
      <c r="Z53" s="559"/>
      <c r="AA53" s="640"/>
      <c r="AB53" s="559"/>
      <c r="AE53" s="631"/>
      <c r="AG53" s="632"/>
      <c r="AI53" s="641"/>
    </row>
    <row r="54" spans="1:35" ht="16.2">
      <c r="A54" s="611"/>
      <c r="B54" s="659" t="s">
        <v>631</v>
      </c>
      <c r="C54" s="614"/>
      <c r="D54" s="614"/>
      <c r="E54" s="614"/>
      <c r="F54" s="614"/>
      <c r="G54" s="614"/>
      <c r="H54" s="614"/>
      <c r="I54" s="614"/>
      <c r="J54" s="614"/>
      <c r="K54" s="614"/>
      <c r="L54" s="614"/>
      <c r="M54" s="642"/>
      <c r="N54" s="642"/>
      <c r="O54" s="642"/>
      <c r="P54" s="642"/>
      <c r="Q54" s="642"/>
      <c r="R54" s="642"/>
      <c r="S54" s="643"/>
      <c r="T54" s="614"/>
      <c r="U54" s="614"/>
      <c r="V54" s="614"/>
      <c r="W54" s="614"/>
      <c r="X54" s="614"/>
      <c r="Y54" s="614"/>
      <c r="Z54" s="614"/>
      <c r="AA54" s="644"/>
      <c r="AB54" s="559"/>
    </row>
    <row r="55" spans="1:35">
      <c r="A55" s="611"/>
      <c r="B55" s="659"/>
      <c r="C55" s="614"/>
      <c r="D55" s="614"/>
      <c r="E55" s="614"/>
      <c r="F55" s="614"/>
      <c r="G55" s="614"/>
      <c r="H55" s="614"/>
      <c r="I55" s="614"/>
      <c r="J55" s="614"/>
      <c r="K55" s="614"/>
      <c r="L55" s="614"/>
      <c r="M55" s="642"/>
      <c r="N55" s="642"/>
      <c r="O55" s="642"/>
      <c r="P55" s="642"/>
      <c r="Q55" s="642"/>
      <c r="R55" s="642"/>
      <c r="S55" s="643"/>
      <c r="T55" s="559"/>
      <c r="U55" s="559"/>
      <c r="V55" s="559"/>
      <c r="W55" s="559"/>
      <c r="X55" s="559"/>
      <c r="Y55" s="559"/>
      <c r="Z55" s="559"/>
      <c r="AA55" s="629"/>
      <c r="AB55" s="559"/>
    </row>
    <row r="56" spans="1:35">
      <c r="B56" s="632"/>
      <c r="M56" s="645"/>
      <c r="N56" s="645"/>
      <c r="O56" s="645"/>
      <c r="P56" s="645"/>
      <c r="Q56" s="645"/>
      <c r="R56" s="645"/>
      <c r="Y56" s="646"/>
    </row>
    <row r="57" spans="1:35" ht="17.399999999999999">
      <c r="B57" s="647"/>
      <c r="C57" s="573"/>
      <c r="D57" s="559"/>
      <c r="E57" s="559"/>
      <c r="F57" s="559"/>
      <c r="G57" s="559"/>
      <c r="H57" s="559"/>
      <c r="I57" s="559"/>
      <c r="J57" s="559"/>
      <c r="K57" s="559"/>
      <c r="L57" s="559"/>
      <c r="M57" s="648"/>
      <c r="N57" s="648"/>
      <c r="O57" s="648"/>
      <c r="P57" s="648"/>
      <c r="Q57" s="648"/>
      <c r="R57" s="648"/>
      <c r="S57" s="559"/>
      <c r="T57" s="559"/>
      <c r="U57" s="559"/>
      <c r="V57" s="559"/>
      <c r="W57" s="559"/>
      <c r="X57" s="559"/>
      <c r="Y57" s="633"/>
    </row>
    <row r="58" spans="1:35">
      <c r="C58" s="559"/>
      <c r="D58" s="559"/>
      <c r="E58" s="559"/>
      <c r="F58" s="559"/>
      <c r="G58" s="559"/>
      <c r="H58" s="559"/>
      <c r="I58" s="559"/>
      <c r="J58" s="559"/>
      <c r="K58" s="559"/>
      <c r="L58" s="559"/>
      <c r="M58" s="559"/>
      <c r="N58" s="559"/>
      <c r="O58" s="559"/>
      <c r="P58" s="559"/>
      <c r="Q58" s="559"/>
      <c r="R58" s="559"/>
      <c r="S58" s="559"/>
      <c r="T58" s="559"/>
      <c r="U58" s="559"/>
      <c r="V58" s="559"/>
      <c r="W58" s="559"/>
      <c r="X58" s="559"/>
      <c r="Y58" s="633"/>
      <c r="AA58" s="646"/>
    </row>
    <row r="59" spans="1:35">
      <c r="C59" s="559"/>
      <c r="D59" s="633"/>
      <c r="E59" s="559"/>
      <c r="F59" s="559"/>
      <c r="G59" s="633"/>
      <c r="H59" s="559"/>
      <c r="I59" s="559"/>
      <c r="J59" s="559"/>
      <c r="K59" s="559"/>
      <c r="L59" s="559"/>
      <c r="M59" s="633"/>
      <c r="N59" s="633"/>
      <c r="O59" s="633"/>
      <c r="P59" s="633"/>
      <c r="Q59" s="633"/>
      <c r="R59" s="633"/>
      <c r="S59" s="559"/>
      <c r="T59" s="559"/>
      <c r="U59" s="559"/>
      <c r="V59" s="559"/>
      <c r="W59" s="649"/>
      <c r="X59" s="559"/>
      <c r="Y59" s="633"/>
    </row>
    <row r="60" spans="1:35">
      <c r="C60" s="559"/>
      <c r="D60" s="559"/>
      <c r="E60" s="559"/>
      <c r="F60" s="559"/>
      <c r="G60" s="559"/>
      <c r="H60" s="559"/>
      <c r="I60" s="559"/>
      <c r="J60" s="559"/>
      <c r="K60" s="559"/>
      <c r="L60" s="559"/>
      <c r="M60" s="559"/>
      <c r="N60" s="559"/>
      <c r="O60" s="559"/>
      <c r="P60" s="559"/>
      <c r="Q60" s="559"/>
      <c r="R60" s="559"/>
      <c r="S60" s="559"/>
      <c r="T60" s="559"/>
      <c r="U60" s="559"/>
      <c r="V60" s="559"/>
      <c r="W60" s="649"/>
      <c r="X60" s="559"/>
      <c r="Y60" s="559"/>
    </row>
    <row r="61" spans="1:35">
      <c r="C61" s="559"/>
      <c r="D61" s="650"/>
      <c r="E61" s="559"/>
      <c r="F61" s="559"/>
      <c r="G61" s="650"/>
      <c r="H61" s="559"/>
      <c r="I61" s="559"/>
      <c r="J61" s="559"/>
      <c r="K61" s="559"/>
      <c r="L61" s="559"/>
      <c r="M61" s="650"/>
      <c r="N61" s="650"/>
      <c r="O61" s="650"/>
      <c r="P61" s="650"/>
      <c r="Q61" s="650"/>
      <c r="R61" s="650"/>
      <c r="S61" s="559"/>
      <c r="T61" s="559"/>
      <c r="U61" s="559"/>
      <c r="V61" s="559"/>
      <c r="W61" s="649"/>
      <c r="X61" s="559"/>
      <c r="Y61" s="650"/>
    </row>
    <row r="62" spans="1:35">
      <c r="B62" s="607"/>
      <c r="C62" s="559"/>
      <c r="D62" s="559"/>
      <c r="E62" s="559"/>
      <c r="F62" s="559"/>
      <c r="G62" s="559"/>
      <c r="H62" s="559"/>
      <c r="I62" s="559"/>
      <c r="J62" s="559"/>
      <c r="K62" s="559"/>
      <c r="L62" s="559"/>
      <c r="M62" s="559"/>
      <c r="N62" s="559"/>
      <c r="O62" s="559"/>
      <c r="P62" s="559"/>
      <c r="Q62" s="559"/>
      <c r="R62" s="559"/>
      <c r="S62" s="559"/>
      <c r="T62" s="559"/>
      <c r="U62" s="559"/>
      <c r="V62" s="559"/>
      <c r="W62" s="559"/>
      <c r="X62" s="559"/>
      <c r="Y62" s="559"/>
    </row>
    <row r="63" spans="1:35">
      <c r="B63" s="607"/>
      <c r="C63" s="559"/>
      <c r="D63" s="559"/>
      <c r="E63" s="559"/>
      <c r="F63" s="559"/>
      <c r="G63" s="559"/>
      <c r="H63" s="559"/>
      <c r="I63" s="559"/>
      <c r="J63" s="559"/>
      <c r="K63" s="559"/>
      <c r="L63" s="559"/>
      <c r="M63" s="559"/>
      <c r="N63" s="559"/>
      <c r="O63" s="559"/>
      <c r="P63" s="559"/>
      <c r="Q63" s="559"/>
      <c r="R63" s="559"/>
      <c r="S63" s="559"/>
      <c r="T63" s="559"/>
      <c r="U63" s="559"/>
      <c r="V63" s="559"/>
      <c r="W63" s="559"/>
      <c r="X63" s="559"/>
      <c r="Y63" s="559"/>
    </row>
    <row r="64" spans="1:35">
      <c r="B64" s="559"/>
      <c r="C64" s="559"/>
      <c r="D64" s="559"/>
      <c r="E64" s="559"/>
      <c r="F64" s="559"/>
      <c r="G64" s="559"/>
      <c r="H64" s="559"/>
      <c r="I64" s="559"/>
      <c r="J64" s="559"/>
      <c r="K64" s="559"/>
      <c r="L64" s="559"/>
      <c r="M64" s="559"/>
      <c r="N64" s="559"/>
      <c r="O64" s="559"/>
      <c r="P64" s="559"/>
      <c r="Q64" s="559"/>
      <c r="R64" s="559"/>
      <c r="S64" s="559"/>
      <c r="T64" s="559"/>
      <c r="U64" s="559"/>
      <c r="V64" s="559"/>
      <c r="W64" s="559"/>
      <c r="X64" s="559"/>
      <c r="Y64" s="559"/>
    </row>
    <row r="65" spans="2:35">
      <c r="B65" s="651"/>
      <c r="C65" s="559"/>
      <c r="D65" s="625"/>
      <c r="E65" s="559"/>
      <c r="F65" s="559"/>
      <c r="G65" s="559"/>
      <c r="H65" s="559"/>
      <c r="I65" s="559"/>
      <c r="J65" s="559"/>
      <c r="K65" s="559"/>
      <c r="L65" s="559"/>
      <c r="M65" s="559"/>
      <c r="N65" s="559"/>
      <c r="O65" s="559"/>
      <c r="P65" s="559"/>
      <c r="Q65" s="559"/>
      <c r="R65" s="559"/>
      <c r="S65" s="559"/>
      <c r="T65" s="559"/>
      <c r="U65" s="559"/>
      <c r="V65" s="559"/>
      <c r="W65" s="559"/>
      <c r="X65" s="559"/>
      <c r="Y65" s="559"/>
    </row>
    <row r="66" spans="2:35">
      <c r="B66" s="651"/>
      <c r="C66" s="559"/>
      <c r="D66" s="625"/>
      <c r="E66" s="559"/>
      <c r="F66" s="559"/>
      <c r="G66" s="559"/>
      <c r="H66" s="559"/>
      <c r="I66" s="559"/>
      <c r="J66" s="559"/>
      <c r="K66" s="559"/>
      <c r="L66" s="559"/>
      <c r="M66" s="559"/>
      <c r="N66" s="559"/>
      <c r="O66" s="559"/>
      <c r="P66" s="559"/>
      <c r="Q66" s="559"/>
      <c r="R66" s="559"/>
    </row>
    <row r="67" spans="2:35" ht="15.6">
      <c r="B67" s="652"/>
      <c r="C67" s="557"/>
      <c r="D67" s="557"/>
      <c r="E67" s="557"/>
      <c r="F67" s="557"/>
      <c r="G67" s="557"/>
      <c r="H67" s="557"/>
      <c r="I67" s="557"/>
      <c r="J67" s="557"/>
      <c r="K67" s="557"/>
      <c r="L67" s="559"/>
      <c r="M67" s="559"/>
      <c r="N67" s="559"/>
      <c r="O67" s="559"/>
      <c r="P67" s="559"/>
      <c r="Q67" s="559"/>
      <c r="R67" s="559"/>
    </row>
    <row r="68" spans="2:35">
      <c r="B68" s="559"/>
      <c r="C68" s="559"/>
      <c r="D68" s="572"/>
      <c r="E68" s="559"/>
      <c r="F68" s="559"/>
      <c r="G68" s="572"/>
      <c r="H68" s="559"/>
      <c r="I68" s="572"/>
      <c r="J68" s="559"/>
      <c r="K68" s="572"/>
      <c r="L68" s="559"/>
      <c r="M68" s="559"/>
      <c r="N68" s="559"/>
      <c r="O68" s="559"/>
      <c r="P68" s="559"/>
      <c r="Q68" s="559"/>
      <c r="R68" s="559"/>
    </row>
    <row r="69" spans="2:35">
      <c r="B69" s="559"/>
      <c r="C69" s="559"/>
      <c r="D69" s="572"/>
      <c r="E69" s="559"/>
      <c r="F69" s="559"/>
      <c r="G69" s="572"/>
      <c r="H69" s="559"/>
      <c r="I69" s="572"/>
      <c r="J69" s="559"/>
      <c r="K69" s="572"/>
      <c r="L69" s="559"/>
      <c r="M69" s="559"/>
      <c r="N69" s="559"/>
      <c r="O69" s="559"/>
      <c r="P69" s="559"/>
      <c r="Q69" s="559"/>
      <c r="R69" s="559"/>
    </row>
    <row r="70" spans="2:35">
      <c r="B70" s="559"/>
      <c r="C70" s="559"/>
      <c r="D70" s="625"/>
      <c r="E70" s="559"/>
      <c r="F70" s="559"/>
      <c r="G70" s="653"/>
      <c r="H70" s="559"/>
      <c r="I70" s="653"/>
      <c r="J70" s="559"/>
      <c r="K70" s="653"/>
      <c r="L70" s="559"/>
      <c r="M70" s="559"/>
      <c r="N70" s="559"/>
      <c r="O70" s="559"/>
      <c r="P70" s="559"/>
      <c r="Q70" s="559"/>
      <c r="R70" s="559"/>
    </row>
    <row r="71" spans="2:35">
      <c r="B71" s="559"/>
      <c r="C71" s="559"/>
      <c r="D71" s="625"/>
      <c r="E71" s="559"/>
      <c r="F71" s="559"/>
      <c r="G71" s="653"/>
      <c r="H71" s="559"/>
      <c r="I71" s="653"/>
      <c r="J71" s="559"/>
      <c r="K71" s="559"/>
      <c r="L71" s="559"/>
      <c r="M71" s="559"/>
      <c r="N71" s="559"/>
      <c r="O71" s="559"/>
      <c r="P71" s="559"/>
      <c r="Q71" s="559"/>
      <c r="R71" s="559"/>
    </row>
    <row r="72" spans="2:35">
      <c r="B72" s="559"/>
      <c r="C72" s="559"/>
      <c r="D72" s="625"/>
      <c r="E72" s="559"/>
      <c r="F72" s="559"/>
      <c r="G72" s="653"/>
      <c r="H72" s="559"/>
      <c r="I72" s="653"/>
      <c r="J72" s="559"/>
      <c r="K72" s="653"/>
      <c r="L72" s="559"/>
      <c r="M72" s="559"/>
      <c r="N72" s="559"/>
      <c r="O72" s="559"/>
      <c r="P72" s="559"/>
      <c r="Q72" s="559"/>
      <c r="R72" s="559"/>
    </row>
    <row r="73" spans="2:35">
      <c r="B73" s="559"/>
      <c r="C73" s="559"/>
      <c r="D73" s="625"/>
      <c r="E73" s="559"/>
      <c r="F73" s="559"/>
      <c r="G73" s="653"/>
      <c r="H73" s="559"/>
      <c r="I73" s="653"/>
      <c r="J73" s="559"/>
      <c r="K73" s="559"/>
      <c r="L73" s="559"/>
      <c r="M73" s="559"/>
      <c r="N73" s="559"/>
      <c r="O73" s="559"/>
      <c r="P73" s="559"/>
      <c r="Q73" s="559"/>
      <c r="R73" s="559"/>
    </row>
    <row r="74" spans="2:35">
      <c r="B74" s="559"/>
      <c r="C74" s="559"/>
      <c r="D74" s="625"/>
      <c r="E74" s="559"/>
      <c r="F74" s="559"/>
      <c r="G74" s="653"/>
      <c r="H74" s="559"/>
      <c r="I74" s="653"/>
      <c r="J74" s="559"/>
      <c r="K74" s="653"/>
      <c r="L74" s="559"/>
      <c r="M74" s="559"/>
      <c r="N74" s="559"/>
      <c r="O74" s="559"/>
      <c r="P74" s="559"/>
      <c r="Q74" s="559"/>
      <c r="R74" s="559"/>
    </row>
    <row r="75" spans="2:35">
      <c r="B75" s="559"/>
      <c r="C75" s="559"/>
      <c r="D75" s="625"/>
      <c r="E75" s="559"/>
      <c r="F75" s="559"/>
      <c r="G75" s="653"/>
      <c r="H75" s="559"/>
      <c r="I75" s="653"/>
      <c r="J75" s="559"/>
      <c r="K75" s="559"/>
      <c r="L75" s="559"/>
      <c r="M75" s="559"/>
      <c r="N75" s="559"/>
      <c r="O75" s="559"/>
      <c r="P75" s="559"/>
      <c r="Q75" s="559"/>
      <c r="R75" s="559"/>
    </row>
    <row r="76" spans="2:35" ht="15.6">
      <c r="B76" s="559"/>
      <c r="C76" s="559"/>
      <c r="D76" s="625"/>
      <c r="E76" s="559"/>
      <c r="F76" s="559"/>
      <c r="G76" s="653"/>
      <c r="H76" s="559"/>
      <c r="I76" s="559"/>
      <c r="J76" s="559"/>
      <c r="K76" s="653"/>
      <c r="L76" s="557"/>
      <c r="M76" s="557"/>
      <c r="N76" s="557"/>
      <c r="O76" s="557"/>
      <c r="P76" s="557"/>
      <c r="Q76" s="557"/>
      <c r="R76" s="557"/>
      <c r="S76" s="557"/>
      <c r="T76" s="557"/>
      <c r="U76" s="557"/>
      <c r="V76" s="557"/>
      <c r="W76" s="557"/>
      <c r="X76" s="557"/>
      <c r="Y76" s="557"/>
      <c r="Z76" s="557"/>
    </row>
    <row r="77" spans="2:35" ht="15.6">
      <c r="B77" s="559"/>
      <c r="C77" s="559"/>
      <c r="D77" s="625"/>
      <c r="E77" s="559"/>
      <c r="F77" s="559"/>
      <c r="G77" s="653"/>
      <c r="H77" s="559"/>
      <c r="I77" s="559"/>
      <c r="J77" s="559"/>
      <c r="K77" s="653"/>
      <c r="L77" s="557"/>
      <c r="M77" s="557"/>
      <c r="N77" s="557"/>
      <c r="O77" s="557"/>
      <c r="P77" s="557"/>
      <c r="Q77" s="557"/>
      <c r="R77" s="557"/>
      <c r="S77" s="557"/>
      <c r="T77" s="557"/>
      <c r="U77" s="557"/>
      <c r="V77" s="557"/>
      <c r="W77" s="557"/>
      <c r="X77" s="557"/>
      <c r="Y77" s="557"/>
      <c r="Z77" s="557"/>
    </row>
    <row r="78" spans="2:35" ht="15.6">
      <c r="B78" s="559"/>
      <c r="C78" s="559"/>
      <c r="D78" s="625"/>
      <c r="E78" s="559"/>
      <c r="F78" s="559"/>
      <c r="G78" s="653"/>
      <c r="H78" s="559"/>
      <c r="I78" s="559"/>
      <c r="J78" s="559"/>
      <c r="K78" s="653"/>
      <c r="L78" s="557"/>
      <c r="M78" s="557"/>
      <c r="N78" s="557"/>
      <c r="O78" s="557"/>
      <c r="P78" s="557"/>
      <c r="Q78" s="557"/>
      <c r="R78" s="557"/>
      <c r="S78" s="557"/>
      <c r="T78" s="557"/>
      <c r="U78" s="557"/>
      <c r="V78" s="557"/>
      <c r="W78" s="557"/>
      <c r="X78" s="557"/>
      <c r="Y78" s="557"/>
      <c r="Z78" s="557"/>
    </row>
    <row r="79" spans="2:35" ht="15.6">
      <c r="B79" s="559"/>
      <c r="C79" s="559"/>
      <c r="D79" s="625"/>
      <c r="E79" s="559"/>
      <c r="F79" s="559"/>
      <c r="G79" s="653"/>
      <c r="H79" s="559"/>
      <c r="I79" s="559"/>
      <c r="J79" s="559"/>
      <c r="K79" s="653"/>
      <c r="L79" s="557"/>
      <c r="M79" s="557"/>
      <c r="N79" s="557"/>
      <c r="O79" s="557"/>
      <c r="P79" s="557"/>
      <c r="Q79" s="557"/>
      <c r="R79" s="557"/>
      <c r="S79" s="557"/>
      <c r="T79" s="557"/>
      <c r="U79" s="557"/>
      <c r="V79" s="557"/>
      <c r="W79" s="557"/>
      <c r="X79" s="557"/>
      <c r="Y79" s="557"/>
      <c r="Z79" s="557"/>
    </row>
    <row r="80" spans="2:35" ht="15.6">
      <c r="B80" s="557"/>
      <c r="C80" s="557"/>
      <c r="D80" s="557"/>
      <c r="E80" s="557"/>
      <c r="F80" s="557"/>
      <c r="G80" s="557"/>
      <c r="H80" s="557"/>
      <c r="I80" s="557"/>
      <c r="J80" s="557"/>
      <c r="K80" s="557"/>
      <c r="L80" s="557"/>
      <c r="M80" s="557"/>
      <c r="N80" s="557"/>
      <c r="O80" s="557"/>
      <c r="P80" s="557"/>
      <c r="Q80" s="557"/>
      <c r="R80" s="557"/>
      <c r="S80" s="557"/>
      <c r="T80" s="557"/>
      <c r="U80" s="557"/>
      <c r="V80" s="557"/>
      <c r="W80" s="557"/>
      <c r="X80" s="557"/>
      <c r="Y80" s="557"/>
      <c r="Z80" s="557"/>
      <c r="AA80" s="559"/>
      <c r="AB80" s="559"/>
      <c r="AC80" s="559"/>
      <c r="AD80" s="559"/>
      <c r="AE80" s="559"/>
      <c r="AF80" s="559"/>
      <c r="AG80" s="559"/>
      <c r="AH80" s="559"/>
      <c r="AI80" s="559"/>
    </row>
    <row r="81" spans="2:35" ht="15.6">
      <c r="B81" s="654"/>
      <c r="C81" s="559"/>
      <c r="D81" s="559"/>
      <c r="E81" s="559"/>
      <c r="F81" s="559"/>
      <c r="G81" s="559"/>
      <c r="H81" s="559"/>
      <c r="I81" s="559"/>
      <c r="J81" s="559"/>
      <c r="K81" s="559"/>
      <c r="L81" s="559"/>
      <c r="M81" s="559"/>
      <c r="N81" s="559"/>
      <c r="O81" s="559"/>
      <c r="P81" s="559"/>
      <c r="Q81" s="559"/>
      <c r="R81" s="559"/>
      <c r="S81" s="559"/>
      <c r="T81" s="559"/>
      <c r="U81" s="559"/>
      <c r="V81" s="559"/>
      <c r="W81" s="559"/>
      <c r="X81" s="559"/>
      <c r="Y81" s="559"/>
      <c r="Z81" s="559"/>
      <c r="AA81" s="559"/>
      <c r="AB81" s="559"/>
      <c r="AC81" s="559"/>
      <c r="AD81" s="559"/>
      <c r="AE81" s="559"/>
      <c r="AF81" s="559"/>
      <c r="AG81" s="559"/>
      <c r="AH81" s="559"/>
      <c r="AI81" s="559"/>
    </row>
    <row r="82" spans="2:35" ht="15.6">
      <c r="B82" s="365"/>
      <c r="C82" s="559"/>
      <c r="D82" s="559"/>
      <c r="E82" s="559"/>
      <c r="F82" s="559"/>
      <c r="G82" s="572"/>
      <c r="H82" s="572"/>
      <c r="I82" s="572"/>
      <c r="J82" s="572"/>
      <c r="K82" s="572"/>
      <c r="L82" s="572"/>
      <c r="M82" s="572"/>
      <c r="N82" s="572"/>
      <c r="O82" s="572"/>
      <c r="P82" s="572"/>
      <c r="Q82" s="572"/>
      <c r="R82" s="572"/>
      <c r="S82" s="572"/>
      <c r="T82" s="572"/>
      <c r="U82" s="572"/>
      <c r="V82" s="572"/>
      <c r="W82" s="559"/>
      <c r="X82" s="559"/>
      <c r="Y82" s="559"/>
      <c r="Z82" s="559"/>
      <c r="AA82" s="559"/>
      <c r="AB82" s="559"/>
      <c r="AC82" s="559"/>
      <c r="AD82" s="559"/>
      <c r="AE82" s="559"/>
      <c r="AF82" s="559"/>
      <c r="AG82" s="559"/>
      <c r="AH82" s="559"/>
      <c r="AI82" s="559"/>
    </row>
    <row r="83" spans="2:35">
      <c r="B83" s="559"/>
      <c r="C83" s="559"/>
      <c r="D83" s="572"/>
      <c r="E83" s="572"/>
      <c r="F83" s="572"/>
      <c r="G83" s="572"/>
      <c r="H83" s="572"/>
      <c r="I83" s="572"/>
      <c r="J83" s="572"/>
      <c r="K83" s="572"/>
      <c r="L83" s="572"/>
      <c r="M83" s="572"/>
      <c r="N83" s="572"/>
      <c r="O83" s="572"/>
      <c r="P83" s="572"/>
      <c r="Q83" s="572"/>
      <c r="R83" s="572"/>
      <c r="S83" s="572"/>
      <c r="T83" s="572"/>
      <c r="U83" s="572"/>
      <c r="V83" s="572"/>
      <c r="W83" s="572"/>
      <c r="X83" s="559"/>
      <c r="Y83" s="572"/>
      <c r="Z83" s="572"/>
      <c r="AA83" s="559"/>
      <c r="AB83" s="559"/>
      <c r="AC83" s="559"/>
      <c r="AD83" s="559"/>
      <c r="AE83" s="559"/>
      <c r="AF83" s="559"/>
      <c r="AG83" s="559"/>
      <c r="AH83" s="559"/>
      <c r="AI83" s="559"/>
    </row>
    <row r="84" spans="2:35">
      <c r="B84" s="584"/>
      <c r="C84" s="559"/>
      <c r="D84" s="572"/>
      <c r="E84" s="572"/>
      <c r="F84" s="572"/>
      <c r="G84" s="572"/>
      <c r="H84" s="572"/>
      <c r="I84" s="572"/>
      <c r="J84" s="572"/>
      <c r="K84" s="572"/>
      <c r="L84" s="572"/>
      <c r="M84" s="572"/>
      <c r="N84" s="572"/>
      <c r="O84" s="572"/>
      <c r="P84" s="572"/>
      <c r="Q84" s="572"/>
      <c r="R84" s="572"/>
      <c r="S84" s="572"/>
      <c r="T84" s="572"/>
      <c r="U84" s="572"/>
      <c r="V84" s="572"/>
      <c r="W84" s="572"/>
      <c r="X84" s="559"/>
      <c r="Y84" s="572"/>
      <c r="Z84" s="572"/>
      <c r="AA84" s="559"/>
      <c r="AB84" s="559"/>
      <c r="AC84" s="559"/>
      <c r="AD84" s="559"/>
      <c r="AE84" s="559"/>
      <c r="AF84" s="559"/>
      <c r="AG84" s="559"/>
      <c r="AH84" s="559"/>
      <c r="AI84" s="559"/>
    </row>
    <row r="85" spans="2:35">
      <c r="B85" s="584"/>
      <c r="C85" s="559"/>
      <c r="D85" s="572"/>
      <c r="E85" s="572"/>
      <c r="F85" s="572"/>
      <c r="G85" s="572"/>
      <c r="H85" s="572"/>
      <c r="I85" s="572"/>
      <c r="J85" s="572"/>
      <c r="K85" s="572"/>
      <c r="L85" s="572"/>
      <c r="M85" s="572"/>
      <c r="N85" s="572"/>
      <c r="O85" s="572"/>
      <c r="P85" s="572"/>
      <c r="Q85" s="572"/>
      <c r="R85" s="572"/>
      <c r="S85" s="572"/>
      <c r="T85" s="572"/>
      <c r="U85" s="572"/>
      <c r="V85" s="572"/>
      <c r="W85" s="572"/>
      <c r="X85" s="559"/>
      <c r="Y85" s="572"/>
      <c r="Z85" s="572"/>
      <c r="AA85" s="559"/>
      <c r="AB85" s="559"/>
      <c r="AC85" s="559"/>
      <c r="AD85" s="559"/>
      <c r="AE85" s="559"/>
      <c r="AF85" s="559"/>
      <c r="AG85" s="559"/>
      <c r="AH85" s="559"/>
      <c r="AI85" s="559"/>
    </row>
    <row r="86" spans="2:35">
      <c r="B86" s="607"/>
      <c r="C86" s="559"/>
      <c r="D86" s="576"/>
      <c r="E86" s="576"/>
      <c r="F86" s="576"/>
      <c r="G86" s="576"/>
      <c r="H86" s="594"/>
      <c r="I86" s="576"/>
      <c r="J86" s="594"/>
      <c r="K86" s="594"/>
      <c r="L86" s="594"/>
      <c r="M86" s="594"/>
      <c r="N86" s="594"/>
      <c r="O86" s="594"/>
      <c r="P86" s="594"/>
      <c r="Q86" s="594"/>
      <c r="R86" s="594"/>
      <c r="S86" s="559"/>
      <c r="T86" s="559"/>
      <c r="U86" s="559"/>
      <c r="V86" s="559"/>
      <c r="W86" s="607"/>
      <c r="X86" s="559"/>
      <c r="Y86" s="594"/>
      <c r="Z86" s="572"/>
      <c r="AA86" s="559"/>
      <c r="AB86" s="559"/>
      <c r="AC86" s="559"/>
      <c r="AD86" s="559"/>
      <c r="AE86" s="559"/>
      <c r="AF86" s="559"/>
      <c r="AG86" s="559"/>
      <c r="AH86" s="559"/>
      <c r="AI86" s="559"/>
    </row>
    <row r="87" spans="2:35">
      <c r="B87" s="607"/>
      <c r="C87" s="559"/>
      <c r="D87" s="576"/>
      <c r="E87" s="576"/>
      <c r="F87" s="576"/>
      <c r="G87" s="576"/>
      <c r="H87" s="594"/>
      <c r="I87" s="576"/>
      <c r="J87" s="594"/>
      <c r="K87" s="594"/>
      <c r="L87" s="594"/>
      <c r="M87" s="594"/>
      <c r="N87" s="594"/>
      <c r="O87" s="594"/>
      <c r="P87" s="594"/>
      <c r="Q87" s="594"/>
      <c r="R87" s="594"/>
      <c r="S87" s="559"/>
      <c r="T87" s="559"/>
      <c r="U87" s="559"/>
      <c r="V87" s="559"/>
      <c r="W87" s="607"/>
      <c r="X87" s="559"/>
      <c r="Y87" s="594"/>
      <c r="Z87" s="572"/>
      <c r="AA87" s="559"/>
      <c r="AB87" s="559"/>
      <c r="AC87" s="559"/>
      <c r="AD87" s="559"/>
      <c r="AE87" s="559"/>
      <c r="AF87" s="559"/>
      <c r="AG87" s="559"/>
      <c r="AH87" s="559"/>
      <c r="AI87" s="559"/>
    </row>
    <row r="88" spans="2:35">
      <c r="B88" s="607"/>
      <c r="C88" s="559"/>
      <c r="D88" s="576"/>
      <c r="E88" s="576"/>
      <c r="F88" s="576"/>
      <c r="G88" s="576"/>
      <c r="H88" s="594"/>
      <c r="I88" s="576"/>
      <c r="J88" s="594"/>
      <c r="K88" s="594"/>
      <c r="L88" s="594"/>
      <c r="M88" s="594"/>
      <c r="N88" s="594"/>
      <c r="O88" s="594"/>
      <c r="P88" s="594"/>
      <c r="Q88" s="594"/>
      <c r="R88" s="594"/>
      <c r="S88" s="559"/>
      <c r="T88" s="559"/>
      <c r="U88" s="559"/>
      <c r="V88" s="559"/>
      <c r="W88" s="607"/>
      <c r="X88" s="559"/>
      <c r="Y88" s="594"/>
      <c r="Z88" s="572"/>
      <c r="AA88" s="559"/>
      <c r="AB88" s="559"/>
      <c r="AC88" s="559"/>
      <c r="AD88" s="559"/>
      <c r="AE88" s="559"/>
      <c r="AF88" s="559"/>
      <c r="AG88" s="559"/>
      <c r="AH88" s="559"/>
      <c r="AI88" s="559"/>
    </row>
    <row r="89" spans="2:35">
      <c r="B89" s="565"/>
      <c r="C89" s="559"/>
      <c r="D89" s="576"/>
      <c r="E89" s="576"/>
      <c r="F89" s="576"/>
      <c r="G89" s="576"/>
      <c r="H89" s="594"/>
      <c r="I89" s="576"/>
      <c r="J89" s="594"/>
      <c r="K89" s="594"/>
      <c r="L89" s="594"/>
      <c r="M89" s="594"/>
      <c r="N89" s="594"/>
      <c r="O89" s="594"/>
      <c r="P89" s="594"/>
      <c r="Q89" s="594"/>
      <c r="R89" s="594"/>
      <c r="S89" s="559"/>
      <c r="T89" s="559"/>
      <c r="U89" s="559"/>
      <c r="V89" s="559"/>
      <c r="W89" s="607"/>
      <c r="X89" s="559"/>
      <c r="Y89" s="594"/>
      <c r="Z89" s="572"/>
      <c r="AA89" s="559"/>
      <c r="AB89" s="559"/>
      <c r="AC89" s="559"/>
      <c r="AD89" s="559"/>
      <c r="AE89" s="559"/>
      <c r="AF89" s="559"/>
      <c r="AG89" s="559"/>
      <c r="AH89" s="559"/>
      <c r="AI89" s="559"/>
    </row>
    <row r="90" spans="2:35">
      <c r="B90" s="565"/>
      <c r="C90" s="559"/>
      <c r="D90" s="576"/>
      <c r="E90" s="576"/>
      <c r="F90" s="576"/>
      <c r="G90" s="576"/>
      <c r="H90" s="594"/>
      <c r="I90" s="576"/>
      <c r="J90" s="594"/>
      <c r="K90" s="594"/>
      <c r="L90" s="594"/>
      <c r="M90" s="594"/>
      <c r="N90" s="594"/>
      <c r="O90" s="594"/>
      <c r="P90" s="594"/>
      <c r="Q90" s="594"/>
      <c r="R90" s="594"/>
      <c r="S90" s="559"/>
      <c r="T90" s="559"/>
      <c r="U90" s="559"/>
      <c r="V90" s="559"/>
      <c r="W90" s="607"/>
      <c r="X90" s="559"/>
      <c r="Y90" s="594"/>
      <c r="Z90" s="572"/>
      <c r="AA90" s="559"/>
      <c r="AB90" s="559"/>
      <c r="AC90" s="559"/>
      <c r="AD90" s="559"/>
      <c r="AE90" s="559"/>
      <c r="AF90" s="559"/>
      <c r="AG90" s="559"/>
      <c r="AH90" s="559"/>
      <c r="AI90" s="559"/>
    </row>
    <row r="91" spans="2:35">
      <c r="B91" s="598"/>
      <c r="C91" s="559"/>
      <c r="D91" s="576"/>
      <c r="E91" s="576"/>
      <c r="F91" s="576"/>
      <c r="G91" s="576"/>
      <c r="H91" s="594"/>
      <c r="I91" s="576"/>
      <c r="J91" s="594"/>
      <c r="K91" s="594"/>
      <c r="L91" s="594"/>
      <c r="M91" s="594"/>
      <c r="N91" s="594"/>
      <c r="O91" s="594"/>
      <c r="P91" s="594"/>
      <c r="Q91" s="594"/>
      <c r="R91" s="594"/>
      <c r="S91" s="559"/>
      <c r="T91" s="559"/>
      <c r="U91" s="559"/>
      <c r="V91" s="559"/>
      <c r="W91" s="607"/>
      <c r="X91" s="559"/>
      <c r="Y91" s="594"/>
      <c r="Z91" s="572"/>
      <c r="AA91" s="559"/>
      <c r="AB91" s="559"/>
      <c r="AC91" s="559"/>
      <c r="AD91" s="559"/>
      <c r="AE91" s="559"/>
      <c r="AF91" s="559"/>
      <c r="AG91" s="559"/>
      <c r="AH91" s="559"/>
      <c r="AI91" s="559"/>
    </row>
    <row r="92" spans="2:35">
      <c r="B92" s="607"/>
      <c r="C92" s="559"/>
      <c r="D92" s="576"/>
      <c r="E92" s="576"/>
      <c r="F92" s="576"/>
      <c r="G92" s="576"/>
      <c r="H92" s="594"/>
      <c r="I92" s="576"/>
      <c r="J92" s="594"/>
      <c r="K92" s="594"/>
      <c r="L92" s="594"/>
      <c r="M92" s="594"/>
      <c r="N92" s="594"/>
      <c r="O92" s="594"/>
      <c r="P92" s="594"/>
      <c r="Q92" s="594"/>
      <c r="R92" s="594"/>
      <c r="S92" s="559"/>
      <c r="T92" s="559"/>
      <c r="U92" s="559"/>
      <c r="V92" s="559"/>
      <c r="W92" s="607"/>
      <c r="X92" s="559"/>
      <c r="Y92" s="594"/>
      <c r="Z92" s="572"/>
      <c r="AA92" s="559"/>
      <c r="AB92" s="559"/>
      <c r="AC92" s="559"/>
      <c r="AD92" s="559"/>
      <c r="AE92" s="559"/>
      <c r="AF92" s="559"/>
      <c r="AG92" s="559"/>
      <c r="AH92" s="559"/>
      <c r="AI92" s="559"/>
    </row>
    <row r="93" spans="2:35">
      <c r="B93" s="607"/>
      <c r="C93" s="559"/>
      <c r="D93" s="576"/>
      <c r="E93" s="576"/>
      <c r="F93" s="576"/>
      <c r="G93" s="576"/>
      <c r="H93" s="594"/>
      <c r="I93" s="576"/>
      <c r="J93" s="594"/>
      <c r="K93" s="594"/>
      <c r="L93" s="594"/>
      <c r="M93" s="594"/>
      <c r="N93" s="594"/>
      <c r="O93" s="594"/>
      <c r="P93" s="594"/>
      <c r="Q93" s="594"/>
      <c r="R93" s="594"/>
      <c r="S93" s="559"/>
      <c r="T93" s="559"/>
      <c r="U93" s="559"/>
      <c r="V93" s="559"/>
      <c r="W93" s="607"/>
      <c r="X93" s="559"/>
      <c r="Y93" s="594"/>
      <c r="Z93" s="572"/>
      <c r="AA93" s="559"/>
      <c r="AB93" s="559"/>
      <c r="AC93" s="559"/>
      <c r="AD93" s="559"/>
      <c r="AE93" s="559"/>
      <c r="AF93" s="559"/>
      <c r="AG93" s="559"/>
      <c r="AH93" s="559"/>
      <c r="AI93" s="559"/>
    </row>
    <row r="94" spans="2:35">
      <c r="B94" s="607"/>
      <c r="C94" s="559"/>
      <c r="D94" s="576"/>
      <c r="E94" s="576"/>
      <c r="F94" s="576"/>
      <c r="G94" s="576"/>
      <c r="H94" s="594"/>
      <c r="I94" s="576"/>
      <c r="J94" s="594"/>
      <c r="K94" s="594"/>
      <c r="L94" s="594"/>
      <c r="M94" s="594"/>
      <c r="N94" s="594"/>
      <c r="O94" s="594"/>
      <c r="P94" s="594"/>
      <c r="Q94" s="594"/>
      <c r="R94" s="594"/>
      <c r="S94" s="559"/>
      <c r="T94" s="559"/>
      <c r="U94" s="559"/>
      <c r="V94" s="559"/>
      <c r="W94" s="607"/>
      <c r="X94" s="559"/>
      <c r="Y94" s="594"/>
      <c r="Z94" s="572"/>
      <c r="AA94" s="559"/>
      <c r="AB94" s="559"/>
      <c r="AC94" s="559"/>
      <c r="AD94" s="559"/>
      <c r="AE94" s="559"/>
      <c r="AF94" s="559"/>
      <c r="AG94" s="559"/>
      <c r="AH94" s="559"/>
      <c r="AI94" s="559"/>
    </row>
    <row r="95" spans="2:35">
      <c r="B95" s="607"/>
      <c r="C95" s="559"/>
      <c r="D95" s="576"/>
      <c r="E95" s="576"/>
      <c r="F95" s="576"/>
      <c r="G95" s="576"/>
      <c r="H95" s="594"/>
      <c r="I95" s="576"/>
      <c r="J95" s="594"/>
      <c r="K95" s="594"/>
      <c r="L95" s="594"/>
      <c r="M95" s="594"/>
      <c r="N95" s="594"/>
      <c r="O95" s="594"/>
      <c r="P95" s="594"/>
      <c r="Q95" s="594"/>
      <c r="R95" s="594"/>
      <c r="S95" s="559"/>
      <c r="T95" s="559"/>
      <c r="U95" s="559"/>
      <c r="V95" s="559"/>
      <c r="W95" s="607"/>
      <c r="X95" s="559"/>
      <c r="Y95" s="594"/>
      <c r="Z95" s="572"/>
      <c r="AA95" s="559"/>
      <c r="AB95" s="559"/>
      <c r="AC95" s="559"/>
      <c r="AD95" s="559"/>
      <c r="AE95" s="559"/>
      <c r="AF95" s="559"/>
      <c r="AG95" s="559"/>
      <c r="AH95" s="559"/>
      <c r="AI95" s="559"/>
    </row>
    <row r="96" spans="2:35">
      <c r="B96" s="607"/>
      <c r="C96" s="559"/>
      <c r="D96" s="576"/>
      <c r="E96" s="576"/>
      <c r="F96" s="576"/>
      <c r="G96" s="576"/>
      <c r="H96" s="594"/>
      <c r="I96" s="576"/>
      <c r="J96" s="594"/>
      <c r="K96" s="594"/>
      <c r="L96" s="594"/>
      <c r="M96" s="594"/>
      <c r="N96" s="594"/>
      <c r="O96" s="594"/>
      <c r="P96" s="594"/>
      <c r="Q96" s="594"/>
      <c r="R96" s="594"/>
      <c r="S96" s="559"/>
      <c r="T96" s="559"/>
      <c r="U96" s="559"/>
      <c r="V96" s="559"/>
      <c r="W96" s="607"/>
      <c r="X96" s="559"/>
      <c r="Y96" s="594"/>
      <c r="Z96" s="572"/>
      <c r="AA96" s="559"/>
      <c r="AB96" s="559"/>
      <c r="AC96" s="559"/>
      <c r="AD96" s="559"/>
      <c r="AE96" s="559"/>
      <c r="AF96" s="559"/>
      <c r="AG96" s="559"/>
      <c r="AH96" s="559"/>
      <c r="AI96" s="559"/>
    </row>
    <row r="97" spans="2:35">
      <c r="B97" s="607"/>
      <c r="C97" s="559"/>
      <c r="D97" s="576"/>
      <c r="E97" s="576"/>
      <c r="F97" s="576"/>
      <c r="G97" s="576"/>
      <c r="H97" s="594"/>
      <c r="I97" s="576"/>
      <c r="J97" s="594"/>
      <c r="K97" s="594"/>
      <c r="L97" s="594"/>
      <c r="M97" s="594"/>
      <c r="N97" s="594"/>
      <c r="O97" s="594"/>
      <c r="P97" s="594"/>
      <c r="Q97" s="594"/>
      <c r="R97" s="594"/>
      <c r="S97" s="559"/>
      <c r="T97" s="559"/>
      <c r="U97" s="559"/>
      <c r="V97" s="559"/>
      <c r="W97" s="607"/>
      <c r="X97" s="559"/>
      <c r="Y97" s="594"/>
      <c r="Z97" s="572"/>
      <c r="AA97" s="559"/>
      <c r="AB97" s="559"/>
      <c r="AC97" s="559"/>
      <c r="AD97" s="559"/>
      <c r="AE97" s="559"/>
      <c r="AF97" s="559"/>
      <c r="AG97" s="559"/>
      <c r="AH97" s="559"/>
      <c r="AI97" s="559"/>
    </row>
    <row r="98" spans="2:35">
      <c r="B98" s="607"/>
      <c r="C98" s="559"/>
      <c r="D98" s="576"/>
      <c r="E98" s="576"/>
      <c r="F98" s="576"/>
      <c r="G98" s="576"/>
      <c r="H98" s="594"/>
      <c r="I98" s="576"/>
      <c r="J98" s="594"/>
      <c r="K98" s="594"/>
      <c r="L98" s="594"/>
      <c r="M98" s="594"/>
      <c r="N98" s="594"/>
      <c r="O98" s="594"/>
      <c r="P98" s="594"/>
      <c r="Q98" s="594"/>
      <c r="R98" s="594"/>
      <c r="S98" s="559"/>
      <c r="T98" s="559"/>
      <c r="U98" s="559"/>
      <c r="V98" s="559"/>
      <c r="W98" s="607"/>
      <c r="X98" s="559"/>
      <c r="Y98" s="594"/>
      <c r="Z98" s="572"/>
      <c r="AA98" s="559"/>
      <c r="AB98" s="559"/>
      <c r="AC98" s="559"/>
      <c r="AD98" s="559"/>
      <c r="AE98" s="559"/>
      <c r="AF98" s="559"/>
      <c r="AG98" s="559"/>
      <c r="AH98" s="559"/>
      <c r="AI98" s="559"/>
    </row>
    <row r="99" spans="2:35">
      <c r="B99" s="607"/>
      <c r="C99" s="559"/>
      <c r="D99" s="576"/>
      <c r="E99" s="576"/>
      <c r="F99" s="576"/>
      <c r="G99" s="576"/>
      <c r="H99" s="594"/>
      <c r="I99" s="576"/>
      <c r="J99" s="594"/>
      <c r="K99" s="594"/>
      <c r="L99" s="594"/>
      <c r="M99" s="594"/>
      <c r="N99" s="594"/>
      <c r="O99" s="594"/>
      <c r="P99" s="594"/>
      <c r="Q99" s="594"/>
      <c r="R99" s="594"/>
      <c r="S99" s="559"/>
      <c r="T99" s="559"/>
      <c r="U99" s="559"/>
      <c r="V99" s="559"/>
      <c r="W99" s="607"/>
      <c r="X99" s="559"/>
      <c r="Y99" s="594"/>
      <c r="Z99" s="572"/>
      <c r="AA99" s="559"/>
      <c r="AB99" s="559"/>
      <c r="AC99" s="559"/>
      <c r="AD99" s="559"/>
      <c r="AE99" s="559"/>
      <c r="AF99" s="559"/>
      <c r="AG99" s="559"/>
      <c r="AH99" s="559"/>
      <c r="AI99" s="559"/>
    </row>
    <row r="100" spans="2:35">
      <c r="B100" s="607"/>
      <c r="C100" s="559"/>
      <c r="D100" s="576"/>
      <c r="E100" s="576"/>
      <c r="F100" s="576"/>
      <c r="G100" s="576"/>
      <c r="H100" s="594"/>
      <c r="I100" s="576"/>
      <c r="J100" s="594"/>
      <c r="K100" s="594"/>
      <c r="L100" s="594"/>
      <c r="M100" s="594"/>
      <c r="N100" s="594"/>
      <c r="O100" s="594"/>
      <c r="P100" s="594"/>
      <c r="Q100" s="594"/>
      <c r="R100" s="594"/>
      <c r="S100" s="559"/>
      <c r="T100" s="559"/>
      <c r="U100" s="559"/>
      <c r="V100" s="559"/>
      <c r="W100" s="607"/>
      <c r="X100" s="559"/>
      <c r="Y100" s="594"/>
      <c r="Z100" s="572"/>
      <c r="AA100" s="559"/>
      <c r="AB100" s="559"/>
      <c r="AC100" s="559"/>
      <c r="AD100" s="559"/>
      <c r="AE100" s="559"/>
      <c r="AF100" s="559"/>
      <c r="AG100" s="559"/>
      <c r="AH100" s="559"/>
      <c r="AI100" s="559"/>
    </row>
    <row r="101" spans="2:35">
      <c r="B101" s="607"/>
      <c r="C101" s="559"/>
      <c r="D101" s="576"/>
      <c r="E101" s="576"/>
      <c r="F101" s="576"/>
      <c r="G101" s="576"/>
      <c r="H101" s="594"/>
      <c r="I101" s="576"/>
      <c r="J101" s="594"/>
      <c r="K101" s="594"/>
      <c r="L101" s="594"/>
      <c r="M101" s="594"/>
      <c r="N101" s="594"/>
      <c r="O101" s="594"/>
      <c r="P101" s="594"/>
      <c r="Q101" s="594"/>
      <c r="R101" s="594"/>
      <c r="S101" s="559"/>
      <c r="T101" s="559"/>
      <c r="U101" s="559"/>
      <c r="V101" s="559"/>
      <c r="W101" s="607"/>
      <c r="X101" s="559"/>
      <c r="Y101" s="594"/>
      <c r="Z101" s="572"/>
      <c r="AA101" s="559"/>
      <c r="AB101" s="559"/>
      <c r="AC101" s="559"/>
      <c r="AD101" s="559"/>
      <c r="AE101" s="559"/>
      <c r="AF101" s="559"/>
      <c r="AG101" s="559"/>
      <c r="AH101" s="559"/>
      <c r="AI101" s="559"/>
    </row>
    <row r="102" spans="2:35">
      <c r="B102" s="607"/>
      <c r="C102" s="559"/>
      <c r="D102" s="576"/>
      <c r="E102" s="576"/>
      <c r="F102" s="576"/>
      <c r="G102" s="576"/>
      <c r="H102" s="594"/>
      <c r="I102" s="576"/>
      <c r="J102" s="594"/>
      <c r="K102" s="594"/>
      <c r="L102" s="594"/>
      <c r="M102" s="594"/>
      <c r="N102" s="594"/>
      <c r="O102" s="594"/>
      <c r="P102" s="594"/>
      <c r="Q102" s="594"/>
      <c r="R102" s="594"/>
      <c r="S102" s="559"/>
      <c r="T102" s="559"/>
      <c r="U102" s="559"/>
      <c r="V102" s="559"/>
      <c r="W102" s="607"/>
      <c r="X102" s="559"/>
      <c r="Y102" s="594"/>
      <c r="Z102" s="572"/>
      <c r="AA102" s="559"/>
      <c r="AB102" s="559"/>
      <c r="AC102" s="559"/>
      <c r="AD102" s="559"/>
      <c r="AE102" s="559"/>
      <c r="AF102" s="559"/>
      <c r="AG102" s="559"/>
      <c r="AH102" s="559"/>
      <c r="AI102" s="559"/>
    </row>
    <row r="103" spans="2:35">
      <c r="B103" s="559"/>
      <c r="C103" s="559"/>
      <c r="D103" s="576"/>
      <c r="E103" s="576"/>
      <c r="F103" s="576"/>
      <c r="G103" s="576"/>
      <c r="H103" s="559"/>
      <c r="I103" s="576"/>
      <c r="J103" s="559"/>
      <c r="K103" s="559"/>
      <c r="L103" s="559"/>
      <c r="M103" s="594"/>
      <c r="N103" s="594"/>
      <c r="O103" s="594"/>
      <c r="P103" s="594"/>
      <c r="Q103" s="594"/>
      <c r="R103" s="594"/>
      <c r="S103" s="559"/>
      <c r="T103" s="559"/>
      <c r="U103" s="559"/>
      <c r="V103" s="559"/>
      <c r="W103" s="559"/>
      <c r="X103" s="559"/>
      <c r="Y103" s="559"/>
      <c r="Z103" s="559"/>
      <c r="AA103" s="559"/>
      <c r="AB103" s="559"/>
      <c r="AC103" s="559"/>
      <c r="AD103" s="559"/>
      <c r="AE103" s="559"/>
      <c r="AF103" s="559"/>
      <c r="AG103" s="559"/>
      <c r="AH103" s="559"/>
      <c r="AI103" s="559"/>
    </row>
    <row r="104" spans="2:35">
      <c r="B104" s="594"/>
      <c r="C104" s="594"/>
      <c r="D104" s="576"/>
      <c r="E104" s="576"/>
      <c r="F104" s="576"/>
      <c r="G104" s="576"/>
      <c r="H104" s="594"/>
      <c r="I104" s="576"/>
      <c r="J104" s="594"/>
      <c r="K104" s="576"/>
      <c r="L104" s="594"/>
      <c r="M104" s="594"/>
      <c r="N104" s="594"/>
      <c r="O104" s="594"/>
      <c r="P104" s="594"/>
      <c r="Q104" s="594"/>
      <c r="R104" s="594"/>
      <c r="S104" s="594"/>
      <c r="T104" s="594"/>
      <c r="U104" s="594"/>
      <c r="V104" s="594"/>
      <c r="W104" s="607"/>
      <c r="X104" s="594"/>
      <c r="Y104" s="594"/>
      <c r="Z104" s="594"/>
      <c r="AA104" s="559"/>
      <c r="AB104" s="559"/>
      <c r="AC104" s="559"/>
      <c r="AD104" s="559"/>
      <c r="AE104" s="559"/>
      <c r="AF104" s="559"/>
      <c r="AG104" s="559"/>
      <c r="AH104" s="559"/>
      <c r="AI104" s="559"/>
    </row>
    <row r="105" spans="2:35">
      <c r="B105" s="594"/>
      <c r="C105" s="594"/>
      <c r="D105" s="594"/>
      <c r="E105" s="594"/>
      <c r="F105" s="594"/>
      <c r="G105" s="594"/>
      <c r="H105" s="594"/>
      <c r="I105" s="594"/>
      <c r="J105" s="594"/>
      <c r="K105" s="594"/>
      <c r="L105" s="594"/>
      <c r="M105" s="594"/>
      <c r="N105" s="594"/>
      <c r="O105" s="594"/>
      <c r="P105" s="594"/>
      <c r="Q105" s="594"/>
      <c r="R105" s="594"/>
      <c r="S105" s="594"/>
      <c r="T105" s="594"/>
      <c r="U105" s="594"/>
      <c r="V105" s="594"/>
      <c r="W105" s="607"/>
      <c r="X105" s="594"/>
      <c r="Y105" s="594"/>
      <c r="Z105" s="594"/>
      <c r="AA105" s="559"/>
      <c r="AB105" s="559"/>
      <c r="AC105" s="559"/>
      <c r="AD105" s="559"/>
      <c r="AE105" s="559"/>
      <c r="AF105" s="559"/>
      <c r="AG105" s="559"/>
      <c r="AH105" s="559"/>
      <c r="AI105" s="559"/>
    </row>
    <row r="106" spans="2:35" ht="15.6">
      <c r="B106" s="367"/>
      <c r="C106" s="594"/>
      <c r="D106" s="594"/>
      <c r="E106" s="594"/>
      <c r="F106" s="594"/>
      <c r="G106" s="594"/>
      <c r="H106" s="594"/>
      <c r="I106" s="594"/>
      <c r="J106" s="594"/>
      <c r="K106" s="594"/>
      <c r="L106" s="594"/>
      <c r="M106" s="594"/>
      <c r="N106" s="594"/>
      <c r="O106" s="594"/>
      <c r="P106" s="594"/>
      <c r="Q106" s="594"/>
      <c r="R106" s="594"/>
      <c r="S106" s="594"/>
      <c r="T106" s="594"/>
      <c r="U106" s="594"/>
      <c r="V106" s="594"/>
      <c r="W106" s="594"/>
      <c r="X106" s="594"/>
      <c r="Y106" s="594"/>
      <c r="Z106" s="594"/>
      <c r="AA106" s="559"/>
      <c r="AB106" s="559"/>
      <c r="AC106" s="559"/>
      <c r="AD106" s="559"/>
      <c r="AE106" s="559"/>
      <c r="AF106" s="559"/>
      <c r="AG106" s="559"/>
      <c r="AH106" s="559"/>
      <c r="AI106" s="559"/>
    </row>
    <row r="107" spans="2:35" ht="15.6">
      <c r="B107" s="365"/>
      <c r="C107" s="559"/>
      <c r="D107" s="559"/>
      <c r="E107" s="559"/>
      <c r="F107" s="559"/>
      <c r="G107" s="559"/>
      <c r="H107" s="559"/>
      <c r="I107" s="559"/>
      <c r="J107" s="559"/>
      <c r="K107" s="559"/>
      <c r="L107" s="559"/>
      <c r="M107" s="559"/>
      <c r="N107" s="559"/>
      <c r="O107" s="559"/>
      <c r="P107" s="559"/>
      <c r="Q107" s="559"/>
      <c r="R107" s="559"/>
      <c r="S107" s="559"/>
      <c r="T107" s="559"/>
      <c r="U107" s="559"/>
      <c r="V107" s="559"/>
      <c r="W107" s="559"/>
      <c r="X107" s="559"/>
      <c r="Y107" s="559"/>
      <c r="Z107" s="559"/>
      <c r="AA107" s="559"/>
      <c r="AB107" s="559"/>
      <c r="AC107" s="559"/>
      <c r="AD107" s="559"/>
      <c r="AE107" s="559"/>
      <c r="AF107" s="559"/>
      <c r="AG107" s="559"/>
      <c r="AH107" s="559"/>
      <c r="AI107" s="559"/>
    </row>
    <row r="108" spans="2:35">
      <c r="B108" s="559"/>
      <c r="C108" s="559"/>
      <c r="D108" s="650"/>
      <c r="E108" s="559"/>
      <c r="F108" s="559"/>
      <c r="G108" s="559"/>
      <c r="H108" s="559"/>
      <c r="I108" s="559"/>
      <c r="J108" s="559"/>
      <c r="K108" s="650"/>
      <c r="L108" s="559"/>
      <c r="M108" s="576"/>
      <c r="N108" s="576"/>
      <c r="O108" s="576"/>
      <c r="P108" s="576"/>
      <c r="Q108" s="576"/>
      <c r="R108" s="576"/>
      <c r="S108" s="559"/>
      <c r="T108" s="559"/>
      <c r="U108" s="559"/>
      <c r="V108" s="559"/>
      <c r="W108" s="649"/>
      <c r="X108" s="559"/>
      <c r="Y108" s="576"/>
      <c r="Z108" s="559"/>
      <c r="AA108" s="559"/>
      <c r="AB108" s="559"/>
      <c r="AC108" s="559"/>
      <c r="AD108" s="559"/>
      <c r="AE108" s="559"/>
      <c r="AF108" s="559"/>
      <c r="AG108" s="559"/>
      <c r="AH108" s="559"/>
      <c r="AI108" s="559"/>
    </row>
    <row r="109" spans="2:35">
      <c r="B109" s="559"/>
      <c r="C109" s="559"/>
      <c r="D109" s="633"/>
      <c r="E109" s="559"/>
      <c r="F109" s="559"/>
      <c r="G109" s="559"/>
      <c r="H109" s="559"/>
      <c r="I109" s="559"/>
      <c r="J109" s="559"/>
      <c r="K109" s="633"/>
      <c r="L109" s="559"/>
      <c r="M109" s="633"/>
      <c r="N109" s="633"/>
      <c r="O109" s="633"/>
      <c r="P109" s="633"/>
      <c r="Q109" s="633"/>
      <c r="R109" s="633"/>
      <c r="S109" s="559"/>
      <c r="T109" s="559"/>
      <c r="U109" s="559"/>
      <c r="V109" s="559"/>
      <c r="W109" s="649"/>
      <c r="X109" s="559"/>
      <c r="Y109" s="633"/>
      <c r="Z109" s="559"/>
      <c r="AA109" s="559"/>
      <c r="AB109" s="559"/>
      <c r="AC109" s="559"/>
      <c r="AD109" s="559"/>
      <c r="AE109" s="559"/>
      <c r="AF109" s="559"/>
      <c r="AG109" s="559"/>
      <c r="AH109" s="559"/>
      <c r="AI109" s="559"/>
    </row>
    <row r="110" spans="2:35">
      <c r="B110" s="559"/>
      <c r="C110" s="559"/>
      <c r="D110" s="633"/>
      <c r="E110" s="559"/>
      <c r="F110" s="559"/>
      <c r="G110" s="559"/>
      <c r="H110" s="559"/>
      <c r="I110" s="559"/>
      <c r="J110" s="559"/>
      <c r="K110" s="633"/>
      <c r="L110" s="559"/>
      <c r="M110" s="633"/>
      <c r="N110" s="633"/>
      <c r="O110" s="633"/>
      <c r="P110" s="633"/>
      <c r="Q110" s="633"/>
      <c r="R110" s="633"/>
      <c r="S110" s="559"/>
      <c r="T110" s="559"/>
      <c r="U110" s="559"/>
      <c r="V110" s="559"/>
      <c r="W110" s="649"/>
      <c r="X110" s="559"/>
      <c r="Y110" s="633"/>
      <c r="Z110" s="559"/>
      <c r="AA110" s="559"/>
      <c r="AB110" s="559"/>
      <c r="AC110" s="559"/>
      <c r="AD110" s="559"/>
      <c r="AE110" s="559"/>
      <c r="AF110" s="559"/>
      <c r="AG110" s="559"/>
      <c r="AH110" s="559"/>
      <c r="AI110" s="559"/>
    </row>
    <row r="111" spans="2:35">
      <c r="B111" s="559"/>
      <c r="C111" s="559"/>
      <c r="D111" s="633"/>
      <c r="E111" s="559"/>
      <c r="F111" s="559"/>
      <c r="G111" s="559"/>
      <c r="H111" s="559"/>
      <c r="I111" s="559"/>
      <c r="J111" s="559"/>
      <c r="K111" s="633"/>
      <c r="L111" s="559"/>
      <c r="M111" s="633"/>
      <c r="N111" s="633"/>
      <c r="O111" s="633"/>
      <c r="P111" s="633"/>
      <c r="Q111" s="633"/>
      <c r="R111" s="633"/>
      <c r="S111" s="559"/>
      <c r="T111" s="559"/>
      <c r="U111" s="559"/>
      <c r="V111" s="559"/>
      <c r="W111" s="649"/>
      <c r="X111" s="559"/>
      <c r="Y111" s="633"/>
      <c r="Z111" s="559"/>
      <c r="AA111" s="559"/>
      <c r="AB111" s="559"/>
      <c r="AC111" s="559"/>
      <c r="AD111" s="559"/>
      <c r="AE111" s="559"/>
      <c r="AF111" s="559"/>
      <c r="AG111" s="559"/>
      <c r="AH111" s="559"/>
      <c r="AI111" s="559"/>
    </row>
    <row r="112" spans="2:35">
      <c r="B112" s="559"/>
      <c r="C112" s="559"/>
      <c r="D112" s="633"/>
      <c r="E112" s="559"/>
      <c r="F112" s="559"/>
      <c r="G112" s="559"/>
      <c r="H112" s="559"/>
      <c r="I112" s="559"/>
      <c r="J112" s="559"/>
      <c r="K112" s="633"/>
      <c r="L112" s="559"/>
      <c r="M112" s="633"/>
      <c r="N112" s="633"/>
      <c r="O112" s="633"/>
      <c r="P112" s="633"/>
      <c r="Q112" s="633"/>
      <c r="R112" s="633"/>
      <c r="S112" s="559"/>
      <c r="T112" s="559"/>
      <c r="U112" s="559"/>
      <c r="V112" s="559"/>
      <c r="W112" s="649"/>
      <c r="X112" s="559"/>
      <c r="Y112" s="633"/>
      <c r="Z112" s="559"/>
      <c r="AA112" s="559"/>
      <c r="AB112" s="559"/>
      <c r="AC112" s="559"/>
      <c r="AD112" s="559"/>
      <c r="AE112" s="559"/>
      <c r="AF112" s="559"/>
      <c r="AG112" s="559"/>
      <c r="AH112" s="559"/>
      <c r="AI112" s="559"/>
    </row>
    <row r="113" spans="2:35">
      <c r="B113" s="607"/>
      <c r="C113" s="559"/>
      <c r="D113" s="559"/>
      <c r="E113" s="559"/>
      <c r="F113" s="559"/>
      <c r="G113" s="559"/>
      <c r="H113" s="559"/>
      <c r="I113" s="559"/>
      <c r="J113" s="559"/>
      <c r="K113" s="559"/>
      <c r="L113" s="559"/>
      <c r="M113" s="559"/>
      <c r="N113" s="559"/>
      <c r="O113" s="559"/>
      <c r="P113" s="559"/>
      <c r="Q113" s="559"/>
      <c r="R113" s="559"/>
      <c r="S113" s="559"/>
      <c r="T113" s="559"/>
      <c r="U113" s="559"/>
      <c r="V113" s="559"/>
      <c r="W113" s="649"/>
      <c r="X113" s="559"/>
      <c r="Y113" s="559"/>
      <c r="Z113" s="559"/>
      <c r="AA113" s="559"/>
      <c r="AB113" s="559"/>
      <c r="AC113" s="559"/>
      <c r="AD113" s="559"/>
      <c r="AE113" s="559"/>
      <c r="AF113" s="559"/>
      <c r="AG113" s="559"/>
      <c r="AH113" s="559"/>
      <c r="AI113" s="559"/>
    </row>
    <row r="114" spans="2:35">
      <c r="B114" s="607"/>
      <c r="C114" s="559"/>
      <c r="D114" s="650"/>
      <c r="E114" s="559"/>
      <c r="F114" s="559"/>
      <c r="G114" s="559"/>
      <c r="H114" s="559"/>
      <c r="I114" s="559"/>
      <c r="J114" s="559"/>
      <c r="K114" s="650"/>
      <c r="L114" s="559"/>
      <c r="M114" s="650"/>
      <c r="N114" s="650"/>
      <c r="O114" s="650"/>
      <c r="P114" s="650"/>
      <c r="Q114" s="650"/>
      <c r="R114" s="650"/>
      <c r="S114" s="559"/>
      <c r="T114" s="559"/>
      <c r="U114" s="559"/>
      <c r="V114" s="559"/>
      <c r="W114" s="649"/>
      <c r="X114" s="559"/>
      <c r="Y114" s="650"/>
      <c r="Z114" s="559"/>
      <c r="AA114" s="559"/>
      <c r="AB114" s="559"/>
      <c r="AC114" s="559"/>
      <c r="AD114" s="559"/>
      <c r="AE114" s="559"/>
      <c r="AF114" s="559"/>
      <c r="AG114" s="559"/>
      <c r="AH114" s="559"/>
      <c r="AI114" s="559"/>
    </row>
    <row r="115" spans="2:35">
      <c r="B115" s="559"/>
      <c r="C115" s="559"/>
      <c r="D115" s="559"/>
      <c r="E115" s="559"/>
      <c r="F115" s="559"/>
      <c r="G115" s="559"/>
      <c r="H115" s="559"/>
      <c r="I115" s="559"/>
      <c r="J115" s="559"/>
      <c r="K115" s="559"/>
      <c r="L115" s="559"/>
      <c r="M115" s="559"/>
      <c r="N115" s="559"/>
      <c r="O115" s="559"/>
      <c r="P115" s="559"/>
      <c r="Q115" s="559"/>
      <c r="R115" s="559"/>
      <c r="S115" s="559"/>
      <c r="T115" s="559"/>
      <c r="U115" s="559"/>
      <c r="V115" s="559"/>
      <c r="W115" s="559"/>
      <c r="X115" s="559"/>
      <c r="Y115" s="559"/>
      <c r="Z115" s="559"/>
      <c r="AA115" s="559"/>
      <c r="AB115" s="559"/>
      <c r="AC115" s="559"/>
      <c r="AD115" s="559"/>
      <c r="AE115" s="559"/>
      <c r="AF115" s="559"/>
      <c r="AG115" s="559"/>
      <c r="AH115" s="559"/>
      <c r="AI115" s="559"/>
    </row>
    <row r="116" spans="2:35" ht="15.6">
      <c r="B116" s="365"/>
      <c r="C116" s="559"/>
      <c r="D116" s="559"/>
      <c r="E116" s="559"/>
      <c r="F116" s="559"/>
      <c r="G116" s="559"/>
      <c r="H116" s="559"/>
      <c r="I116" s="559"/>
      <c r="J116" s="559"/>
      <c r="K116" s="559"/>
      <c r="L116" s="559"/>
      <c r="M116" s="559"/>
      <c r="N116" s="559"/>
      <c r="O116" s="559"/>
      <c r="P116" s="559"/>
      <c r="Q116" s="559"/>
      <c r="R116" s="559"/>
      <c r="S116" s="559"/>
      <c r="T116" s="559"/>
      <c r="U116" s="559"/>
      <c r="V116" s="559"/>
      <c r="W116" s="559"/>
      <c r="X116" s="559"/>
      <c r="Y116" s="559"/>
      <c r="Z116" s="559"/>
      <c r="AA116" s="559"/>
      <c r="AB116" s="559"/>
      <c r="AC116" s="559"/>
      <c r="AD116" s="559"/>
      <c r="AE116" s="559"/>
      <c r="AF116" s="559"/>
      <c r="AG116" s="559"/>
      <c r="AH116" s="559"/>
      <c r="AI116" s="559"/>
    </row>
    <row r="117" spans="2:35" ht="15.6">
      <c r="B117" s="654"/>
      <c r="C117" s="559"/>
      <c r="D117" s="559"/>
      <c r="E117" s="559"/>
      <c r="F117" s="559"/>
      <c r="G117" s="559"/>
      <c r="H117" s="559"/>
      <c r="I117" s="559"/>
      <c r="J117" s="559"/>
      <c r="K117" s="559"/>
      <c r="L117" s="559"/>
      <c r="M117" s="559"/>
      <c r="N117" s="559"/>
      <c r="O117" s="559"/>
      <c r="P117" s="559"/>
      <c r="Q117" s="559"/>
      <c r="R117" s="559"/>
      <c r="S117" s="559"/>
      <c r="T117" s="559"/>
      <c r="U117" s="559"/>
      <c r="V117" s="559"/>
      <c r="W117" s="559"/>
      <c r="X117" s="559"/>
      <c r="Y117" s="559"/>
      <c r="Z117" s="559"/>
      <c r="AA117" s="559"/>
      <c r="AB117" s="559"/>
      <c r="AC117" s="559"/>
      <c r="AD117" s="559"/>
      <c r="AE117" s="559"/>
      <c r="AF117" s="559"/>
      <c r="AG117" s="559"/>
      <c r="AH117" s="559"/>
      <c r="AI117" s="559"/>
    </row>
    <row r="118" spans="2:35">
      <c r="B118" s="559"/>
      <c r="C118" s="559"/>
      <c r="D118" s="625"/>
      <c r="E118" s="559"/>
      <c r="F118" s="559"/>
      <c r="G118" s="559"/>
      <c r="H118" s="559"/>
      <c r="I118" s="559"/>
      <c r="J118" s="559"/>
      <c r="K118" s="559"/>
      <c r="L118" s="559"/>
      <c r="M118" s="559"/>
      <c r="N118" s="559"/>
      <c r="O118" s="559"/>
      <c r="P118" s="559"/>
      <c r="Q118" s="559"/>
      <c r="R118" s="559"/>
      <c r="S118" s="559"/>
      <c r="T118" s="559"/>
      <c r="U118" s="559"/>
      <c r="V118" s="559"/>
      <c r="W118" s="559"/>
      <c r="X118" s="559"/>
      <c r="Y118" s="559"/>
      <c r="Z118" s="559"/>
      <c r="AA118" s="559"/>
      <c r="AB118" s="559"/>
      <c r="AC118" s="559"/>
      <c r="AD118" s="559"/>
      <c r="AE118" s="559"/>
      <c r="AF118" s="559"/>
      <c r="AG118" s="559"/>
      <c r="AH118" s="559"/>
      <c r="AI118" s="559"/>
    </row>
    <row r="119" spans="2:35">
      <c r="B119" s="559"/>
      <c r="C119" s="559"/>
      <c r="D119" s="582"/>
      <c r="E119" s="559"/>
      <c r="F119" s="559"/>
      <c r="G119" s="559"/>
      <c r="H119" s="559"/>
      <c r="I119" s="559"/>
      <c r="J119" s="559"/>
      <c r="K119" s="559"/>
      <c r="L119" s="559"/>
      <c r="M119" s="559"/>
      <c r="N119" s="559"/>
      <c r="O119" s="559"/>
      <c r="P119" s="559"/>
      <c r="Q119" s="559"/>
      <c r="R119" s="559"/>
      <c r="S119" s="559"/>
      <c r="T119" s="559"/>
      <c r="U119" s="559"/>
      <c r="V119" s="559"/>
      <c r="W119" s="559"/>
      <c r="X119" s="559"/>
      <c r="Y119" s="559"/>
      <c r="Z119" s="559"/>
      <c r="AA119" s="559"/>
      <c r="AB119" s="559"/>
      <c r="AC119" s="559"/>
      <c r="AD119" s="559"/>
      <c r="AE119" s="559"/>
      <c r="AF119" s="559"/>
      <c r="AG119" s="559"/>
      <c r="AH119" s="559"/>
      <c r="AI119" s="559"/>
    </row>
    <row r="120" spans="2:35">
      <c r="B120" s="559"/>
      <c r="C120" s="559"/>
      <c r="D120" s="582"/>
      <c r="E120" s="559"/>
      <c r="F120" s="559"/>
      <c r="G120" s="559"/>
      <c r="H120" s="559"/>
      <c r="I120" s="559"/>
      <c r="J120" s="559"/>
      <c r="K120" s="559"/>
      <c r="L120" s="559"/>
      <c r="M120" s="559"/>
      <c r="N120" s="559"/>
      <c r="O120" s="559"/>
      <c r="P120" s="559"/>
      <c r="Q120" s="559"/>
      <c r="R120" s="559"/>
      <c r="S120" s="559"/>
      <c r="T120" s="559"/>
      <c r="U120" s="559"/>
      <c r="V120" s="559"/>
      <c r="W120" s="559"/>
      <c r="X120" s="559"/>
      <c r="Y120" s="559"/>
      <c r="Z120" s="559"/>
      <c r="AA120" s="559"/>
      <c r="AB120" s="559"/>
      <c r="AC120" s="559"/>
      <c r="AD120" s="559"/>
      <c r="AE120" s="559"/>
      <c r="AF120" s="559"/>
      <c r="AG120" s="559"/>
      <c r="AH120" s="559"/>
      <c r="AI120" s="559"/>
    </row>
    <row r="121" spans="2:35">
      <c r="B121" s="559"/>
      <c r="C121" s="559"/>
      <c r="D121" s="655"/>
      <c r="E121" s="559"/>
      <c r="F121" s="559"/>
      <c r="G121" s="559"/>
      <c r="H121" s="559"/>
      <c r="I121" s="559"/>
      <c r="J121" s="559"/>
      <c r="K121" s="559"/>
      <c r="L121" s="559"/>
      <c r="M121" s="559"/>
      <c r="N121" s="559"/>
      <c r="O121" s="559"/>
      <c r="P121" s="559"/>
      <c r="Q121" s="559"/>
      <c r="R121" s="559"/>
      <c r="S121" s="559"/>
      <c r="T121" s="559"/>
      <c r="U121" s="559"/>
      <c r="V121" s="559"/>
      <c r="W121" s="559"/>
      <c r="X121" s="559"/>
      <c r="Y121" s="559"/>
      <c r="Z121" s="559"/>
      <c r="AA121" s="559"/>
      <c r="AB121" s="559"/>
      <c r="AC121" s="559"/>
      <c r="AD121" s="559"/>
      <c r="AE121" s="559"/>
      <c r="AF121" s="559"/>
      <c r="AG121" s="559"/>
      <c r="AH121" s="559"/>
      <c r="AI121" s="559"/>
    </row>
    <row r="122" spans="2:35">
      <c r="B122" s="559"/>
      <c r="C122" s="559"/>
      <c r="D122" s="582"/>
      <c r="E122" s="559"/>
      <c r="F122" s="559"/>
      <c r="G122" s="559"/>
      <c r="H122" s="559"/>
      <c r="I122" s="559"/>
      <c r="J122" s="559"/>
      <c r="K122" s="559"/>
      <c r="L122" s="559"/>
      <c r="M122" s="559"/>
      <c r="N122" s="559"/>
      <c r="O122" s="559"/>
      <c r="P122" s="559"/>
      <c r="Q122" s="559"/>
      <c r="R122" s="559"/>
      <c r="S122" s="559"/>
      <c r="T122" s="559"/>
      <c r="U122" s="559"/>
      <c r="V122" s="559"/>
      <c r="W122" s="559"/>
      <c r="X122" s="559"/>
      <c r="Y122" s="559"/>
      <c r="Z122" s="559"/>
      <c r="AA122" s="559"/>
      <c r="AB122" s="559"/>
      <c r="AC122" s="559"/>
      <c r="AD122" s="559"/>
      <c r="AE122" s="559"/>
      <c r="AF122" s="559"/>
      <c r="AG122" s="559"/>
      <c r="AH122" s="559"/>
      <c r="AI122" s="559"/>
    </row>
    <row r="123" spans="2:35">
      <c r="B123" s="559"/>
      <c r="C123" s="559"/>
      <c r="D123" s="582"/>
      <c r="E123" s="559"/>
      <c r="F123" s="559"/>
      <c r="G123" s="559"/>
      <c r="H123" s="559"/>
      <c r="I123" s="559"/>
      <c r="J123" s="559"/>
      <c r="K123" s="559"/>
      <c r="L123" s="559"/>
      <c r="M123" s="559"/>
      <c r="N123" s="559"/>
      <c r="O123" s="559"/>
      <c r="P123" s="559"/>
      <c r="Q123" s="559"/>
      <c r="R123" s="559"/>
      <c r="S123" s="559"/>
      <c r="T123" s="559"/>
      <c r="U123" s="559"/>
      <c r="V123" s="559"/>
      <c r="W123" s="559"/>
      <c r="X123" s="559"/>
      <c r="Y123" s="559"/>
      <c r="Z123" s="559"/>
      <c r="AA123" s="559"/>
      <c r="AB123" s="559"/>
      <c r="AC123" s="559"/>
      <c r="AD123" s="559"/>
      <c r="AE123" s="559"/>
      <c r="AF123" s="559"/>
      <c r="AG123" s="559"/>
      <c r="AH123" s="559"/>
      <c r="AI123" s="559"/>
    </row>
    <row r="124" spans="2:35">
      <c r="B124" s="651"/>
      <c r="C124" s="559"/>
      <c r="D124" s="625"/>
      <c r="E124" s="559"/>
      <c r="F124" s="559"/>
      <c r="G124" s="559"/>
      <c r="H124" s="559"/>
      <c r="I124" s="559"/>
      <c r="J124" s="559"/>
      <c r="K124" s="559"/>
      <c r="L124" s="559"/>
      <c r="M124" s="559"/>
      <c r="N124" s="559"/>
      <c r="O124" s="559"/>
      <c r="P124" s="559"/>
      <c r="Q124" s="559"/>
      <c r="R124" s="559"/>
      <c r="S124" s="559"/>
      <c r="T124" s="559"/>
      <c r="U124" s="559"/>
      <c r="V124" s="559"/>
      <c r="W124" s="559"/>
      <c r="X124" s="559"/>
      <c r="Y124" s="559"/>
      <c r="Z124" s="559"/>
      <c r="AA124" s="559"/>
      <c r="AB124" s="559"/>
      <c r="AC124" s="559"/>
      <c r="AD124" s="559"/>
      <c r="AE124" s="559"/>
      <c r="AF124" s="559"/>
      <c r="AG124" s="559"/>
      <c r="AH124" s="559"/>
      <c r="AI124" s="559"/>
    </row>
    <row r="125" spans="2:35">
      <c r="B125" s="651"/>
      <c r="C125" s="559"/>
      <c r="D125" s="559"/>
      <c r="E125" s="559"/>
      <c r="F125" s="559"/>
      <c r="G125" s="559"/>
      <c r="H125" s="559"/>
      <c r="I125" s="559"/>
      <c r="J125" s="559"/>
      <c r="K125" s="559"/>
      <c r="L125" s="559"/>
      <c r="M125" s="559"/>
      <c r="N125" s="559"/>
      <c r="O125" s="559"/>
      <c r="P125" s="559"/>
      <c r="Q125" s="559"/>
      <c r="R125" s="559"/>
      <c r="S125" s="559"/>
      <c r="T125" s="559"/>
      <c r="U125" s="559"/>
      <c r="V125" s="559"/>
      <c r="W125" s="559"/>
      <c r="X125" s="559"/>
      <c r="Y125" s="559"/>
      <c r="Z125" s="559"/>
      <c r="AA125" s="559"/>
      <c r="AB125" s="559"/>
      <c r="AC125" s="559"/>
      <c r="AD125" s="559"/>
      <c r="AE125" s="559"/>
      <c r="AF125" s="559"/>
      <c r="AG125" s="559"/>
      <c r="AH125" s="559"/>
      <c r="AI125" s="559"/>
    </row>
    <row r="126" spans="2:35" ht="15.6">
      <c r="B126" s="559"/>
      <c r="C126" s="557"/>
      <c r="D126" s="559"/>
      <c r="E126" s="559"/>
      <c r="F126" s="559"/>
      <c r="G126" s="559"/>
      <c r="H126" s="559"/>
      <c r="I126" s="559"/>
      <c r="J126" s="559"/>
      <c r="K126" s="559"/>
      <c r="L126" s="559"/>
      <c r="M126" s="559"/>
      <c r="N126" s="559"/>
      <c r="O126" s="559"/>
      <c r="P126" s="559"/>
      <c r="Q126" s="559"/>
      <c r="R126" s="559"/>
      <c r="S126" s="559"/>
      <c r="T126" s="559"/>
      <c r="U126" s="559"/>
      <c r="V126" s="559"/>
      <c r="W126" s="559"/>
      <c r="X126" s="559"/>
      <c r="Y126" s="559"/>
      <c r="Z126" s="559"/>
      <c r="AA126" s="559"/>
      <c r="AB126" s="559"/>
      <c r="AC126" s="559"/>
      <c r="AD126" s="559"/>
      <c r="AE126" s="559"/>
      <c r="AF126" s="559"/>
      <c r="AG126" s="559"/>
      <c r="AH126" s="559"/>
      <c r="AI126" s="559"/>
    </row>
    <row r="127" spans="2:35" ht="15.6">
      <c r="B127" s="652"/>
      <c r="C127" s="559"/>
      <c r="D127" s="572"/>
      <c r="E127" s="559"/>
      <c r="F127" s="559"/>
      <c r="G127" s="572"/>
      <c r="H127" s="559"/>
      <c r="I127" s="572"/>
      <c r="J127" s="559"/>
      <c r="K127" s="572"/>
      <c r="L127" s="559"/>
      <c r="M127" s="559"/>
      <c r="N127" s="559"/>
      <c r="O127" s="559"/>
      <c r="P127" s="559"/>
      <c r="Q127" s="559"/>
      <c r="R127" s="559"/>
      <c r="S127" s="559"/>
      <c r="T127" s="559"/>
      <c r="U127" s="559"/>
      <c r="V127" s="559"/>
      <c r="W127" s="559"/>
      <c r="X127" s="559"/>
      <c r="Y127" s="559"/>
      <c r="Z127" s="559"/>
      <c r="AA127" s="559"/>
      <c r="AB127" s="559"/>
      <c r="AC127" s="559"/>
      <c r="AD127" s="559"/>
      <c r="AE127" s="559"/>
      <c r="AF127" s="559"/>
      <c r="AG127" s="559"/>
      <c r="AH127" s="559"/>
      <c r="AI127" s="559"/>
    </row>
    <row r="128" spans="2:35">
      <c r="B128" s="559"/>
      <c r="C128" s="559"/>
      <c r="D128" s="572"/>
      <c r="E128" s="559"/>
      <c r="F128" s="559"/>
      <c r="G128" s="572"/>
      <c r="H128" s="559"/>
      <c r="I128" s="572"/>
      <c r="J128" s="559"/>
      <c r="K128" s="572"/>
      <c r="L128" s="559"/>
      <c r="M128" s="559"/>
      <c r="N128" s="559"/>
      <c r="O128" s="559"/>
      <c r="P128" s="559"/>
      <c r="Q128" s="559"/>
      <c r="R128" s="559"/>
      <c r="S128" s="559"/>
      <c r="T128" s="559"/>
      <c r="U128" s="559"/>
      <c r="V128" s="559"/>
      <c r="W128" s="559"/>
      <c r="X128" s="559"/>
      <c r="Y128" s="559"/>
      <c r="Z128" s="559"/>
      <c r="AA128" s="559"/>
      <c r="AB128" s="559"/>
      <c r="AC128" s="559"/>
      <c r="AD128" s="559"/>
      <c r="AE128" s="559"/>
      <c r="AF128" s="559"/>
      <c r="AG128" s="559"/>
      <c r="AH128" s="559"/>
      <c r="AI128" s="559"/>
    </row>
    <row r="129" spans="2:35">
      <c r="B129" s="559"/>
      <c r="C129" s="559"/>
      <c r="D129" s="625"/>
      <c r="E129" s="559"/>
      <c r="F129" s="559"/>
      <c r="G129" s="607"/>
      <c r="H129" s="559"/>
      <c r="I129" s="607"/>
      <c r="J129" s="559"/>
      <c r="K129" s="656"/>
      <c r="L129" s="559"/>
      <c r="M129" s="559"/>
      <c r="N129" s="559"/>
      <c r="O129" s="559"/>
      <c r="P129" s="559"/>
      <c r="Q129" s="559"/>
      <c r="R129" s="559"/>
      <c r="S129" s="559"/>
      <c r="T129" s="559"/>
      <c r="U129" s="559"/>
      <c r="V129" s="559"/>
      <c r="W129" s="559"/>
      <c r="X129" s="559"/>
      <c r="Y129" s="559"/>
      <c r="Z129" s="559"/>
      <c r="AA129" s="559"/>
      <c r="AB129" s="559"/>
      <c r="AC129" s="559"/>
      <c r="AD129" s="559"/>
      <c r="AE129" s="559"/>
      <c r="AF129" s="559"/>
      <c r="AG129" s="559"/>
      <c r="AH129" s="559"/>
      <c r="AI129" s="559"/>
    </row>
    <row r="130" spans="2:35">
      <c r="B130" s="559"/>
      <c r="C130" s="559"/>
      <c r="D130" s="625"/>
      <c r="E130" s="559"/>
      <c r="F130" s="559"/>
      <c r="G130" s="607"/>
      <c r="H130" s="559"/>
      <c r="I130" s="607"/>
      <c r="J130" s="559"/>
      <c r="K130" s="607"/>
      <c r="L130" s="559"/>
      <c r="M130" s="559"/>
      <c r="N130" s="559"/>
      <c r="O130" s="559"/>
      <c r="P130" s="559"/>
      <c r="Q130" s="559"/>
      <c r="R130" s="559"/>
      <c r="S130" s="559"/>
      <c r="T130" s="559"/>
      <c r="U130" s="559"/>
      <c r="V130" s="559"/>
      <c r="W130" s="559"/>
      <c r="X130" s="559"/>
      <c r="Y130" s="559"/>
      <c r="Z130" s="559"/>
      <c r="AA130" s="559"/>
      <c r="AB130" s="559"/>
      <c r="AC130" s="559"/>
      <c r="AD130" s="559"/>
      <c r="AE130" s="559"/>
      <c r="AF130" s="559"/>
      <c r="AG130" s="559"/>
      <c r="AH130" s="559"/>
      <c r="AI130" s="559"/>
    </row>
    <row r="131" spans="2:35">
      <c r="B131" s="559"/>
      <c r="C131" s="559"/>
      <c r="D131" s="625"/>
      <c r="E131" s="559"/>
      <c r="F131" s="559"/>
      <c r="G131" s="607"/>
      <c r="H131" s="559"/>
      <c r="I131" s="607"/>
      <c r="J131" s="559"/>
      <c r="K131" s="607"/>
      <c r="L131" s="559"/>
      <c r="M131" s="559"/>
      <c r="N131" s="559"/>
      <c r="O131" s="559"/>
      <c r="P131" s="559"/>
      <c r="Q131" s="559"/>
      <c r="R131" s="559"/>
      <c r="S131" s="559"/>
      <c r="T131" s="559"/>
      <c r="U131" s="559"/>
      <c r="V131" s="559"/>
      <c r="W131" s="559"/>
      <c r="X131" s="559"/>
      <c r="Y131" s="559"/>
      <c r="Z131" s="559"/>
      <c r="AA131" s="559"/>
      <c r="AB131" s="559"/>
      <c r="AC131" s="559"/>
      <c r="AD131" s="559"/>
      <c r="AE131" s="559"/>
      <c r="AF131" s="559"/>
      <c r="AG131" s="559"/>
      <c r="AH131" s="559"/>
      <c r="AI131" s="559"/>
    </row>
    <row r="132" spans="2:35">
      <c r="B132" s="559"/>
      <c r="C132" s="559"/>
      <c r="D132" s="625"/>
      <c r="E132" s="559"/>
      <c r="F132" s="559"/>
      <c r="G132" s="607"/>
      <c r="H132" s="559"/>
      <c r="I132" s="607"/>
      <c r="J132" s="559"/>
      <c r="K132" s="607"/>
      <c r="L132" s="559"/>
      <c r="M132" s="559"/>
      <c r="N132" s="559"/>
      <c r="O132" s="559"/>
      <c r="P132" s="559"/>
      <c r="Q132" s="559"/>
      <c r="R132" s="559"/>
      <c r="S132" s="559"/>
      <c r="T132" s="559"/>
      <c r="U132" s="559"/>
      <c r="V132" s="559"/>
      <c r="W132" s="559"/>
      <c r="X132" s="559"/>
      <c r="Y132" s="559"/>
      <c r="Z132" s="559"/>
      <c r="AA132" s="559"/>
      <c r="AB132" s="559"/>
      <c r="AC132" s="559"/>
      <c r="AD132" s="559"/>
      <c r="AE132" s="559"/>
      <c r="AF132" s="559"/>
      <c r="AG132" s="559"/>
      <c r="AH132" s="559"/>
      <c r="AI132" s="559"/>
    </row>
    <row r="133" spans="2:35">
      <c r="B133" s="559"/>
      <c r="C133" s="559"/>
      <c r="D133" s="625"/>
      <c r="E133" s="559"/>
      <c r="F133" s="559"/>
      <c r="G133" s="607"/>
      <c r="H133" s="559"/>
      <c r="I133" s="607"/>
      <c r="J133" s="559"/>
      <c r="K133" s="607"/>
      <c r="L133" s="559"/>
      <c r="M133" s="559"/>
      <c r="N133" s="559"/>
      <c r="O133" s="559"/>
      <c r="P133" s="559"/>
      <c r="Q133" s="559"/>
      <c r="R133" s="559"/>
      <c r="S133" s="559"/>
      <c r="T133" s="559"/>
      <c r="U133" s="559"/>
      <c r="V133" s="559"/>
      <c r="W133" s="559"/>
      <c r="X133" s="559"/>
      <c r="Y133" s="559"/>
      <c r="Z133" s="559"/>
      <c r="AA133" s="559"/>
      <c r="AB133" s="559"/>
      <c r="AC133" s="559"/>
      <c r="AD133" s="559"/>
      <c r="AE133" s="559"/>
      <c r="AF133" s="559"/>
      <c r="AG133" s="559"/>
      <c r="AH133" s="559"/>
      <c r="AI133" s="559"/>
    </row>
    <row r="134" spans="2:35">
      <c r="B134" s="559"/>
      <c r="C134" s="559"/>
      <c r="D134" s="625"/>
      <c r="E134" s="559"/>
      <c r="F134" s="559"/>
      <c r="G134" s="607"/>
      <c r="H134" s="559"/>
      <c r="I134" s="607"/>
      <c r="J134" s="559"/>
      <c r="K134" s="607"/>
      <c r="L134" s="559"/>
      <c r="M134" s="559"/>
      <c r="N134" s="559"/>
      <c r="O134" s="559"/>
      <c r="P134" s="559"/>
      <c r="Q134" s="559"/>
      <c r="R134" s="559"/>
      <c r="S134" s="559"/>
      <c r="T134" s="559"/>
      <c r="U134" s="559"/>
      <c r="V134" s="559"/>
      <c r="W134" s="559"/>
      <c r="X134" s="559"/>
      <c r="Y134" s="559"/>
      <c r="Z134" s="559"/>
      <c r="AA134" s="559"/>
      <c r="AB134" s="559"/>
      <c r="AC134" s="559"/>
      <c r="AD134" s="559"/>
      <c r="AE134" s="559"/>
      <c r="AF134" s="559"/>
      <c r="AG134" s="559"/>
      <c r="AH134" s="559"/>
      <c r="AI134" s="559"/>
    </row>
    <row r="135" spans="2:35">
      <c r="B135" s="559"/>
      <c r="C135" s="559"/>
      <c r="D135" s="625"/>
      <c r="E135" s="559"/>
      <c r="F135" s="559"/>
      <c r="G135" s="607"/>
      <c r="H135" s="559"/>
      <c r="I135" s="607"/>
      <c r="J135" s="559"/>
      <c r="K135" s="607"/>
      <c r="L135" s="559"/>
      <c r="M135" s="559"/>
      <c r="N135" s="559"/>
      <c r="O135" s="559"/>
      <c r="P135" s="559"/>
      <c r="Q135" s="559"/>
      <c r="R135" s="559"/>
      <c r="S135" s="559"/>
      <c r="T135" s="559"/>
      <c r="U135" s="559"/>
      <c r="V135" s="559"/>
      <c r="W135" s="559"/>
      <c r="X135" s="559"/>
      <c r="Y135" s="559"/>
      <c r="Z135" s="559"/>
      <c r="AA135" s="559"/>
      <c r="AB135" s="559"/>
      <c r="AC135" s="559"/>
      <c r="AD135" s="559"/>
      <c r="AE135" s="559"/>
      <c r="AF135" s="559"/>
      <c r="AG135" s="559"/>
      <c r="AH135" s="559"/>
      <c r="AI135" s="559"/>
    </row>
    <row r="136" spans="2:35">
      <c r="B136" s="559"/>
      <c r="C136" s="559"/>
      <c r="D136" s="559"/>
      <c r="E136" s="559"/>
      <c r="F136" s="559"/>
      <c r="G136" s="559"/>
      <c r="H136" s="559"/>
      <c r="I136" s="559"/>
      <c r="J136" s="559"/>
      <c r="K136" s="559"/>
      <c r="L136" s="559"/>
      <c r="M136" s="559"/>
      <c r="N136" s="559"/>
      <c r="O136" s="559"/>
      <c r="P136" s="559"/>
      <c r="Q136" s="559"/>
      <c r="R136" s="559"/>
      <c r="S136" s="559"/>
      <c r="T136" s="559"/>
      <c r="U136" s="559"/>
      <c r="V136" s="559"/>
      <c r="W136" s="559"/>
      <c r="X136" s="559"/>
      <c r="Y136" s="559"/>
      <c r="Z136" s="559"/>
      <c r="AA136" s="559"/>
      <c r="AB136" s="559"/>
      <c r="AC136" s="559"/>
      <c r="AD136" s="559"/>
      <c r="AE136" s="559"/>
      <c r="AF136" s="559"/>
      <c r="AG136" s="559"/>
      <c r="AH136" s="559"/>
      <c r="AI136" s="559"/>
    </row>
    <row r="137" spans="2:35">
      <c r="B137" s="559"/>
      <c r="C137" s="559"/>
      <c r="D137" s="559"/>
      <c r="E137" s="559"/>
      <c r="F137" s="559"/>
      <c r="G137" s="559"/>
      <c r="H137" s="559"/>
      <c r="I137" s="559"/>
      <c r="J137" s="559"/>
      <c r="K137" s="559"/>
      <c r="L137" s="559"/>
      <c r="M137" s="559"/>
      <c r="N137" s="559"/>
      <c r="O137" s="559"/>
      <c r="P137" s="559"/>
      <c r="Q137" s="559"/>
      <c r="R137" s="559"/>
      <c r="S137" s="559"/>
      <c r="T137" s="559"/>
      <c r="U137" s="559"/>
      <c r="V137" s="559"/>
      <c r="W137" s="559"/>
      <c r="X137" s="559"/>
      <c r="Y137" s="559"/>
      <c r="Z137" s="559"/>
      <c r="AA137" s="559"/>
      <c r="AB137" s="559"/>
      <c r="AC137" s="559"/>
      <c r="AD137" s="559"/>
      <c r="AE137" s="559"/>
      <c r="AF137" s="559"/>
      <c r="AG137" s="559"/>
      <c r="AH137" s="559"/>
      <c r="AI137" s="559"/>
    </row>
    <row r="138" spans="2:35">
      <c r="B138" s="559"/>
      <c r="C138" s="559"/>
      <c r="D138" s="559"/>
      <c r="E138" s="559"/>
      <c r="F138" s="559"/>
      <c r="G138" s="559"/>
      <c r="H138" s="559"/>
      <c r="I138" s="559"/>
      <c r="J138" s="559"/>
      <c r="K138" s="559"/>
      <c r="L138" s="559"/>
      <c r="M138" s="559"/>
      <c r="N138" s="559"/>
      <c r="O138" s="559"/>
      <c r="P138" s="559"/>
      <c r="Q138" s="559"/>
      <c r="R138" s="559"/>
      <c r="S138" s="559"/>
      <c r="T138" s="559"/>
      <c r="U138" s="559"/>
      <c r="V138" s="559"/>
      <c r="W138" s="559"/>
      <c r="X138" s="559"/>
      <c r="Y138" s="559"/>
      <c r="Z138" s="559"/>
      <c r="AA138" s="559"/>
      <c r="AB138" s="559"/>
      <c r="AC138" s="559"/>
      <c r="AD138" s="559"/>
      <c r="AE138" s="559"/>
      <c r="AF138" s="559"/>
      <c r="AG138" s="559"/>
      <c r="AH138" s="559"/>
      <c r="AI138" s="559"/>
    </row>
    <row r="139" spans="2:35">
      <c r="B139" s="559"/>
      <c r="C139" s="559"/>
      <c r="D139" s="559"/>
      <c r="E139" s="559"/>
      <c r="F139" s="559"/>
      <c r="G139" s="559"/>
      <c r="H139" s="559"/>
      <c r="I139" s="559"/>
      <c r="J139" s="559"/>
      <c r="K139" s="559"/>
      <c r="L139" s="559"/>
      <c r="M139" s="559"/>
      <c r="N139" s="559"/>
      <c r="O139" s="559"/>
      <c r="P139" s="559"/>
      <c r="Q139" s="559"/>
      <c r="R139" s="559"/>
      <c r="S139" s="559"/>
      <c r="T139" s="559"/>
      <c r="U139" s="559"/>
      <c r="V139" s="559"/>
      <c r="W139" s="559"/>
      <c r="X139" s="559"/>
      <c r="Y139" s="559"/>
      <c r="Z139" s="559"/>
      <c r="AA139" s="559"/>
      <c r="AB139" s="559"/>
      <c r="AC139" s="559"/>
      <c r="AD139" s="559"/>
      <c r="AE139" s="559"/>
      <c r="AF139" s="559"/>
      <c r="AG139" s="559"/>
      <c r="AH139" s="559"/>
      <c r="AI139" s="559"/>
    </row>
    <row r="140" spans="2:35">
      <c r="B140" s="559"/>
      <c r="C140" s="559"/>
      <c r="D140" s="559"/>
      <c r="E140" s="559"/>
      <c r="F140" s="559"/>
      <c r="G140" s="559"/>
      <c r="H140" s="559"/>
      <c r="I140" s="559"/>
      <c r="J140" s="559"/>
      <c r="K140" s="559"/>
      <c r="L140" s="559"/>
      <c r="M140" s="559"/>
      <c r="N140" s="559"/>
      <c r="O140" s="559"/>
      <c r="P140" s="559"/>
      <c r="Q140" s="559"/>
      <c r="R140" s="559"/>
      <c r="S140" s="559"/>
      <c r="T140" s="559"/>
      <c r="U140" s="559"/>
      <c r="V140" s="559"/>
      <c r="W140" s="559"/>
      <c r="X140" s="559"/>
      <c r="Y140" s="559"/>
      <c r="Z140" s="559"/>
      <c r="AA140" s="559"/>
      <c r="AB140" s="559"/>
      <c r="AC140" s="559"/>
      <c r="AD140" s="559"/>
      <c r="AE140" s="559"/>
      <c r="AF140" s="559"/>
      <c r="AG140" s="559"/>
      <c r="AH140" s="559"/>
      <c r="AI140" s="559"/>
    </row>
    <row r="141" spans="2:35">
      <c r="B141" s="559"/>
      <c r="C141" s="559"/>
      <c r="D141" s="559"/>
      <c r="E141" s="559"/>
      <c r="F141" s="559"/>
      <c r="G141" s="559"/>
      <c r="H141" s="559"/>
      <c r="I141" s="559"/>
      <c r="J141" s="559"/>
      <c r="K141" s="559"/>
      <c r="L141" s="559"/>
      <c r="M141" s="559"/>
      <c r="N141" s="559"/>
      <c r="O141" s="559"/>
      <c r="P141" s="559"/>
      <c r="Q141" s="559"/>
      <c r="R141" s="559"/>
      <c r="S141" s="559"/>
      <c r="T141" s="559"/>
      <c r="U141" s="559"/>
      <c r="V141" s="559"/>
      <c r="W141" s="559"/>
      <c r="X141" s="559"/>
      <c r="Y141" s="559"/>
      <c r="Z141" s="559"/>
      <c r="AA141" s="559"/>
      <c r="AB141" s="559"/>
      <c r="AC141" s="559"/>
      <c r="AD141" s="559"/>
      <c r="AE141" s="559"/>
      <c r="AF141" s="559"/>
      <c r="AG141" s="559"/>
      <c r="AH141" s="559"/>
      <c r="AI141" s="559"/>
    </row>
    <row r="142" spans="2:35">
      <c r="B142" s="559"/>
      <c r="C142" s="559"/>
      <c r="D142" s="559"/>
      <c r="E142" s="559"/>
      <c r="F142" s="559"/>
      <c r="G142" s="559"/>
      <c r="H142" s="559"/>
      <c r="I142" s="559"/>
      <c r="J142" s="559"/>
      <c r="K142" s="559"/>
      <c r="L142" s="559"/>
      <c r="M142" s="559"/>
      <c r="N142" s="559"/>
      <c r="O142" s="559"/>
      <c r="P142" s="559"/>
      <c r="Q142" s="559"/>
      <c r="R142" s="559"/>
      <c r="S142" s="559"/>
      <c r="T142" s="559"/>
      <c r="U142" s="559"/>
      <c r="V142" s="559"/>
      <c r="W142" s="559"/>
      <c r="X142" s="559"/>
      <c r="Y142" s="559"/>
      <c r="Z142" s="559"/>
      <c r="AA142" s="559"/>
      <c r="AB142" s="559"/>
      <c r="AC142" s="559"/>
      <c r="AD142" s="559"/>
      <c r="AE142" s="559"/>
      <c r="AF142" s="559"/>
      <c r="AG142" s="559"/>
      <c r="AH142" s="559"/>
      <c r="AI142" s="559"/>
    </row>
    <row r="143" spans="2:35">
      <c r="B143" s="559"/>
      <c r="C143" s="559"/>
      <c r="D143" s="559"/>
      <c r="E143" s="559"/>
      <c r="F143" s="559"/>
      <c r="G143" s="559"/>
      <c r="H143" s="559"/>
      <c r="I143" s="559"/>
      <c r="J143" s="559"/>
      <c r="K143" s="559"/>
      <c r="L143" s="559"/>
      <c r="M143" s="559"/>
      <c r="N143" s="559"/>
      <c r="O143" s="559"/>
      <c r="P143" s="559"/>
      <c r="Q143" s="559"/>
      <c r="R143" s="559"/>
      <c r="S143" s="559"/>
      <c r="T143" s="559"/>
      <c r="U143" s="559"/>
      <c r="V143" s="559"/>
      <c r="W143" s="559"/>
      <c r="X143" s="559"/>
      <c r="Y143" s="559"/>
      <c r="Z143" s="559"/>
      <c r="AA143" s="559"/>
      <c r="AB143" s="559"/>
      <c r="AC143" s="559"/>
      <c r="AD143" s="559"/>
      <c r="AE143" s="559"/>
      <c r="AF143" s="559"/>
      <c r="AG143" s="559"/>
      <c r="AH143" s="559"/>
      <c r="AI143" s="559"/>
    </row>
    <row r="144" spans="2:35">
      <c r="B144" s="559"/>
      <c r="C144" s="559"/>
      <c r="D144" s="559"/>
      <c r="E144" s="559"/>
      <c r="F144" s="559"/>
      <c r="G144" s="559"/>
      <c r="H144" s="559"/>
      <c r="I144" s="559"/>
      <c r="J144" s="559"/>
      <c r="K144" s="559"/>
      <c r="L144" s="559"/>
      <c r="M144" s="559"/>
      <c r="N144" s="559"/>
      <c r="O144" s="559"/>
      <c r="P144" s="559"/>
      <c r="Q144" s="559"/>
      <c r="R144" s="559"/>
      <c r="S144" s="559"/>
      <c r="T144" s="559"/>
      <c r="U144" s="559"/>
      <c r="V144" s="559"/>
      <c r="W144" s="559"/>
      <c r="X144" s="559"/>
      <c r="Y144" s="559"/>
      <c r="Z144" s="559"/>
      <c r="AA144" s="559"/>
      <c r="AB144" s="559"/>
      <c r="AC144" s="559"/>
      <c r="AD144" s="559"/>
      <c r="AE144" s="559"/>
      <c r="AF144" s="559"/>
      <c r="AG144" s="559"/>
      <c r="AH144" s="559"/>
      <c r="AI144" s="559"/>
    </row>
    <row r="145" spans="2:35">
      <c r="B145" s="559"/>
      <c r="C145" s="559"/>
      <c r="D145" s="559"/>
      <c r="E145" s="559"/>
      <c r="F145" s="559"/>
      <c r="G145" s="559"/>
      <c r="H145" s="559"/>
      <c r="I145" s="559"/>
      <c r="J145" s="559"/>
      <c r="K145" s="559"/>
      <c r="L145" s="559"/>
      <c r="M145" s="559"/>
      <c r="N145" s="559"/>
      <c r="O145" s="559"/>
      <c r="P145" s="559"/>
      <c r="Q145" s="559"/>
      <c r="R145" s="559"/>
      <c r="S145" s="559"/>
      <c r="T145" s="559"/>
      <c r="U145" s="559"/>
      <c r="V145" s="559"/>
      <c r="W145" s="559"/>
      <c r="X145" s="559"/>
      <c r="Y145" s="559"/>
      <c r="Z145" s="559"/>
      <c r="AA145" s="559"/>
      <c r="AB145" s="559"/>
      <c r="AC145" s="559"/>
      <c r="AD145" s="559"/>
      <c r="AE145" s="559"/>
      <c r="AF145" s="559"/>
      <c r="AG145" s="559"/>
      <c r="AH145" s="559"/>
      <c r="AI145" s="559"/>
    </row>
    <row r="146" spans="2:35">
      <c r="B146" s="559"/>
      <c r="C146" s="559"/>
      <c r="D146" s="559"/>
      <c r="E146" s="559"/>
      <c r="F146" s="559"/>
      <c r="G146" s="559"/>
      <c r="H146" s="559"/>
      <c r="I146" s="559"/>
      <c r="J146" s="559"/>
      <c r="K146" s="559"/>
      <c r="L146" s="559"/>
      <c r="M146" s="559"/>
      <c r="N146" s="559"/>
      <c r="O146" s="559"/>
      <c r="P146" s="559"/>
      <c r="Q146" s="559"/>
      <c r="R146" s="559"/>
      <c r="S146" s="559"/>
      <c r="T146" s="559"/>
      <c r="U146" s="559"/>
      <c r="V146" s="559"/>
      <c r="W146" s="559"/>
      <c r="X146" s="559"/>
      <c r="Y146" s="559"/>
      <c r="Z146" s="559"/>
      <c r="AA146" s="559"/>
      <c r="AB146" s="559"/>
      <c r="AC146" s="559"/>
      <c r="AD146" s="559"/>
      <c r="AE146" s="559"/>
      <c r="AF146" s="559"/>
      <c r="AG146" s="559"/>
      <c r="AH146" s="559"/>
      <c r="AI146" s="559"/>
    </row>
    <row r="147" spans="2:35">
      <c r="B147" s="559"/>
      <c r="C147" s="559"/>
      <c r="D147" s="559"/>
      <c r="E147" s="559"/>
      <c r="F147" s="559"/>
      <c r="G147" s="559"/>
      <c r="H147" s="559"/>
      <c r="I147" s="559"/>
      <c r="J147" s="559"/>
      <c r="K147" s="559"/>
      <c r="L147" s="559"/>
      <c r="M147" s="559"/>
      <c r="N147" s="559"/>
      <c r="O147" s="559"/>
      <c r="P147" s="559"/>
      <c r="Q147" s="559"/>
      <c r="R147" s="559"/>
      <c r="S147" s="559"/>
      <c r="T147" s="559"/>
      <c r="U147" s="559"/>
      <c r="V147" s="559"/>
      <c r="W147" s="559"/>
      <c r="X147" s="559"/>
      <c r="Y147" s="559"/>
      <c r="Z147" s="559"/>
      <c r="AA147" s="559"/>
      <c r="AB147" s="559"/>
      <c r="AC147" s="559"/>
      <c r="AD147" s="559"/>
      <c r="AE147" s="559"/>
      <c r="AF147" s="559"/>
      <c r="AG147" s="559"/>
      <c r="AH147" s="559"/>
      <c r="AI147" s="559"/>
    </row>
    <row r="148" spans="2:35">
      <c r="B148" s="559"/>
      <c r="C148" s="559"/>
      <c r="D148" s="559"/>
      <c r="E148" s="559"/>
      <c r="F148" s="559"/>
      <c r="G148" s="559"/>
      <c r="H148" s="559"/>
      <c r="I148" s="559"/>
      <c r="J148" s="559"/>
      <c r="K148" s="559"/>
      <c r="L148" s="559"/>
      <c r="M148" s="559"/>
      <c r="N148" s="559"/>
      <c r="O148" s="559"/>
      <c r="P148" s="559"/>
      <c r="Q148" s="559"/>
      <c r="R148" s="559"/>
      <c r="S148" s="559"/>
      <c r="T148" s="559"/>
      <c r="U148" s="559"/>
      <c r="V148" s="559"/>
      <c r="W148" s="559"/>
      <c r="X148" s="559"/>
      <c r="Y148" s="559"/>
      <c r="Z148" s="559"/>
      <c r="AA148" s="559"/>
      <c r="AB148" s="559"/>
      <c r="AC148" s="559"/>
      <c r="AD148" s="559"/>
      <c r="AE148" s="559"/>
      <c r="AF148" s="559"/>
      <c r="AG148" s="559"/>
      <c r="AH148" s="559"/>
      <c r="AI148" s="559"/>
    </row>
  </sheetData>
  <customSheetViews>
    <customSheetView guid="{B991F324-919F-4749-8E3C-A09B2FA7BB10}" scale="60" showPageBreaks="1" printArea="1" view="pageBreakPreview">
      <selection activeCell="I19" sqref="I19"/>
      <colBreaks count="1" manualBreakCount="1">
        <brk id="27" max="54" man="1"/>
      </colBreaks>
      <pageMargins left="0.17" right="0.16" top="1" bottom="1" header="0.5" footer="0.5"/>
      <pageSetup scale="29" orientation="landscape" r:id="rId1"/>
      <headerFooter alignWithMargins="0"/>
    </customSheetView>
    <customSheetView guid="{901B528B-D65D-48CA-A638-FD9B4E5BB6D4}" scale="60" showPageBreaks="1" printArea="1" view="pageBreakPreview">
      <selection activeCell="I19" sqref="I19"/>
      <colBreaks count="1" manualBreakCount="1">
        <brk id="27" max="54" man="1"/>
      </colBreaks>
      <pageMargins left="0.17" right="0.16" top="1" bottom="1" header="0.5" footer="0.5"/>
      <pageSetup scale="29" orientation="landscape" r:id="rId2"/>
      <headerFooter alignWithMargins="0"/>
    </customSheetView>
    <customSheetView guid="{0DE222E8-ADD6-4F4B-9601-960D8109381F}" scale="60" showPageBreaks="1" printArea="1" view="pageBreakPreview">
      <selection activeCell="AG90" sqref="AG90"/>
      <colBreaks count="1" manualBreakCount="1">
        <brk id="27" max="54" man="1"/>
      </colBreaks>
      <pageMargins left="0.17" right="0.16" top="1" bottom="1" header="0.5" footer="0.5"/>
      <pageSetup scale="29" orientation="landscape" r:id="rId3"/>
      <headerFooter alignWithMargins="0"/>
    </customSheetView>
  </customSheetViews>
  <mergeCells count="1">
    <mergeCell ref="AT12:AU12"/>
  </mergeCells>
  <pageMargins left="0.17" right="0.16" top="1" bottom="1" header="0.5" footer="0.5"/>
  <pageSetup scale="29" orientation="landscape" r:id="rId4"/>
  <headerFooter alignWithMargins="0"/>
  <colBreaks count="1" manualBreakCount="1">
    <brk id="27" max="5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T290"/>
  <sheetViews>
    <sheetView view="pageBreakPreview" zoomScale="60" zoomScaleNormal="50" workbookViewId="0">
      <selection activeCell="B35" sqref="B35"/>
    </sheetView>
  </sheetViews>
  <sheetFormatPr defaultColWidth="8.90625" defaultRowHeight="15"/>
  <cols>
    <col min="1" max="1" width="6" style="394" customWidth="1"/>
    <col min="2" max="2" width="1.453125" style="394" customWidth="1"/>
    <col min="3" max="3" width="65.453125" style="394" customWidth="1"/>
    <col min="4" max="4" width="15" style="394" customWidth="1"/>
    <col min="5" max="5" width="14.453125" style="394" customWidth="1"/>
    <col min="6" max="6" width="18.1796875" style="394" customWidth="1"/>
    <col min="7" max="7" width="18" style="394" customWidth="1"/>
    <col min="8" max="8" width="15.90625" style="394" customWidth="1"/>
    <col min="9" max="9" width="16.81640625" style="394" customWidth="1"/>
    <col min="10" max="10" width="12.81640625" style="394" customWidth="1"/>
    <col min="11" max="11" width="15.1796875" style="394" customWidth="1"/>
    <col min="12" max="13" width="15.90625" style="394" customWidth="1"/>
    <col min="14" max="14" width="28.90625" style="394" customWidth="1"/>
    <col min="15" max="15" width="16.08984375" style="394" customWidth="1"/>
    <col min="16" max="16" width="14.6328125" style="394" customWidth="1"/>
    <col min="17" max="17" width="15.81640625" style="394" customWidth="1"/>
    <col min="18" max="18" width="16.1796875" style="394" customWidth="1"/>
    <col min="19" max="19" width="8.90625" style="394"/>
    <col min="20" max="20" width="14.36328125" style="394" customWidth="1"/>
    <col min="21" max="16384" width="8.90625" style="394"/>
  </cols>
  <sheetData>
    <row r="1" spans="1:20">
      <c r="O1" s="395"/>
      <c r="R1" s="395"/>
      <c r="T1" s="395" t="str">
        <f>'Attachment H-11A '!K1&amp;""&amp;", Attachment 11"</f>
        <v>Attachment H -11A, Attachment 11</v>
      </c>
    </row>
    <row r="2" spans="1:20" ht="15.6">
      <c r="G2" s="396"/>
      <c r="O2" s="395"/>
      <c r="R2" s="395"/>
      <c r="T2" s="395" t="s">
        <v>191</v>
      </c>
    </row>
    <row r="3" spans="1:20">
      <c r="O3" s="397"/>
      <c r="R3" s="397"/>
      <c r="T3" s="397" t="str">
        <f>'Attachment H-11A '!K4</f>
        <v>For the 12 months ended 12/31/2022</v>
      </c>
    </row>
    <row r="5" spans="1:20" ht="15.6">
      <c r="A5" s="1365" t="s">
        <v>632</v>
      </c>
      <c r="B5" s="1365"/>
      <c r="C5" s="1365"/>
      <c r="D5" s="1365"/>
      <c r="E5" s="1365"/>
      <c r="F5" s="1365"/>
      <c r="G5" s="1365"/>
      <c r="H5" s="1365"/>
      <c r="I5" s="1365"/>
      <c r="J5" s="1365"/>
      <c r="K5" s="1365"/>
      <c r="L5" s="1365"/>
      <c r="M5" s="1365"/>
      <c r="N5" s="1365"/>
      <c r="O5" s="1365"/>
    </row>
    <row r="6" spans="1:20">
      <c r="A6" s="1366" t="s">
        <v>1102</v>
      </c>
      <c r="B6" s="1366"/>
      <c r="C6" s="1366"/>
      <c r="D6" s="1366"/>
      <c r="E6" s="1366"/>
      <c r="F6" s="1366"/>
      <c r="G6" s="1366"/>
      <c r="H6" s="1366"/>
      <c r="I6" s="1366"/>
      <c r="J6" s="1366"/>
      <c r="K6" s="1366"/>
      <c r="L6" s="1366"/>
      <c r="M6" s="1366"/>
      <c r="N6" s="1366"/>
      <c r="O6" s="1366"/>
    </row>
    <row r="7" spans="1:20">
      <c r="A7" s="1366"/>
      <c r="B7" s="1366"/>
      <c r="C7" s="1366"/>
      <c r="D7" s="1366"/>
      <c r="E7" s="1366"/>
      <c r="F7" s="1366"/>
      <c r="G7" s="1366"/>
      <c r="H7" s="1366"/>
      <c r="I7" s="1366"/>
      <c r="J7" s="1366"/>
      <c r="K7" s="1366"/>
      <c r="L7" s="1366"/>
      <c r="M7" s="1081"/>
    </row>
    <row r="8" spans="1:20">
      <c r="A8" s="398"/>
      <c r="C8" s="399"/>
      <c r="D8" s="399"/>
      <c r="F8" s="399"/>
      <c r="H8" s="399"/>
      <c r="I8" s="399"/>
      <c r="J8" s="399"/>
      <c r="K8" s="399"/>
      <c r="L8" s="399"/>
      <c r="M8" s="399"/>
    </row>
    <row r="9" spans="1:20">
      <c r="A9" s="398"/>
      <c r="C9" s="399"/>
      <c r="D9" s="399"/>
      <c r="E9" s="399"/>
      <c r="F9" s="399"/>
      <c r="G9" s="400"/>
      <c r="H9" s="399"/>
      <c r="I9" s="399"/>
      <c r="J9" s="399"/>
      <c r="K9" s="399"/>
      <c r="L9" s="399"/>
      <c r="M9" s="399"/>
    </row>
    <row r="10" spans="1:20">
      <c r="A10" s="398"/>
      <c r="D10" s="399"/>
      <c r="E10" s="399"/>
      <c r="F10" s="399"/>
      <c r="G10" s="400"/>
      <c r="H10" s="399"/>
      <c r="I10" s="399"/>
      <c r="J10" s="399"/>
      <c r="K10" s="399"/>
      <c r="L10" s="399"/>
      <c r="M10" s="399"/>
    </row>
    <row r="11" spans="1:20">
      <c r="A11" s="398"/>
      <c r="C11" s="399"/>
      <c r="D11" s="399"/>
      <c r="E11" s="399"/>
      <c r="F11" s="399"/>
      <c r="G11" s="400"/>
      <c r="K11" s="1368"/>
      <c r="L11" s="1368"/>
      <c r="M11" s="1368"/>
      <c r="N11" s="1368"/>
      <c r="O11" s="1368"/>
      <c r="P11" s="1368"/>
      <c r="Q11" s="1368"/>
      <c r="R11" s="1368"/>
      <c r="S11" s="1368"/>
      <c r="T11" s="1368"/>
    </row>
    <row r="12" spans="1:20">
      <c r="A12" s="398"/>
      <c r="C12" s="399"/>
      <c r="D12" s="399"/>
      <c r="E12" s="399"/>
      <c r="F12" s="399"/>
      <c r="G12" s="399"/>
      <c r="K12" s="1124"/>
      <c r="L12" s="1123"/>
      <c r="M12" s="1123"/>
      <c r="N12" s="1124"/>
      <c r="O12" s="1124"/>
      <c r="P12" s="1124"/>
      <c r="Q12" s="1124"/>
      <c r="R12" s="1124"/>
      <c r="S12" s="1124"/>
      <c r="T12" s="1124"/>
    </row>
    <row r="13" spans="1:20">
      <c r="C13" s="402" t="s">
        <v>19</v>
      </c>
      <c r="D13" s="402"/>
      <c r="E13" s="402" t="s">
        <v>20</v>
      </c>
      <c r="F13" s="402"/>
      <c r="G13" s="402" t="s">
        <v>21</v>
      </c>
      <c r="I13" s="403" t="s">
        <v>22</v>
      </c>
      <c r="K13" s="1125"/>
      <c r="L13" s="1125"/>
      <c r="M13" s="1125"/>
      <c r="N13" s="1124"/>
      <c r="O13" s="1124"/>
      <c r="P13" s="1125"/>
      <c r="Q13" s="1124"/>
      <c r="R13" s="1125"/>
      <c r="S13" s="1124"/>
      <c r="T13" s="1125"/>
    </row>
    <row r="14" spans="1:20" ht="15.6">
      <c r="C14" s="404"/>
      <c r="D14" s="404"/>
      <c r="E14" s="405"/>
      <c r="F14" s="405"/>
      <c r="G14" s="406"/>
      <c r="K14" s="1124"/>
      <c r="L14" s="1124"/>
      <c r="M14" s="1124"/>
      <c r="N14" s="1124"/>
      <c r="O14" s="1124"/>
      <c r="P14" s="1124"/>
      <c r="Q14" s="1124"/>
      <c r="R14" s="1124"/>
      <c r="S14" s="1124"/>
      <c r="T14" s="1124"/>
    </row>
    <row r="15" spans="1:20" ht="15.6">
      <c r="A15" s="398" t="s">
        <v>5</v>
      </c>
      <c r="C15" s="404"/>
      <c r="D15" s="404"/>
      <c r="E15" s="407" t="s">
        <v>190</v>
      </c>
      <c r="F15" s="407"/>
      <c r="G15" s="408" t="s">
        <v>25</v>
      </c>
      <c r="I15" s="408" t="s">
        <v>11</v>
      </c>
      <c r="K15" s="1137"/>
      <c r="L15" s="1126"/>
      <c r="M15" s="1126"/>
      <c r="N15" s="1124"/>
      <c r="O15" s="1124"/>
      <c r="P15" s="1126"/>
      <c r="Q15" s="1124"/>
      <c r="R15" s="1126"/>
      <c r="S15" s="1124"/>
      <c r="T15" s="1126"/>
    </row>
    <row r="16" spans="1:20" ht="15.6">
      <c r="A16" s="398" t="s">
        <v>7</v>
      </c>
      <c r="C16" s="409"/>
      <c r="D16" s="409"/>
      <c r="E16" s="406"/>
      <c r="F16" s="406"/>
      <c r="G16" s="406"/>
      <c r="I16" s="406"/>
      <c r="K16" s="1137"/>
      <c r="L16" s="1124"/>
      <c r="M16" s="1124"/>
      <c r="N16" s="1124"/>
      <c r="O16" s="1124"/>
      <c r="P16" s="1124"/>
      <c r="Q16" s="1124"/>
      <c r="R16" s="1124"/>
      <c r="S16" s="1124"/>
      <c r="T16" s="1124"/>
    </row>
    <row r="17" spans="1:20" ht="15.6">
      <c r="A17" s="410"/>
      <c r="C17" s="404"/>
      <c r="D17" s="404"/>
      <c r="E17" s="406"/>
      <c r="F17" s="406"/>
      <c r="G17" s="406"/>
      <c r="I17" s="406"/>
      <c r="K17" s="1124"/>
      <c r="L17" s="1124"/>
      <c r="M17" s="1124"/>
      <c r="N17" s="1124"/>
      <c r="O17" s="1124"/>
      <c r="P17" s="1124"/>
      <c r="Q17" s="1124"/>
      <c r="R17" s="1124"/>
      <c r="S17" s="1124"/>
      <c r="T17" s="1124"/>
    </row>
    <row r="18" spans="1:20">
      <c r="A18" s="411">
        <v>1</v>
      </c>
      <c r="C18" s="404" t="s">
        <v>158</v>
      </c>
      <c r="D18" s="404"/>
      <c r="E18" s="411" t="s">
        <v>1095</v>
      </c>
      <c r="F18" s="411"/>
      <c r="G18" s="412">
        <f>'Attachment H-11A '!I41</f>
        <v>608406078.34481192</v>
      </c>
      <c r="K18" s="1124"/>
      <c r="L18" s="1124"/>
      <c r="M18" s="1124"/>
      <c r="N18" s="1124"/>
      <c r="O18" s="1124"/>
      <c r="P18" s="1124"/>
      <c r="Q18" s="1124"/>
      <c r="R18" s="1124"/>
      <c r="S18" s="1124"/>
      <c r="T18" s="1124"/>
    </row>
    <row r="19" spans="1:20">
      <c r="A19" s="411">
        <v>2</v>
      </c>
      <c r="C19" s="404" t="s">
        <v>159</v>
      </c>
      <c r="D19" s="404"/>
      <c r="E19" s="411" t="s">
        <v>1096</v>
      </c>
      <c r="F19" s="411"/>
      <c r="G19" s="412">
        <f>'Attachment H-11A '!I57</f>
        <v>402485360.16587746</v>
      </c>
      <c r="K19" s="1124"/>
      <c r="L19" s="1124"/>
      <c r="M19" s="1124"/>
      <c r="N19" s="1124"/>
      <c r="O19" s="1124"/>
      <c r="P19" s="1124"/>
      <c r="Q19" s="1124"/>
      <c r="R19" s="1124"/>
      <c r="S19" s="1124"/>
      <c r="T19" s="1124"/>
    </row>
    <row r="20" spans="1:20">
      <c r="A20" s="411"/>
      <c r="E20" s="411"/>
      <c r="F20" s="411"/>
      <c r="K20" s="1124"/>
      <c r="L20" s="1124"/>
      <c r="M20" s="1124"/>
      <c r="N20" s="1124"/>
      <c r="O20" s="1124"/>
      <c r="P20" s="1124"/>
      <c r="Q20" s="1124"/>
      <c r="R20" s="1124"/>
      <c r="S20" s="1124"/>
      <c r="T20" s="1124"/>
    </row>
    <row r="21" spans="1:20">
      <c r="A21" s="411"/>
      <c r="C21" s="404" t="s">
        <v>160</v>
      </c>
      <c r="D21" s="404"/>
      <c r="E21" s="411"/>
      <c r="F21" s="411"/>
      <c r="G21" s="406"/>
      <c r="I21" s="406"/>
      <c r="K21" s="1124"/>
      <c r="L21" s="1124"/>
      <c r="M21" s="1124"/>
      <c r="N21" s="1124"/>
      <c r="O21" s="1124"/>
      <c r="P21" s="1124"/>
      <c r="Q21" s="1124"/>
      <c r="R21" s="1124"/>
      <c r="S21" s="1124"/>
      <c r="T21" s="1124"/>
    </row>
    <row r="22" spans="1:20">
      <c r="A22" s="411">
        <v>3</v>
      </c>
      <c r="C22" s="404" t="s">
        <v>161</v>
      </c>
      <c r="D22" s="404"/>
      <c r="E22" s="961" t="s">
        <v>1097</v>
      </c>
      <c r="F22" s="961"/>
      <c r="G22" s="412">
        <f>'Attachment H-11A '!I128</f>
        <v>15230255.870881019</v>
      </c>
      <c r="K22" s="1124"/>
      <c r="L22" s="1124"/>
      <c r="M22" s="1124"/>
      <c r="N22" s="1124"/>
      <c r="O22" s="1124"/>
      <c r="P22" s="1124"/>
      <c r="Q22" s="1124"/>
      <c r="R22" s="1124"/>
      <c r="S22" s="1124"/>
      <c r="T22" s="1124"/>
    </row>
    <row r="23" spans="1:20">
      <c r="A23" s="411">
        <v>4</v>
      </c>
      <c r="C23" s="404" t="s">
        <v>162</v>
      </c>
      <c r="D23" s="404"/>
      <c r="E23" s="961" t="s">
        <v>192</v>
      </c>
      <c r="F23" s="961"/>
      <c r="G23" s="413">
        <f>IF(G22=0,0,G22/G18)</f>
        <v>2.5033043575625368E-2</v>
      </c>
      <c r="I23" s="414">
        <f>G23</f>
        <v>2.5033043575625368E-2</v>
      </c>
      <c r="K23" s="1124"/>
      <c r="L23" s="1124"/>
      <c r="M23" s="1124"/>
      <c r="N23" s="1124"/>
      <c r="O23" s="1124"/>
      <c r="P23" s="1124"/>
      <c r="Q23" s="1124"/>
      <c r="R23" s="1124"/>
      <c r="S23" s="1124"/>
      <c r="T23" s="1124"/>
    </row>
    <row r="24" spans="1:20">
      <c r="A24" s="411"/>
      <c r="C24" s="404"/>
      <c r="D24" s="404"/>
      <c r="E24" s="961"/>
      <c r="F24" s="961"/>
      <c r="G24" s="413"/>
      <c r="I24" s="414"/>
      <c r="K24" s="1124"/>
      <c r="L24" s="1124"/>
      <c r="M24" s="1124"/>
      <c r="N24" s="1124"/>
      <c r="O24" s="1124"/>
      <c r="P24" s="1124"/>
      <c r="Q24" s="1124"/>
      <c r="R24" s="1124"/>
      <c r="S24" s="1124"/>
      <c r="T24" s="1124"/>
    </row>
    <row r="25" spans="1:20">
      <c r="A25" s="411"/>
      <c r="C25" s="404" t="s">
        <v>336</v>
      </c>
      <c r="D25" s="404"/>
      <c r="E25" s="961"/>
      <c r="F25" s="961"/>
      <c r="G25" s="413"/>
      <c r="I25" s="414"/>
      <c r="K25" s="1124"/>
      <c r="L25" s="1124"/>
      <c r="M25" s="1124"/>
      <c r="N25" s="1124"/>
      <c r="O25" s="1124"/>
      <c r="P25" s="1124"/>
      <c r="Q25" s="1124"/>
      <c r="R25" s="1124"/>
      <c r="S25" s="1124"/>
      <c r="T25" s="1124"/>
    </row>
    <row r="26" spans="1:20">
      <c r="A26" s="411">
        <v>5</v>
      </c>
      <c r="C26" s="404" t="s">
        <v>337</v>
      </c>
      <c r="D26" s="404"/>
      <c r="E26" s="961" t="s">
        <v>1098</v>
      </c>
      <c r="F26" s="961"/>
      <c r="G26" s="412">
        <f>'Attachment H-11A '!I132+'Attachment H-11A '!I134</f>
        <v>463421.87926293729</v>
      </c>
      <c r="I26" s="414"/>
      <c r="K26" s="1124"/>
      <c r="L26" s="1124"/>
      <c r="M26" s="1124"/>
      <c r="N26" s="1124"/>
      <c r="O26" s="1124"/>
      <c r="P26" s="1124"/>
      <c r="Q26" s="1124"/>
      <c r="R26" s="1124"/>
      <c r="S26" s="1124"/>
      <c r="T26" s="1124"/>
    </row>
    <row r="27" spans="1:20">
      <c r="A27" s="411">
        <v>6</v>
      </c>
      <c r="C27" s="404" t="s">
        <v>338</v>
      </c>
      <c r="D27" s="404"/>
      <c r="E27" s="961" t="s">
        <v>193</v>
      </c>
      <c r="F27" s="961"/>
      <c r="G27" s="413">
        <f>G26/G18</f>
        <v>7.6169830604534922E-4</v>
      </c>
      <c r="I27" s="414">
        <f>G27</f>
        <v>7.6169830604534922E-4</v>
      </c>
      <c r="K27" s="1124"/>
      <c r="L27" s="1124"/>
      <c r="M27" s="1124"/>
      <c r="N27" s="1124"/>
      <c r="O27" s="1124"/>
      <c r="P27" s="1124"/>
      <c r="Q27" s="1124"/>
      <c r="R27" s="1124"/>
      <c r="S27" s="1124"/>
      <c r="T27" s="1124"/>
    </row>
    <row r="28" spans="1:20">
      <c r="A28" s="411"/>
      <c r="C28" s="404"/>
      <c r="D28" s="404"/>
      <c r="E28" s="961"/>
      <c r="F28" s="961"/>
      <c r="G28" s="413"/>
      <c r="I28" s="414"/>
      <c r="K28" s="1124"/>
      <c r="L28" s="1124"/>
      <c r="M28" s="1124"/>
      <c r="N28" s="1124"/>
      <c r="O28" s="1124"/>
      <c r="P28" s="1124"/>
      <c r="Q28" s="1124"/>
      <c r="R28" s="1124"/>
      <c r="S28" s="1124"/>
      <c r="T28" s="1124"/>
    </row>
    <row r="29" spans="1:20">
      <c r="A29" s="403"/>
      <c r="C29" s="404" t="s">
        <v>163</v>
      </c>
      <c r="D29" s="404"/>
      <c r="E29" s="415"/>
      <c r="F29" s="415"/>
      <c r="G29" s="406"/>
      <c r="I29" s="413"/>
      <c r="K29" s="1124"/>
      <c r="L29" s="1124"/>
      <c r="M29" s="1124"/>
      <c r="N29" s="1124"/>
      <c r="O29" s="1124"/>
      <c r="P29" s="1124"/>
      <c r="Q29" s="1124"/>
      <c r="R29" s="1124"/>
      <c r="S29" s="1124"/>
      <c r="T29" s="1124"/>
    </row>
    <row r="30" spans="1:20">
      <c r="A30" s="403" t="s">
        <v>167</v>
      </c>
      <c r="C30" s="404" t="s">
        <v>165</v>
      </c>
      <c r="D30" s="404"/>
      <c r="E30" s="961" t="s">
        <v>1099</v>
      </c>
      <c r="F30" s="961"/>
      <c r="G30" s="412">
        <f>'Attachment H-11A '!I146</f>
        <v>2775270.9971336159</v>
      </c>
      <c r="I30" s="413"/>
      <c r="K30" s="1124"/>
      <c r="L30" s="1124"/>
      <c r="M30" s="1124"/>
      <c r="N30" s="1124"/>
      <c r="O30" s="1124"/>
      <c r="P30" s="1124"/>
      <c r="Q30" s="1124"/>
      <c r="R30" s="1124"/>
      <c r="S30" s="1124"/>
      <c r="T30" s="1124"/>
    </row>
    <row r="31" spans="1:20">
      <c r="A31" s="403" t="s">
        <v>170</v>
      </c>
      <c r="C31" s="404" t="s">
        <v>166</v>
      </c>
      <c r="D31" s="404"/>
      <c r="E31" s="961" t="s">
        <v>339</v>
      </c>
      <c r="F31" s="961"/>
      <c r="G31" s="413">
        <f>IF(G30=0,0,G30/G18)</f>
        <v>4.5615438371093015E-3</v>
      </c>
      <c r="I31" s="414">
        <f>G31</f>
        <v>4.5615438371093015E-3</v>
      </c>
      <c r="K31" s="1124"/>
      <c r="L31" s="1124"/>
      <c r="M31" s="1124"/>
      <c r="N31" s="1124"/>
      <c r="O31" s="1124"/>
      <c r="P31" s="1124"/>
      <c r="Q31" s="1124"/>
      <c r="R31" s="1124"/>
      <c r="S31" s="1124"/>
      <c r="T31" s="1124"/>
    </row>
    <row r="32" spans="1:20">
      <c r="A32" s="403"/>
      <c r="C32" s="404"/>
      <c r="D32" s="404"/>
      <c r="E32" s="961"/>
      <c r="F32" s="961"/>
      <c r="G32" s="413"/>
      <c r="I32" s="414"/>
      <c r="K32" s="1124"/>
      <c r="L32" s="1124"/>
      <c r="M32" s="1124"/>
      <c r="N32" s="1124"/>
      <c r="O32" s="1124"/>
      <c r="P32" s="1124"/>
      <c r="Q32" s="1124"/>
      <c r="R32" s="1124"/>
      <c r="S32" s="1124"/>
      <c r="T32" s="1124"/>
    </row>
    <row r="33" spans="1:20" ht="15.6">
      <c r="A33" s="416" t="s">
        <v>171</v>
      </c>
      <c r="B33" s="396"/>
      <c r="C33" s="409" t="s">
        <v>168</v>
      </c>
      <c r="D33" s="409"/>
      <c r="E33" s="405" t="s">
        <v>491</v>
      </c>
      <c r="F33" s="405"/>
      <c r="G33" s="417"/>
      <c r="I33" s="418">
        <f>I23+I27+I31</f>
        <v>3.0356285718780018E-2</v>
      </c>
      <c r="K33" s="1124"/>
      <c r="L33" s="1124"/>
      <c r="M33" s="1124"/>
      <c r="N33" s="1124"/>
      <c r="O33" s="1124"/>
      <c r="P33" s="1124"/>
      <c r="Q33" s="1124"/>
      <c r="R33" s="1124"/>
      <c r="S33" s="1124"/>
      <c r="T33" s="1124"/>
    </row>
    <row r="34" spans="1:20">
      <c r="A34" s="403"/>
      <c r="C34" s="404"/>
      <c r="D34" s="404"/>
      <c r="E34" s="961"/>
      <c r="F34" s="961"/>
      <c r="G34" s="406"/>
      <c r="I34" s="413"/>
      <c r="K34" s="1124"/>
      <c r="L34" s="1124"/>
      <c r="M34" s="1124"/>
      <c r="N34" s="1124"/>
      <c r="O34" s="1124"/>
      <c r="P34" s="1124"/>
      <c r="Q34" s="1124"/>
      <c r="R34" s="1124"/>
      <c r="S34" s="1124"/>
      <c r="T34" s="1124"/>
    </row>
    <row r="35" spans="1:20">
      <c r="A35" s="403"/>
      <c r="C35" s="406" t="s">
        <v>169</v>
      </c>
      <c r="D35" s="406"/>
      <c r="E35" s="961"/>
      <c r="F35" s="961"/>
      <c r="G35" s="406"/>
      <c r="I35" s="413"/>
      <c r="K35" s="1125"/>
      <c r="L35" s="1127"/>
      <c r="M35" s="1127"/>
      <c r="N35" s="1127"/>
      <c r="O35" s="1127"/>
      <c r="P35" s="1128"/>
      <c r="Q35" s="1128"/>
      <c r="R35" s="1127"/>
      <c r="S35" s="1124"/>
      <c r="T35" s="1130"/>
    </row>
    <row r="36" spans="1:20">
      <c r="A36" s="403" t="s">
        <v>173</v>
      </c>
      <c r="C36" s="406" t="s">
        <v>67</v>
      </c>
      <c r="D36" s="406"/>
      <c r="E36" s="961" t="s">
        <v>1100</v>
      </c>
      <c r="F36" s="961"/>
      <c r="G36" s="412">
        <f>'Attachment H-11A '!I161</f>
        <v>5277301.3749310579</v>
      </c>
      <c r="I36" s="413"/>
      <c r="K36" s="1125"/>
      <c r="L36" s="1127"/>
      <c r="M36" s="1127"/>
      <c r="N36" s="1127"/>
      <c r="O36" s="1127"/>
      <c r="P36" s="1128"/>
      <c r="Q36" s="1128"/>
      <c r="R36" s="1129"/>
      <c r="S36" s="1124"/>
      <c r="T36" s="1130"/>
    </row>
    <row r="37" spans="1:20">
      <c r="A37" s="403" t="s">
        <v>175</v>
      </c>
      <c r="C37" s="406" t="s">
        <v>172</v>
      </c>
      <c r="D37" s="406"/>
      <c r="E37" s="961" t="s">
        <v>592</v>
      </c>
      <c r="F37" s="961"/>
      <c r="G37" s="413">
        <f>IF(G36=0,0,G36/G19)</f>
        <v>1.3111784669027734E-2</v>
      </c>
      <c r="I37" s="414">
        <f>G37</f>
        <v>1.3111784669027734E-2</v>
      </c>
      <c r="K37" s="1125"/>
      <c r="L37" s="1127"/>
      <c r="M37" s="1127"/>
      <c r="N37" s="1127"/>
      <c r="O37" s="1127"/>
      <c r="P37" s="1128"/>
      <c r="Q37" s="1128"/>
      <c r="R37" s="1130"/>
      <c r="S37" s="1124"/>
      <c r="T37" s="1133"/>
    </row>
    <row r="38" spans="1:20">
      <c r="A38" s="403"/>
      <c r="C38" s="406"/>
      <c r="D38" s="406"/>
      <c r="E38" s="961"/>
      <c r="F38" s="961"/>
      <c r="G38" s="406"/>
      <c r="I38" s="413"/>
      <c r="K38" s="1125"/>
      <c r="L38" s="1127"/>
      <c r="M38" s="1127"/>
      <c r="N38" s="1127"/>
      <c r="O38" s="1127"/>
      <c r="P38" s="1128"/>
      <c r="Q38" s="1128"/>
      <c r="R38" s="1127"/>
      <c r="S38" s="1124"/>
      <c r="T38" s="1130"/>
    </row>
    <row r="39" spans="1:20">
      <c r="A39" s="403"/>
      <c r="C39" s="404" t="s">
        <v>68</v>
      </c>
      <c r="D39" s="404"/>
      <c r="E39" s="419"/>
      <c r="F39" s="419"/>
      <c r="I39" s="413"/>
      <c r="K39" s="1125"/>
      <c r="L39" s="1131"/>
      <c r="M39" s="1131"/>
      <c r="N39" s="1131"/>
      <c r="O39" s="1131"/>
      <c r="P39" s="1132"/>
      <c r="Q39" s="1132"/>
      <c r="R39" s="1124"/>
      <c r="S39" s="1124"/>
      <c r="T39" s="1130"/>
    </row>
    <row r="40" spans="1:20">
      <c r="A40" s="403" t="s">
        <v>177</v>
      </c>
      <c r="C40" s="404" t="s">
        <v>174</v>
      </c>
      <c r="D40" s="404"/>
      <c r="E40" s="961" t="s">
        <v>1101</v>
      </c>
      <c r="F40" s="961"/>
      <c r="G40" s="412">
        <f>'Attachment H-11A '!I163</f>
        <v>23530018.577522766</v>
      </c>
      <c r="I40" s="413"/>
      <c r="K40" s="1125"/>
      <c r="L40" s="1131"/>
      <c r="M40" s="1131"/>
      <c r="N40" s="1131"/>
      <c r="O40" s="1131"/>
      <c r="P40" s="1128"/>
      <c r="Q40" s="1128"/>
      <c r="R40" s="1129"/>
      <c r="S40" s="1124"/>
      <c r="T40" s="1130"/>
    </row>
    <row r="41" spans="1:20">
      <c r="A41" s="403" t="s">
        <v>213</v>
      </c>
      <c r="C41" s="406" t="s">
        <v>176</v>
      </c>
      <c r="D41" s="406"/>
      <c r="E41" s="411" t="s">
        <v>393</v>
      </c>
      <c r="F41" s="411"/>
      <c r="G41" s="414">
        <f>IF(G40=0,0,G40/G19)</f>
        <v>5.8461799872237021E-2</v>
      </c>
      <c r="I41" s="414">
        <f>G41</f>
        <v>5.8461799872237021E-2</v>
      </c>
      <c r="K41" s="1125"/>
      <c r="L41" s="1127"/>
      <c r="M41" s="1127"/>
      <c r="N41" s="1127"/>
      <c r="O41" s="1127"/>
      <c r="P41" s="1128"/>
      <c r="Q41" s="1128"/>
      <c r="R41" s="1133"/>
      <c r="S41" s="1124"/>
      <c r="T41" s="1133"/>
    </row>
    <row r="42" spans="1:20">
      <c r="A42" s="403"/>
      <c r="C42" s="404"/>
      <c r="D42" s="404"/>
      <c r="E42" s="411"/>
      <c r="F42" s="411"/>
      <c r="G42" s="406"/>
      <c r="I42" s="413"/>
      <c r="K42" s="1125"/>
      <c r="L42" s="1131"/>
      <c r="M42" s="1131"/>
      <c r="N42" s="1131"/>
      <c r="O42" s="1131"/>
      <c r="P42" s="1128"/>
      <c r="Q42" s="1128"/>
      <c r="R42" s="1127"/>
      <c r="S42" s="1124"/>
      <c r="T42" s="1130"/>
    </row>
    <row r="43" spans="1:20" ht="15.6">
      <c r="A43" s="416" t="s">
        <v>214</v>
      </c>
      <c r="B43" s="396"/>
      <c r="C43" s="409" t="s">
        <v>178</v>
      </c>
      <c r="D43" s="409"/>
      <c r="E43" s="405" t="s">
        <v>492</v>
      </c>
      <c r="F43" s="405"/>
      <c r="G43" s="417"/>
      <c r="I43" s="418">
        <f>I37+I41</f>
        <v>7.1573584541264751E-2</v>
      </c>
      <c r="K43" s="1138"/>
      <c r="L43" s="1134"/>
      <c r="M43" s="1134"/>
      <c r="N43" s="1134"/>
      <c r="O43" s="1134"/>
      <c r="P43" s="1135"/>
      <c r="Q43" s="1135"/>
      <c r="R43" s="1136"/>
      <c r="S43" s="1124"/>
      <c r="T43" s="1139"/>
    </row>
    <row r="44" spans="1:20">
      <c r="K44" s="1124"/>
      <c r="L44" s="1124"/>
      <c r="M44" s="1124"/>
      <c r="N44" s="1124"/>
      <c r="O44" s="1124"/>
      <c r="P44" s="1124"/>
      <c r="Q44" s="1124"/>
      <c r="R44" s="1124"/>
      <c r="S44" s="1124"/>
      <c r="T44" s="1124"/>
    </row>
    <row r="45" spans="1:20" ht="15.6">
      <c r="K45" s="1138"/>
      <c r="L45" s="1140"/>
      <c r="M45" s="1140"/>
      <c r="N45" s="1124"/>
      <c r="O45" s="1124"/>
      <c r="P45" s="1135"/>
      <c r="Q45" s="1135"/>
      <c r="R45" s="1140"/>
      <c r="S45" s="1140"/>
      <c r="T45" s="1141"/>
    </row>
    <row r="46" spans="1:20">
      <c r="A46" s="398"/>
      <c r="G46" s="406"/>
    </row>
    <row r="47" spans="1:20">
      <c r="O47" s="421"/>
      <c r="R47" s="421"/>
      <c r="T47" s="421" t="str">
        <f>T1</f>
        <v>Attachment H -11A, Attachment 11</v>
      </c>
    </row>
    <row r="48" spans="1:20">
      <c r="O48" s="421"/>
      <c r="R48" s="421"/>
      <c r="T48" s="421" t="s">
        <v>194</v>
      </c>
    </row>
    <row r="49" spans="1:20">
      <c r="O49" s="421"/>
      <c r="R49" s="421"/>
      <c r="T49" s="421" t="str">
        <f>'Attachment H-11A '!K4</f>
        <v>For the 12 months ended 12/31/2022</v>
      </c>
    </row>
    <row r="50" spans="1:20">
      <c r="A50" s="398"/>
      <c r="G50" s="406"/>
    </row>
    <row r="51" spans="1:20">
      <c r="A51" s="398"/>
      <c r="C51" s="404"/>
      <c r="D51" s="404"/>
    </row>
    <row r="52" spans="1:20">
      <c r="A52" s="398"/>
      <c r="C52" s="404"/>
      <c r="D52" s="404"/>
      <c r="L52" s="406"/>
      <c r="M52" s="406"/>
    </row>
    <row r="53" spans="1:20" ht="14.25" customHeight="1">
      <c r="A53" s="398"/>
    </row>
    <row r="54" spans="1:20" ht="15.6">
      <c r="A54" s="1363" t="str">
        <f>A5</f>
        <v>Transmission Enhancement Charge (TEC) Worksheet</v>
      </c>
      <c r="B54" s="1363"/>
      <c r="C54" s="1363"/>
      <c r="D54" s="1363"/>
      <c r="E54" s="1363"/>
      <c r="F54" s="1363"/>
      <c r="G54" s="1363"/>
      <c r="H54" s="1363"/>
      <c r="I54" s="1363"/>
      <c r="J54" s="1363"/>
      <c r="K54" s="1363"/>
      <c r="L54" s="1363"/>
      <c r="M54" s="1363"/>
      <c r="N54" s="1363"/>
      <c r="O54" s="1363"/>
    </row>
    <row r="55" spans="1:20">
      <c r="A55" s="1364" t="str">
        <f>A6</f>
        <v>To be completed in conjunction with Attachment H-11A</v>
      </c>
      <c r="B55" s="1364"/>
      <c r="C55" s="1364"/>
      <c r="D55" s="1364"/>
      <c r="E55" s="1364"/>
      <c r="F55" s="1364"/>
      <c r="G55" s="1364"/>
      <c r="H55" s="1364"/>
      <c r="I55" s="1364"/>
      <c r="J55" s="1364"/>
      <c r="K55" s="1364"/>
      <c r="L55" s="1364"/>
      <c r="M55" s="1364"/>
      <c r="N55" s="1364"/>
      <c r="O55" s="1364"/>
    </row>
    <row r="56" spans="1:20" ht="15.6">
      <c r="A56" s="398"/>
      <c r="E56" s="409"/>
      <c r="H56" s="399"/>
      <c r="I56" s="399"/>
      <c r="J56" s="399"/>
      <c r="K56" s="399"/>
      <c r="L56" s="399"/>
      <c r="M56" s="399"/>
    </row>
    <row r="57" spans="1:20" ht="15.6">
      <c r="A57" s="398"/>
      <c r="E57" s="409"/>
      <c r="F57" s="409"/>
      <c r="H57" s="399"/>
      <c r="I57" s="399"/>
      <c r="J57" s="399"/>
      <c r="K57" s="399"/>
      <c r="L57" s="399"/>
      <c r="M57" s="399"/>
    </row>
    <row r="58" spans="1:20" ht="15.6">
      <c r="A58" s="398"/>
      <c r="C58" s="422">
        <v>-1</v>
      </c>
      <c r="D58" s="422">
        <v>-2</v>
      </c>
      <c r="E58" s="422">
        <v>-3</v>
      </c>
      <c r="F58" s="422">
        <v>-4</v>
      </c>
      <c r="G58" s="422">
        <v>-5</v>
      </c>
      <c r="H58" s="422">
        <v>-6</v>
      </c>
      <c r="I58" s="422">
        <v>-7</v>
      </c>
      <c r="J58" s="422">
        <v>-8</v>
      </c>
      <c r="K58" s="422">
        <v>-9</v>
      </c>
      <c r="L58" s="422">
        <v>-10</v>
      </c>
      <c r="M58" s="422">
        <v>-11</v>
      </c>
      <c r="N58" s="422">
        <v>-12</v>
      </c>
      <c r="O58" s="422">
        <v>-13</v>
      </c>
      <c r="P58" s="422">
        <v>-14</v>
      </c>
      <c r="Q58" s="422">
        <v>-15</v>
      </c>
      <c r="R58" s="422"/>
    </row>
    <row r="59" spans="1:20" ht="67.95" customHeight="1">
      <c r="A59" s="423" t="s">
        <v>179</v>
      </c>
      <c r="B59" s="424"/>
      <c r="C59" s="425" t="s">
        <v>180</v>
      </c>
      <c r="D59" s="426" t="s">
        <v>195</v>
      </c>
      <c r="E59" s="427" t="s">
        <v>292</v>
      </c>
      <c r="F59" s="427" t="s">
        <v>168</v>
      </c>
      <c r="G59" s="428" t="s">
        <v>181</v>
      </c>
      <c r="H59" s="427" t="s">
        <v>182</v>
      </c>
      <c r="I59" s="427" t="s">
        <v>178</v>
      </c>
      <c r="J59" s="428" t="s">
        <v>183</v>
      </c>
      <c r="K59" s="427" t="s">
        <v>184</v>
      </c>
      <c r="L59" s="429" t="s">
        <v>340</v>
      </c>
      <c r="M59" s="429" t="s">
        <v>904</v>
      </c>
      <c r="N59" s="429" t="s">
        <v>501</v>
      </c>
      <c r="O59" s="429" t="s">
        <v>472</v>
      </c>
      <c r="P59" s="429" t="s">
        <v>254</v>
      </c>
      <c r="Q59" s="429" t="s">
        <v>473</v>
      </c>
    </row>
    <row r="60" spans="1:20" ht="75" customHeight="1">
      <c r="A60" s="1006">
        <v>1</v>
      </c>
      <c r="B60" s="431"/>
      <c r="C60" s="431"/>
      <c r="D60" s="431"/>
      <c r="E60" s="432" t="s">
        <v>499</v>
      </c>
      <c r="F60" s="432" t="s">
        <v>497</v>
      </c>
      <c r="G60" s="433" t="s">
        <v>185</v>
      </c>
      <c r="H60" s="432" t="s">
        <v>500</v>
      </c>
      <c r="I60" s="455" t="s">
        <v>498</v>
      </c>
      <c r="J60" s="433" t="s">
        <v>186</v>
      </c>
      <c r="K60" s="432" t="s">
        <v>146</v>
      </c>
      <c r="L60" s="434" t="s">
        <v>341</v>
      </c>
      <c r="M60" s="434" t="s">
        <v>605</v>
      </c>
      <c r="N60" s="1267" t="s">
        <v>1103</v>
      </c>
      <c r="O60" s="434" t="s">
        <v>902</v>
      </c>
      <c r="P60" s="434" t="s">
        <v>353</v>
      </c>
      <c r="Q60" s="434" t="s">
        <v>903</v>
      </c>
    </row>
    <row r="61" spans="1:20">
      <c r="A61" s="435"/>
      <c r="B61" s="399"/>
      <c r="C61" s="402"/>
      <c r="D61" s="399"/>
      <c r="E61" s="399"/>
      <c r="F61" s="399"/>
      <c r="G61" s="436"/>
      <c r="H61" s="399"/>
      <c r="I61" s="399"/>
      <c r="J61" s="436"/>
      <c r="K61" s="399"/>
      <c r="L61" s="436"/>
      <c r="M61" s="436"/>
      <c r="N61" s="436"/>
      <c r="O61" s="436"/>
      <c r="P61" s="436"/>
      <c r="Q61" s="436"/>
    </row>
    <row r="62" spans="1:20">
      <c r="A62" s="529" t="s">
        <v>519</v>
      </c>
      <c r="B62" s="415"/>
      <c r="C62" s="535" t="s">
        <v>1222</v>
      </c>
      <c r="D62" s="531" t="s">
        <v>1223</v>
      </c>
      <c r="E62" s="412">
        <f>'Attach 11a - TEC Cost Support'!E10</f>
        <v>234851.79999999996</v>
      </c>
      <c r="F62" s="414">
        <f>$I$33</f>
        <v>3.0356285718780018E-2</v>
      </c>
      <c r="G62" s="438">
        <f>E62*F62</f>
        <v>7129.22834236978</v>
      </c>
      <c r="H62" s="412">
        <f>'Attach 11a - TEC Cost Support'!AI10</f>
        <v>402907.28164000006</v>
      </c>
      <c r="I62" s="414">
        <f>$I$43</f>
        <v>7.1573584541264751E-2</v>
      </c>
      <c r="J62" s="438">
        <f>H62*I62</f>
        <v>28837.518384751711</v>
      </c>
      <c r="K62" s="439">
        <v>3193.9844799999996</v>
      </c>
      <c r="L62" s="440">
        <f t="shared" ref="L62:L63" si="0">G62+J62+K62</f>
        <v>39160.731207121491</v>
      </c>
      <c r="M62" s="1144"/>
      <c r="N62" s="1143">
        <f>H62*'Attachment H-11A '!$I$239*(M62/100)</f>
        <v>0</v>
      </c>
      <c r="O62" s="440">
        <f>L62+N62</f>
        <v>39160.731207121491</v>
      </c>
      <c r="P62" s="441"/>
      <c r="Q62" s="440">
        <f>O62+P62</f>
        <v>39160.731207121491</v>
      </c>
    </row>
    <row r="63" spans="1:20" ht="45">
      <c r="A63" s="529" t="s">
        <v>520</v>
      </c>
      <c r="B63" s="415"/>
      <c r="C63" s="535" t="s">
        <v>1224</v>
      </c>
      <c r="D63" s="531" t="s">
        <v>1225</v>
      </c>
      <c r="E63" s="412">
        <f>'Attach 11a - TEC Cost Support'!E11</f>
        <v>2780431.5900000003</v>
      </c>
      <c r="F63" s="414">
        <f>$I$33</f>
        <v>3.0356285718780018E-2</v>
      </c>
      <c r="G63" s="438">
        <f>E63*F63</f>
        <v>84403.575767561822</v>
      </c>
      <c r="H63" s="412">
        <f>'Attach 11a - TEC Cost Support'!AI11</f>
        <v>2642887.9256740003</v>
      </c>
      <c r="I63" s="414">
        <f>$I$43</f>
        <v>7.1573584541264751E-2</v>
      </c>
      <c r="J63" s="438">
        <f>H63*I63</f>
        <v>189160.96238131588</v>
      </c>
      <c r="K63" s="439">
        <v>45724.165767999999</v>
      </c>
      <c r="L63" s="440">
        <f t="shared" si="0"/>
        <v>319288.70391687768</v>
      </c>
      <c r="M63" s="1144"/>
      <c r="N63" s="1143">
        <f>H63*'Attachment H-11A '!$I$239*(M63/100)</f>
        <v>0</v>
      </c>
      <c r="O63" s="440">
        <f t="shared" ref="O63" si="1">L63+N63</f>
        <v>319288.70391687768</v>
      </c>
      <c r="P63" s="441"/>
      <c r="Q63" s="440">
        <f t="shared" ref="Q63" si="2">O63+P63</f>
        <v>319288.70391687768</v>
      </c>
    </row>
    <row r="64" spans="1:20">
      <c r="A64" s="529"/>
      <c r="B64" s="415"/>
      <c r="C64" s="535"/>
      <c r="D64" s="531"/>
      <c r="E64" s="412"/>
      <c r="F64" s="414"/>
      <c r="G64" s="438"/>
      <c r="H64" s="412"/>
      <c r="I64" s="414"/>
      <c r="J64" s="438"/>
      <c r="K64" s="439"/>
      <c r="L64" s="440"/>
      <c r="M64" s="1144"/>
      <c r="N64" s="1143"/>
      <c r="O64" s="440"/>
      <c r="P64" s="441"/>
      <c r="Q64" s="440"/>
    </row>
    <row r="65" spans="1:17">
      <c r="A65" s="529"/>
      <c r="C65" s="535"/>
      <c r="D65" s="531"/>
      <c r="E65" s="412"/>
      <c r="F65" s="414"/>
      <c r="G65" s="438"/>
      <c r="H65" s="412"/>
      <c r="I65" s="414"/>
      <c r="J65" s="438"/>
      <c r="K65" s="530"/>
      <c r="L65" s="440"/>
      <c r="M65" s="1144"/>
      <c r="N65" s="1143"/>
      <c r="O65" s="440"/>
      <c r="P65" s="532"/>
      <c r="Q65" s="440"/>
    </row>
    <row r="66" spans="1:17">
      <c r="A66" s="529"/>
      <c r="C66" s="535"/>
      <c r="D66" s="531"/>
      <c r="E66" s="412"/>
      <c r="F66" s="414"/>
      <c r="G66" s="438"/>
      <c r="H66" s="412"/>
      <c r="I66" s="414"/>
      <c r="J66" s="438"/>
      <c r="K66" s="530"/>
      <c r="L66" s="440"/>
      <c r="M66" s="1144"/>
      <c r="N66" s="1143"/>
      <c r="O66" s="440"/>
      <c r="P66" s="532"/>
      <c r="Q66" s="440"/>
    </row>
    <row r="67" spans="1:17">
      <c r="A67" s="529"/>
      <c r="C67" s="535"/>
      <c r="D67" s="531"/>
      <c r="E67" s="412"/>
      <c r="F67" s="414"/>
      <c r="G67" s="438"/>
      <c r="H67" s="412"/>
      <c r="I67" s="414"/>
      <c r="J67" s="438"/>
      <c r="K67" s="530"/>
      <c r="L67" s="440"/>
      <c r="M67" s="1144"/>
      <c r="N67" s="1143"/>
      <c r="O67" s="440"/>
      <c r="P67" s="533"/>
      <c r="Q67" s="440"/>
    </row>
    <row r="68" spans="1:17">
      <c r="A68" s="401"/>
      <c r="C68" s="272"/>
      <c r="D68" s="272"/>
      <c r="E68" s="412"/>
      <c r="F68" s="272"/>
      <c r="G68" s="442"/>
      <c r="H68" s="272"/>
      <c r="I68" s="272"/>
      <c r="J68" s="442"/>
      <c r="K68" s="272"/>
      <c r="L68" s="442"/>
      <c r="M68" s="1142"/>
      <c r="N68" s="1143"/>
      <c r="O68" s="442"/>
      <c r="P68" s="442"/>
      <c r="Q68" s="442"/>
    </row>
    <row r="69" spans="1:17">
      <c r="A69" s="401"/>
      <c r="C69" s="272"/>
      <c r="D69" s="272"/>
      <c r="E69" s="272"/>
      <c r="F69" s="272"/>
      <c r="G69" s="442"/>
      <c r="H69" s="272"/>
      <c r="I69" s="272"/>
      <c r="J69" s="442"/>
      <c r="K69" s="272"/>
      <c r="L69" s="442"/>
      <c r="M69" s="442"/>
      <c r="N69" s="442"/>
      <c r="O69" s="442"/>
      <c r="P69" s="442"/>
      <c r="Q69" s="442"/>
    </row>
    <row r="70" spans="1:17">
      <c r="A70" s="401"/>
      <c r="C70" s="272"/>
      <c r="D70" s="272"/>
      <c r="E70" s="272"/>
      <c r="F70" s="272"/>
      <c r="G70" s="442"/>
      <c r="H70" s="272"/>
      <c r="I70" s="272"/>
      <c r="J70" s="442"/>
      <c r="K70" s="272"/>
      <c r="L70" s="442"/>
      <c r="M70" s="442"/>
      <c r="N70" s="442"/>
      <c r="O70" s="442"/>
      <c r="P70" s="442"/>
      <c r="Q70" s="442"/>
    </row>
    <row r="71" spans="1:17">
      <c r="A71" s="401"/>
      <c r="C71" s="272"/>
      <c r="D71" s="272"/>
      <c r="E71" s="272"/>
      <c r="F71" s="272"/>
      <c r="G71" s="442"/>
      <c r="H71" s="272"/>
      <c r="I71" s="272"/>
      <c r="J71" s="442"/>
      <c r="K71" s="272"/>
      <c r="L71" s="442"/>
      <c r="M71" s="442"/>
      <c r="N71" s="442"/>
      <c r="O71" s="442"/>
      <c r="P71" s="442"/>
      <c r="Q71" s="442"/>
    </row>
    <row r="72" spans="1:17">
      <c r="A72" s="401"/>
      <c r="C72" s="272"/>
      <c r="D72" s="272"/>
      <c r="E72" s="272"/>
      <c r="F72" s="272"/>
      <c r="G72" s="442"/>
      <c r="H72" s="272"/>
      <c r="I72" s="272"/>
      <c r="J72" s="442"/>
      <c r="K72" s="272"/>
      <c r="L72" s="442"/>
      <c r="M72" s="442"/>
      <c r="N72" s="442"/>
      <c r="O72" s="442"/>
      <c r="P72" s="442"/>
      <c r="Q72" s="442"/>
    </row>
    <row r="73" spans="1:17">
      <c r="A73" s="401"/>
      <c r="C73" s="272"/>
      <c r="D73" s="272"/>
      <c r="E73" s="272"/>
      <c r="F73" s="272"/>
      <c r="G73" s="442"/>
      <c r="H73" s="272"/>
      <c r="I73" s="272"/>
      <c r="J73" s="442"/>
      <c r="K73" s="272"/>
      <c r="L73" s="442"/>
      <c r="M73" s="442"/>
      <c r="N73" s="442"/>
      <c r="O73" s="442"/>
      <c r="P73" s="442"/>
      <c r="Q73" s="442"/>
    </row>
    <row r="74" spans="1:17">
      <c r="A74" s="401"/>
      <c r="C74" s="272"/>
      <c r="D74" s="272"/>
      <c r="E74" s="272"/>
      <c r="F74" s="272"/>
      <c r="G74" s="442"/>
      <c r="H74" s="272"/>
      <c r="I74" s="272"/>
      <c r="J74" s="442"/>
      <c r="K74" s="272"/>
      <c r="L74" s="442"/>
      <c r="M74" s="442"/>
      <c r="N74" s="442"/>
      <c r="O74" s="442"/>
      <c r="P74" s="442"/>
      <c r="Q74" s="442"/>
    </row>
    <row r="75" spans="1:17">
      <c r="A75" s="401"/>
      <c r="C75" s="272"/>
      <c r="D75" s="272"/>
      <c r="E75" s="272"/>
      <c r="F75" s="272"/>
      <c r="G75" s="442"/>
      <c r="H75" s="272"/>
      <c r="I75" s="272"/>
      <c r="J75" s="442"/>
      <c r="K75" s="272"/>
      <c r="L75" s="442"/>
      <c r="M75" s="442"/>
      <c r="N75" s="442"/>
      <c r="O75" s="442"/>
      <c r="P75" s="442"/>
      <c r="Q75" s="442"/>
    </row>
    <row r="76" spans="1:17">
      <c r="A76" s="401"/>
      <c r="C76" s="272"/>
      <c r="D76" s="272"/>
      <c r="E76" s="272"/>
      <c r="F76" s="272"/>
      <c r="G76" s="442"/>
      <c r="H76" s="272"/>
      <c r="I76" s="272"/>
      <c r="J76" s="442"/>
      <c r="K76" s="272"/>
      <c r="L76" s="442"/>
      <c r="M76" s="442"/>
      <c r="N76" s="442"/>
      <c r="O76" s="442"/>
      <c r="P76" s="442"/>
      <c r="Q76" s="442"/>
    </row>
    <row r="77" spans="1:17">
      <c r="A77" s="401"/>
      <c r="C77" s="272"/>
      <c r="D77" s="272"/>
      <c r="E77" s="272"/>
      <c r="F77" s="272"/>
      <c r="G77" s="442"/>
      <c r="H77" s="272"/>
      <c r="I77" s="272"/>
      <c r="J77" s="442"/>
      <c r="K77" s="272"/>
      <c r="L77" s="442"/>
      <c r="M77" s="442"/>
      <c r="N77" s="442"/>
      <c r="O77" s="442"/>
      <c r="P77" s="442"/>
      <c r="Q77" s="442"/>
    </row>
    <row r="78" spans="1:17">
      <c r="A78" s="401"/>
      <c r="C78" s="272"/>
      <c r="D78" s="272"/>
      <c r="E78" s="272"/>
      <c r="F78" s="272"/>
      <c r="G78" s="442"/>
      <c r="H78" s="272"/>
      <c r="I78" s="272"/>
      <c r="J78" s="442"/>
      <c r="K78" s="272"/>
      <c r="L78" s="442"/>
      <c r="M78" s="442"/>
      <c r="N78" s="442"/>
      <c r="O78" s="442"/>
      <c r="P78" s="442"/>
      <c r="Q78" s="442"/>
    </row>
    <row r="79" spans="1:17">
      <c r="A79" s="401"/>
      <c r="C79" s="272"/>
      <c r="D79" s="272"/>
      <c r="E79" s="272"/>
      <c r="F79" s="272"/>
      <c r="G79" s="442"/>
      <c r="H79" s="272"/>
      <c r="I79" s="272"/>
      <c r="J79" s="442"/>
      <c r="K79" s="272"/>
      <c r="L79" s="442"/>
      <c r="M79" s="442"/>
      <c r="N79" s="442"/>
      <c r="O79" s="442"/>
      <c r="P79" s="442"/>
      <c r="Q79" s="442"/>
    </row>
    <row r="80" spans="1:17">
      <c r="A80" s="401"/>
      <c r="C80" s="272"/>
      <c r="D80" s="272"/>
      <c r="E80" s="272"/>
      <c r="F80" s="272"/>
      <c r="G80" s="442"/>
      <c r="H80" s="272"/>
      <c r="I80" s="272"/>
      <c r="J80" s="442"/>
      <c r="K80" s="272"/>
      <c r="L80" s="442"/>
      <c r="M80" s="442"/>
      <c r="N80" s="442"/>
      <c r="O80" s="442"/>
      <c r="P80" s="442"/>
      <c r="Q80" s="442"/>
    </row>
    <row r="81" spans="1:17">
      <c r="A81" s="443"/>
      <c r="B81" s="420"/>
      <c r="C81" s="444"/>
      <c r="D81" s="444"/>
      <c r="E81" s="444"/>
      <c r="F81" s="444"/>
      <c r="G81" s="445"/>
      <c r="H81" s="444"/>
      <c r="I81" s="444"/>
      <c r="J81" s="445"/>
      <c r="K81" s="444"/>
      <c r="L81" s="445"/>
      <c r="M81" s="445"/>
      <c r="N81" s="445"/>
      <c r="O81" s="445"/>
      <c r="P81" s="445"/>
      <c r="Q81" s="445"/>
    </row>
    <row r="82" spans="1:17">
      <c r="A82" s="403" t="s">
        <v>211</v>
      </c>
      <c r="C82" s="394" t="s">
        <v>1124</v>
      </c>
      <c r="D82" s="404"/>
      <c r="E82" s="415"/>
      <c r="F82" s="415"/>
      <c r="G82" s="406"/>
      <c r="H82" s="406"/>
      <c r="I82" s="406"/>
      <c r="J82" s="406"/>
      <c r="K82" s="406"/>
      <c r="L82" s="446"/>
      <c r="M82" s="446"/>
      <c r="N82" s="446"/>
      <c r="O82" s="942">
        <f>SUM(O62:O81)</f>
        <v>358449.4351239992</v>
      </c>
      <c r="P82" s="412"/>
      <c r="Q82" s="446"/>
    </row>
    <row r="83" spans="1:17">
      <c r="A83" s="447" t="s">
        <v>212</v>
      </c>
      <c r="B83" s="272"/>
      <c r="C83" s="394" t="s">
        <v>1123</v>
      </c>
      <c r="D83" s="272"/>
      <c r="E83" s="272"/>
      <c r="F83" s="272"/>
      <c r="G83" s="272"/>
      <c r="H83" s="272"/>
      <c r="I83" s="272"/>
      <c r="J83" s="272"/>
      <c r="K83" s="272"/>
      <c r="L83" s="272"/>
      <c r="M83" s="272"/>
      <c r="N83" s="394">
        <f>SUM(N62:N81)</f>
        <v>0</v>
      </c>
      <c r="O83" s="272"/>
      <c r="P83" s="272"/>
    </row>
    <row r="84" spans="1:17">
      <c r="A84" s="272"/>
      <c r="B84" s="272"/>
      <c r="C84" s="272"/>
      <c r="D84" s="272"/>
      <c r="E84" s="272"/>
      <c r="F84" s="272"/>
      <c r="G84" s="272"/>
      <c r="H84" s="272"/>
      <c r="I84" s="272"/>
      <c r="J84" s="272"/>
      <c r="K84" s="272"/>
      <c r="L84" s="272"/>
      <c r="M84" s="272"/>
      <c r="N84" s="272"/>
      <c r="O84" s="272"/>
      <c r="P84" s="272"/>
    </row>
    <row r="85" spans="1:17">
      <c r="A85" s="448" t="s">
        <v>196</v>
      </c>
      <c r="B85" s="272"/>
      <c r="C85" s="272"/>
      <c r="D85" s="272"/>
      <c r="E85" s="272"/>
      <c r="F85" s="272"/>
      <c r="G85" s="272"/>
      <c r="H85" s="272"/>
      <c r="I85" s="272"/>
      <c r="J85" s="272"/>
      <c r="K85" s="272"/>
      <c r="L85" s="272"/>
      <c r="M85" s="272"/>
    </row>
    <row r="86" spans="1:17">
      <c r="A86" s="415" t="s">
        <v>107</v>
      </c>
      <c r="C86" s="1362" t="s">
        <v>1104</v>
      </c>
      <c r="D86" s="1362"/>
      <c r="E86" s="1362"/>
      <c r="F86" s="1362"/>
      <c r="G86" s="1362"/>
      <c r="H86" s="1362"/>
      <c r="I86" s="1362"/>
      <c r="J86" s="1362"/>
      <c r="K86" s="1362"/>
      <c r="L86" s="1362"/>
      <c r="M86" s="1080"/>
    </row>
    <row r="87" spans="1:17">
      <c r="A87" s="415" t="s">
        <v>108</v>
      </c>
      <c r="C87" s="1362" t="s">
        <v>1105</v>
      </c>
      <c r="D87" s="1362"/>
      <c r="E87" s="1362"/>
      <c r="F87" s="1362"/>
      <c r="G87" s="1362"/>
      <c r="H87" s="1362"/>
      <c r="I87" s="1362"/>
      <c r="J87" s="1362"/>
      <c r="K87" s="1362"/>
      <c r="L87" s="1362"/>
      <c r="M87" s="1080"/>
    </row>
    <row r="88" spans="1:17" ht="15" customHeight="1">
      <c r="A88" s="449" t="s">
        <v>109</v>
      </c>
      <c r="C88" s="1367" t="s">
        <v>198</v>
      </c>
      <c r="D88" s="1367"/>
      <c r="E88" s="1367"/>
      <c r="F88" s="1367"/>
      <c r="G88" s="1367"/>
      <c r="H88" s="1367"/>
      <c r="I88" s="1367"/>
      <c r="J88" s="1367"/>
      <c r="K88" s="1367"/>
      <c r="L88" s="1367"/>
      <c r="M88" s="1082"/>
    </row>
    <row r="89" spans="1:17">
      <c r="A89" s="449" t="s">
        <v>110</v>
      </c>
      <c r="C89" s="1367" t="s">
        <v>187</v>
      </c>
      <c r="D89" s="1367"/>
      <c r="E89" s="1367"/>
      <c r="F89" s="1367"/>
      <c r="G89" s="1367"/>
      <c r="H89" s="1367"/>
      <c r="I89" s="1367"/>
      <c r="J89" s="1367"/>
      <c r="K89" s="1367"/>
      <c r="L89" s="1367"/>
      <c r="M89" s="1082"/>
    </row>
    <row r="90" spans="1:17">
      <c r="A90" s="415" t="s">
        <v>111</v>
      </c>
      <c r="C90" s="1362" t="s">
        <v>1106</v>
      </c>
      <c r="D90" s="1362"/>
      <c r="E90" s="1362"/>
      <c r="F90" s="1362"/>
      <c r="G90" s="1362"/>
      <c r="H90" s="1362"/>
      <c r="I90" s="1362"/>
      <c r="J90" s="1362"/>
      <c r="K90" s="1362"/>
      <c r="L90" s="1362"/>
      <c r="M90" s="1080"/>
    </row>
    <row r="91" spans="1:17">
      <c r="A91" s="415" t="s">
        <v>112</v>
      </c>
      <c r="C91" s="394" t="s">
        <v>1132</v>
      </c>
    </row>
    <row r="92" spans="1:17">
      <c r="A92" s="415" t="s">
        <v>113</v>
      </c>
      <c r="C92" s="1238" t="s">
        <v>1125</v>
      </c>
      <c r="D92" s="1238"/>
      <c r="E92" s="1238"/>
    </row>
    <row r="93" spans="1:17">
      <c r="A93" s="415" t="s">
        <v>115</v>
      </c>
      <c r="C93" s="394" t="s">
        <v>392</v>
      </c>
      <c r="D93" s="403"/>
      <c r="E93" s="415"/>
      <c r="F93" s="415"/>
      <c r="G93" s="406"/>
      <c r="J93" s="451"/>
    </row>
    <row r="94" spans="1:17">
      <c r="A94" s="403"/>
      <c r="C94" s="472"/>
      <c r="D94" s="403"/>
      <c r="E94" s="415"/>
      <c r="F94" s="415"/>
      <c r="G94" s="406"/>
      <c r="J94" s="451"/>
    </row>
    <row r="95" spans="1:17">
      <c r="C95" s="272"/>
      <c r="D95" s="272"/>
      <c r="E95" s="272"/>
      <c r="F95" s="272"/>
      <c r="G95" s="272"/>
      <c r="H95" s="272"/>
      <c r="I95" s="272"/>
      <c r="J95" s="272"/>
      <c r="K95" s="272"/>
      <c r="L95" s="272"/>
      <c r="M95" s="272"/>
    </row>
    <row r="96" spans="1:17">
      <c r="C96" s="272"/>
      <c r="D96" s="272"/>
      <c r="E96" s="272"/>
      <c r="F96" s="272"/>
      <c r="G96" s="272"/>
      <c r="H96" s="272"/>
      <c r="I96" s="272"/>
      <c r="J96" s="272"/>
      <c r="K96" s="272"/>
      <c r="L96" s="272"/>
      <c r="M96" s="272"/>
    </row>
    <row r="97" spans="3:13">
      <c r="C97" s="272"/>
      <c r="D97" s="272"/>
      <c r="E97" s="272"/>
      <c r="F97" s="272"/>
      <c r="G97" s="272"/>
      <c r="H97" s="272"/>
      <c r="I97" s="272"/>
      <c r="J97" s="272"/>
      <c r="K97" s="272"/>
      <c r="L97" s="272"/>
      <c r="M97" s="272"/>
    </row>
    <row r="98" spans="3:13">
      <c r="C98" s="272"/>
      <c r="D98" s="272"/>
      <c r="E98" s="272"/>
      <c r="F98" s="272"/>
      <c r="G98" s="272"/>
      <c r="H98" s="272"/>
      <c r="I98" s="272"/>
      <c r="J98" s="272"/>
      <c r="K98" s="272"/>
      <c r="L98" s="272"/>
      <c r="M98" s="272"/>
    </row>
    <row r="99" spans="3:13">
      <c r="C99" s="272"/>
      <c r="D99" s="272"/>
      <c r="E99" s="272"/>
      <c r="F99" s="272"/>
      <c r="G99" s="272"/>
      <c r="H99" s="272"/>
      <c r="I99" s="272"/>
      <c r="J99" s="272"/>
      <c r="K99" s="272"/>
      <c r="L99" s="272"/>
      <c r="M99" s="272"/>
    </row>
    <row r="100" spans="3:13">
      <c r="C100" s="272"/>
      <c r="D100" s="272"/>
      <c r="E100" s="272"/>
      <c r="F100" s="272"/>
      <c r="G100" s="272"/>
      <c r="H100" s="272"/>
      <c r="I100" s="272"/>
      <c r="J100" s="272"/>
      <c r="K100" s="272"/>
      <c r="L100" s="272"/>
      <c r="M100" s="272"/>
    </row>
    <row r="101" spans="3:13">
      <c r="C101" s="272"/>
      <c r="D101" s="272"/>
      <c r="E101" s="272"/>
      <c r="F101" s="272"/>
      <c r="G101" s="272"/>
      <c r="H101" s="272"/>
      <c r="I101" s="272"/>
      <c r="J101" s="272"/>
      <c r="K101" s="272"/>
      <c r="L101" s="272"/>
      <c r="M101" s="272"/>
    </row>
    <row r="102" spans="3:13">
      <c r="C102" s="272"/>
      <c r="D102" s="272"/>
      <c r="E102" s="272"/>
      <c r="F102" s="272"/>
      <c r="G102" s="272"/>
      <c r="H102" s="272"/>
      <c r="I102" s="272"/>
      <c r="J102" s="272"/>
      <c r="K102" s="272"/>
      <c r="L102" s="272"/>
      <c r="M102" s="272"/>
    </row>
    <row r="103" spans="3:13">
      <c r="C103" s="272"/>
      <c r="D103" s="272"/>
      <c r="E103" s="272"/>
      <c r="F103" s="272"/>
      <c r="G103" s="272"/>
      <c r="H103" s="272"/>
      <c r="I103" s="272"/>
      <c r="J103" s="272"/>
      <c r="K103" s="272"/>
      <c r="L103" s="272"/>
      <c r="M103" s="272"/>
    </row>
    <row r="104" spans="3:13">
      <c r="C104" s="272"/>
      <c r="D104" s="272"/>
      <c r="E104" s="272"/>
      <c r="F104" s="272"/>
      <c r="G104" s="272"/>
      <c r="H104" s="272"/>
      <c r="I104" s="272"/>
      <c r="J104" s="272"/>
      <c r="K104" s="272"/>
      <c r="L104" s="272"/>
      <c r="M104" s="272"/>
    </row>
    <row r="105" spans="3:13">
      <c r="C105" s="272"/>
      <c r="D105" s="272"/>
      <c r="E105" s="272"/>
      <c r="F105" s="272"/>
      <c r="G105" s="272"/>
      <c r="H105" s="272"/>
      <c r="I105" s="272"/>
      <c r="J105" s="272"/>
      <c r="K105" s="272"/>
      <c r="L105" s="272"/>
      <c r="M105" s="272"/>
    </row>
    <row r="106" spans="3:13">
      <c r="C106" s="272"/>
      <c r="D106" s="272"/>
      <c r="E106" s="272"/>
      <c r="F106" s="272"/>
      <c r="G106" s="272"/>
      <c r="H106" s="272"/>
      <c r="I106" s="272"/>
      <c r="J106" s="272"/>
      <c r="K106" s="272"/>
      <c r="L106" s="272"/>
      <c r="M106" s="272"/>
    </row>
    <row r="107" spans="3:13">
      <c r="C107" s="272"/>
      <c r="D107" s="272"/>
      <c r="E107" s="272"/>
      <c r="F107" s="272"/>
      <c r="G107" s="272"/>
      <c r="H107" s="272"/>
      <c r="I107" s="272"/>
      <c r="J107" s="272"/>
      <c r="K107" s="272"/>
      <c r="L107" s="272"/>
      <c r="M107" s="272"/>
    </row>
    <row r="108" spans="3:13">
      <c r="C108" s="272"/>
      <c r="D108" s="272"/>
      <c r="E108" s="272"/>
      <c r="F108" s="272"/>
      <c r="G108" s="272"/>
      <c r="H108" s="272"/>
      <c r="I108" s="272"/>
      <c r="J108" s="272"/>
      <c r="K108" s="272"/>
      <c r="L108" s="272"/>
      <c r="M108" s="272"/>
    </row>
    <row r="109" spans="3:13">
      <c r="C109" s="272"/>
      <c r="D109" s="272"/>
      <c r="E109" s="272"/>
      <c r="F109" s="272"/>
      <c r="G109" s="272"/>
      <c r="H109" s="272"/>
      <c r="I109" s="272"/>
      <c r="J109" s="272"/>
      <c r="K109" s="272"/>
      <c r="L109" s="272"/>
      <c r="M109" s="272"/>
    </row>
    <row r="110" spans="3:13">
      <c r="C110" s="272"/>
      <c r="D110" s="272"/>
      <c r="E110" s="272"/>
      <c r="F110" s="272"/>
      <c r="G110" s="272"/>
      <c r="H110" s="272"/>
      <c r="I110" s="272"/>
      <c r="J110" s="272"/>
      <c r="K110" s="272"/>
      <c r="L110" s="272"/>
      <c r="M110" s="272"/>
    </row>
    <row r="111" spans="3:13">
      <c r="C111" s="272"/>
      <c r="D111" s="272"/>
      <c r="E111" s="272"/>
      <c r="F111" s="272"/>
      <c r="G111" s="272"/>
      <c r="H111" s="272"/>
      <c r="I111" s="272"/>
      <c r="J111" s="272"/>
      <c r="K111" s="272"/>
      <c r="L111" s="272"/>
      <c r="M111" s="272"/>
    </row>
    <row r="112" spans="3:13">
      <c r="C112" s="272"/>
      <c r="D112" s="272"/>
      <c r="E112" s="272"/>
      <c r="F112" s="272"/>
      <c r="G112" s="272"/>
      <c r="H112" s="272"/>
      <c r="I112" s="272"/>
      <c r="J112" s="272"/>
      <c r="K112" s="272"/>
      <c r="L112" s="272"/>
      <c r="M112" s="272"/>
    </row>
    <row r="113" spans="3:13">
      <c r="C113" s="272"/>
      <c r="D113" s="272"/>
      <c r="E113" s="272"/>
      <c r="F113" s="272"/>
      <c r="G113" s="272"/>
      <c r="H113" s="272"/>
      <c r="I113" s="272"/>
      <c r="J113" s="272"/>
      <c r="K113" s="272"/>
      <c r="L113" s="272"/>
      <c r="M113" s="272"/>
    </row>
    <row r="114" spans="3:13">
      <c r="C114" s="272"/>
      <c r="D114" s="272"/>
      <c r="E114" s="272"/>
      <c r="F114" s="272"/>
      <c r="G114" s="272"/>
      <c r="H114" s="272"/>
      <c r="I114" s="272"/>
      <c r="J114" s="272"/>
      <c r="K114" s="272"/>
      <c r="L114" s="272"/>
      <c r="M114" s="272"/>
    </row>
    <row r="115" spans="3:13">
      <c r="C115" s="272"/>
      <c r="D115" s="272"/>
      <c r="E115" s="272"/>
      <c r="F115" s="272"/>
      <c r="G115" s="272"/>
      <c r="H115" s="272"/>
      <c r="I115" s="272"/>
      <c r="J115" s="272"/>
      <c r="K115" s="272"/>
      <c r="L115" s="272"/>
      <c r="M115" s="272"/>
    </row>
    <row r="116" spans="3:13">
      <c r="C116" s="272"/>
      <c r="D116" s="272"/>
      <c r="E116" s="272"/>
      <c r="F116" s="272"/>
      <c r="G116" s="272"/>
      <c r="H116" s="272"/>
      <c r="I116" s="272"/>
      <c r="J116" s="272"/>
      <c r="K116" s="272"/>
      <c r="L116" s="272"/>
      <c r="M116" s="272"/>
    </row>
    <row r="117" spans="3:13">
      <c r="C117" s="272"/>
      <c r="D117" s="272"/>
      <c r="E117" s="272"/>
      <c r="F117" s="272"/>
      <c r="G117" s="272"/>
      <c r="H117" s="272"/>
      <c r="I117" s="272"/>
      <c r="J117" s="272"/>
      <c r="K117" s="272"/>
      <c r="L117" s="272"/>
      <c r="M117" s="272"/>
    </row>
    <row r="118" spans="3:13">
      <c r="C118" s="272"/>
      <c r="D118" s="272"/>
      <c r="E118" s="272"/>
      <c r="F118" s="272"/>
      <c r="G118" s="272"/>
      <c r="H118" s="272"/>
      <c r="I118" s="272"/>
      <c r="J118" s="272"/>
      <c r="K118" s="272"/>
      <c r="L118" s="272"/>
      <c r="M118" s="272"/>
    </row>
    <row r="119" spans="3:13">
      <c r="C119" s="272"/>
      <c r="D119" s="272"/>
      <c r="E119" s="272"/>
      <c r="F119" s="272"/>
      <c r="G119" s="272"/>
      <c r="H119" s="272"/>
      <c r="I119" s="272"/>
      <c r="J119" s="272"/>
      <c r="K119" s="272"/>
      <c r="L119" s="272"/>
      <c r="M119" s="272"/>
    </row>
    <row r="120" spans="3:13">
      <c r="C120" s="272"/>
      <c r="D120" s="272"/>
      <c r="E120" s="272"/>
      <c r="F120" s="272"/>
      <c r="G120" s="272"/>
      <c r="H120" s="272"/>
      <c r="I120" s="272"/>
      <c r="J120" s="272"/>
      <c r="K120" s="272"/>
      <c r="L120" s="272"/>
      <c r="M120" s="272"/>
    </row>
    <row r="121" spans="3:13">
      <c r="C121" s="272"/>
      <c r="D121" s="272"/>
      <c r="E121" s="272"/>
      <c r="F121" s="272"/>
      <c r="G121" s="272"/>
      <c r="H121" s="272"/>
      <c r="I121" s="272"/>
      <c r="J121" s="272"/>
      <c r="K121" s="272"/>
      <c r="L121" s="272"/>
      <c r="M121" s="272"/>
    </row>
    <row r="122" spans="3:13">
      <c r="C122" s="272"/>
      <c r="D122" s="272"/>
      <c r="E122" s="272"/>
      <c r="F122" s="272"/>
      <c r="G122" s="272"/>
      <c r="H122" s="272"/>
      <c r="I122" s="272"/>
      <c r="J122" s="272"/>
      <c r="K122" s="272"/>
      <c r="L122" s="272"/>
      <c r="M122" s="272"/>
    </row>
    <row r="123" spans="3:13">
      <c r="C123" s="272"/>
      <c r="D123" s="272"/>
      <c r="E123" s="272"/>
      <c r="F123" s="272"/>
      <c r="G123" s="272"/>
      <c r="H123" s="272"/>
      <c r="I123" s="272"/>
      <c r="J123" s="272"/>
      <c r="K123" s="272"/>
      <c r="L123" s="272"/>
      <c r="M123" s="272"/>
    </row>
    <row r="124" spans="3:13">
      <c r="C124" s="272"/>
      <c r="D124" s="272"/>
      <c r="E124" s="272"/>
      <c r="F124" s="272"/>
      <c r="G124" s="272"/>
      <c r="H124" s="272"/>
      <c r="I124" s="272"/>
      <c r="J124" s="272"/>
      <c r="K124" s="272"/>
      <c r="L124" s="272"/>
      <c r="M124" s="272"/>
    </row>
    <row r="125" spans="3:13">
      <c r="C125" s="272"/>
      <c r="D125" s="272"/>
      <c r="E125" s="272"/>
      <c r="F125" s="272"/>
      <c r="G125" s="272"/>
      <c r="H125" s="272"/>
      <c r="I125" s="272"/>
      <c r="J125" s="272"/>
      <c r="K125" s="272"/>
      <c r="L125" s="272"/>
      <c r="M125" s="272"/>
    </row>
    <row r="126" spans="3:13">
      <c r="C126" s="272"/>
      <c r="D126" s="272"/>
      <c r="E126" s="272"/>
      <c r="F126" s="272"/>
      <c r="G126" s="272"/>
      <c r="H126" s="272"/>
      <c r="I126" s="272"/>
      <c r="J126" s="272"/>
      <c r="K126" s="272"/>
      <c r="L126" s="272"/>
      <c r="M126" s="272"/>
    </row>
    <row r="127" spans="3:13">
      <c r="C127" s="272"/>
      <c r="D127" s="272"/>
      <c r="E127" s="272"/>
      <c r="F127" s="272"/>
      <c r="G127" s="272"/>
      <c r="H127" s="272"/>
      <c r="I127" s="272"/>
      <c r="J127" s="272"/>
      <c r="K127" s="272"/>
      <c r="L127" s="272"/>
      <c r="M127" s="272"/>
    </row>
    <row r="128" spans="3:13">
      <c r="C128" s="272"/>
      <c r="D128" s="272"/>
      <c r="E128" s="272"/>
      <c r="F128" s="272"/>
      <c r="G128" s="272"/>
      <c r="H128" s="272"/>
      <c r="I128" s="272"/>
      <c r="J128" s="272"/>
      <c r="K128" s="272"/>
      <c r="L128" s="272"/>
      <c r="M128" s="272"/>
    </row>
    <row r="129" spans="3:13">
      <c r="C129" s="272"/>
      <c r="D129" s="272"/>
      <c r="E129" s="272"/>
      <c r="F129" s="272"/>
      <c r="G129" s="272"/>
      <c r="H129" s="272"/>
      <c r="I129" s="272"/>
      <c r="J129" s="272"/>
      <c r="K129" s="272"/>
      <c r="L129" s="272"/>
      <c r="M129" s="272"/>
    </row>
    <row r="130" spans="3:13">
      <c r="C130" s="272"/>
      <c r="D130" s="272"/>
      <c r="E130" s="272"/>
      <c r="F130" s="272"/>
      <c r="G130" s="272"/>
      <c r="H130" s="272"/>
      <c r="I130" s="272"/>
      <c r="J130" s="272"/>
      <c r="K130" s="272"/>
      <c r="L130" s="272"/>
      <c r="M130" s="272"/>
    </row>
    <row r="131" spans="3:13">
      <c r="C131" s="272"/>
      <c r="D131" s="272"/>
      <c r="E131" s="272"/>
      <c r="F131" s="272"/>
      <c r="G131" s="272"/>
      <c r="H131" s="272"/>
      <c r="I131" s="272"/>
      <c r="J131" s="272"/>
      <c r="K131" s="272"/>
      <c r="L131" s="272"/>
      <c r="M131" s="272"/>
    </row>
    <row r="132" spans="3:13">
      <c r="C132" s="272"/>
      <c r="D132" s="272"/>
      <c r="E132" s="272"/>
      <c r="F132" s="272"/>
      <c r="G132" s="272"/>
      <c r="H132" s="272"/>
      <c r="I132" s="272"/>
      <c r="J132" s="272"/>
      <c r="K132" s="272"/>
      <c r="L132" s="272"/>
      <c r="M132" s="272"/>
    </row>
    <row r="133" spans="3:13">
      <c r="C133" s="272"/>
      <c r="D133" s="272"/>
      <c r="E133" s="272"/>
      <c r="F133" s="272"/>
      <c r="G133" s="272"/>
      <c r="H133" s="272"/>
      <c r="I133" s="272"/>
      <c r="J133" s="272"/>
      <c r="K133" s="272"/>
      <c r="L133" s="272"/>
      <c r="M133" s="272"/>
    </row>
    <row r="134" spans="3:13">
      <c r="C134" s="272"/>
      <c r="D134" s="272"/>
      <c r="E134" s="272"/>
      <c r="F134" s="272"/>
      <c r="G134" s="272"/>
      <c r="H134" s="272"/>
      <c r="I134" s="272"/>
      <c r="J134" s="272"/>
      <c r="K134" s="272"/>
      <c r="L134" s="272"/>
      <c r="M134" s="272"/>
    </row>
    <row r="135" spans="3:13">
      <c r="C135" s="272"/>
      <c r="D135" s="272"/>
      <c r="E135" s="272"/>
      <c r="F135" s="272"/>
      <c r="G135" s="272"/>
      <c r="H135" s="272"/>
      <c r="I135" s="272"/>
      <c r="J135" s="272"/>
      <c r="K135" s="272"/>
      <c r="L135" s="272"/>
      <c r="M135" s="272"/>
    </row>
    <row r="136" spans="3:13">
      <c r="C136" s="272"/>
      <c r="D136" s="272"/>
      <c r="E136" s="272"/>
      <c r="F136" s="272"/>
      <c r="G136" s="272"/>
      <c r="H136" s="272"/>
      <c r="I136" s="272"/>
      <c r="J136" s="272"/>
      <c r="K136" s="272"/>
      <c r="L136" s="272"/>
      <c r="M136" s="272"/>
    </row>
    <row r="137" spans="3:13">
      <c r="C137" s="272"/>
      <c r="D137" s="272"/>
      <c r="E137" s="272"/>
      <c r="F137" s="272"/>
      <c r="G137" s="272"/>
      <c r="H137" s="272"/>
      <c r="I137" s="272"/>
      <c r="J137" s="272"/>
      <c r="K137" s="272"/>
      <c r="L137" s="272"/>
      <c r="M137" s="272"/>
    </row>
    <row r="138" spans="3:13">
      <c r="C138" s="272"/>
      <c r="D138" s="272"/>
      <c r="E138" s="272"/>
      <c r="F138" s="272"/>
      <c r="G138" s="272"/>
      <c r="H138" s="272"/>
      <c r="I138" s="272"/>
      <c r="J138" s="272"/>
      <c r="K138" s="272"/>
      <c r="L138" s="272"/>
      <c r="M138" s="272"/>
    </row>
    <row r="139" spans="3:13">
      <c r="C139" s="272"/>
      <c r="D139" s="272"/>
      <c r="E139" s="272"/>
      <c r="F139" s="272"/>
      <c r="G139" s="272"/>
      <c r="H139" s="272"/>
      <c r="I139" s="272"/>
      <c r="J139" s="272"/>
      <c r="K139" s="272"/>
      <c r="L139" s="272"/>
      <c r="M139" s="272"/>
    </row>
    <row r="140" spans="3:13">
      <c r="C140" s="272"/>
      <c r="D140" s="272"/>
      <c r="E140" s="272"/>
      <c r="F140" s="272"/>
      <c r="G140" s="272"/>
      <c r="H140" s="272"/>
      <c r="I140" s="272"/>
      <c r="J140" s="272"/>
      <c r="K140" s="272"/>
      <c r="L140" s="272"/>
      <c r="M140" s="272"/>
    </row>
    <row r="141" spans="3:13">
      <c r="C141" s="272"/>
      <c r="D141" s="272"/>
      <c r="E141" s="272"/>
      <c r="F141" s="272"/>
      <c r="G141" s="272"/>
      <c r="H141" s="272"/>
      <c r="I141" s="272"/>
      <c r="J141" s="272"/>
      <c r="K141" s="272"/>
      <c r="L141" s="272"/>
      <c r="M141" s="272"/>
    </row>
    <row r="142" spans="3:13">
      <c r="C142" s="272"/>
      <c r="D142" s="272"/>
      <c r="E142" s="272"/>
      <c r="F142" s="272"/>
      <c r="G142" s="272"/>
      <c r="H142" s="272"/>
      <c r="I142" s="272"/>
      <c r="J142" s="272"/>
      <c r="K142" s="272"/>
      <c r="L142" s="272"/>
      <c r="M142" s="272"/>
    </row>
    <row r="143" spans="3:13">
      <c r="C143" s="272"/>
      <c r="D143" s="272"/>
      <c r="E143" s="272"/>
      <c r="F143" s="272"/>
      <c r="G143" s="272"/>
      <c r="H143" s="272"/>
      <c r="I143" s="272"/>
      <c r="J143" s="272"/>
      <c r="K143" s="272"/>
      <c r="L143" s="272"/>
      <c r="M143" s="272"/>
    </row>
    <row r="144" spans="3:13">
      <c r="C144" s="272"/>
      <c r="D144" s="272"/>
      <c r="E144" s="272"/>
      <c r="F144" s="272"/>
      <c r="G144" s="272"/>
      <c r="H144" s="272"/>
      <c r="I144" s="272"/>
      <c r="J144" s="272"/>
      <c r="K144" s="272"/>
      <c r="L144" s="272"/>
      <c r="M144" s="272"/>
    </row>
    <row r="145" spans="3:13">
      <c r="C145" s="272"/>
      <c r="D145" s="272"/>
      <c r="E145" s="272"/>
      <c r="F145" s="272"/>
      <c r="G145" s="272"/>
      <c r="H145" s="272"/>
      <c r="I145" s="272"/>
      <c r="J145" s="272"/>
      <c r="K145" s="272"/>
      <c r="L145" s="272"/>
      <c r="M145" s="272"/>
    </row>
    <row r="146" spans="3:13">
      <c r="C146" s="272"/>
      <c r="D146" s="272"/>
      <c r="E146" s="272"/>
      <c r="F146" s="272"/>
      <c r="G146" s="272"/>
      <c r="H146" s="272"/>
      <c r="I146" s="272"/>
      <c r="J146" s="272"/>
      <c r="K146" s="272"/>
      <c r="L146" s="272"/>
      <c r="M146" s="272"/>
    </row>
    <row r="147" spans="3:13">
      <c r="C147" s="272"/>
      <c r="D147" s="272"/>
      <c r="E147" s="272"/>
      <c r="F147" s="272"/>
      <c r="G147" s="272"/>
      <c r="H147" s="272"/>
      <c r="I147" s="272"/>
      <c r="J147" s="272"/>
      <c r="K147" s="272"/>
      <c r="L147" s="272"/>
      <c r="M147" s="272"/>
    </row>
    <row r="148" spans="3:13">
      <c r="C148" s="272"/>
      <c r="D148" s="272"/>
      <c r="E148" s="272"/>
      <c r="F148" s="272"/>
      <c r="G148" s="272"/>
      <c r="H148" s="272"/>
      <c r="I148" s="272"/>
      <c r="J148" s="272"/>
      <c r="K148" s="272"/>
      <c r="L148" s="272"/>
      <c r="M148" s="272"/>
    </row>
    <row r="149" spans="3:13">
      <c r="C149" s="272"/>
      <c r="D149" s="272"/>
      <c r="E149" s="272"/>
      <c r="F149" s="272"/>
      <c r="G149" s="272"/>
      <c r="H149" s="272"/>
      <c r="I149" s="272"/>
      <c r="J149" s="272"/>
      <c r="K149" s="272"/>
      <c r="L149" s="272"/>
      <c r="M149" s="272"/>
    </row>
    <row r="150" spans="3:13">
      <c r="C150" s="272"/>
      <c r="D150" s="272"/>
      <c r="E150" s="272"/>
      <c r="F150" s="272"/>
      <c r="G150" s="272"/>
      <c r="H150" s="272"/>
      <c r="I150" s="272"/>
      <c r="J150" s="272"/>
      <c r="K150" s="272"/>
      <c r="L150" s="272"/>
      <c r="M150" s="272"/>
    </row>
    <row r="151" spans="3:13">
      <c r="C151" s="272"/>
      <c r="D151" s="272"/>
      <c r="E151" s="272"/>
      <c r="F151" s="272"/>
      <c r="G151" s="272"/>
      <c r="H151" s="272"/>
      <c r="I151" s="272"/>
      <c r="J151" s="272"/>
      <c r="K151" s="272"/>
      <c r="L151" s="272"/>
      <c r="M151" s="272"/>
    </row>
    <row r="152" spans="3:13">
      <c r="C152" s="272"/>
      <c r="D152" s="272"/>
      <c r="E152" s="272"/>
      <c r="F152" s="272"/>
      <c r="G152" s="272"/>
      <c r="H152" s="272"/>
      <c r="I152" s="272"/>
      <c r="J152" s="272"/>
      <c r="K152" s="272"/>
      <c r="L152" s="272"/>
      <c r="M152" s="272"/>
    </row>
    <row r="153" spans="3:13">
      <c r="C153" s="272"/>
      <c r="D153" s="272"/>
      <c r="E153" s="272"/>
      <c r="F153" s="272"/>
      <c r="G153" s="272"/>
      <c r="H153" s="272"/>
      <c r="I153" s="272"/>
      <c r="J153" s="272"/>
      <c r="K153" s="272"/>
      <c r="L153" s="272"/>
      <c r="M153" s="272"/>
    </row>
    <row r="154" spans="3:13">
      <c r="C154" s="272"/>
      <c r="D154" s="272"/>
      <c r="E154" s="272"/>
      <c r="F154" s="272"/>
      <c r="G154" s="272"/>
      <c r="H154" s="272"/>
      <c r="I154" s="272"/>
      <c r="J154" s="272"/>
      <c r="K154" s="272"/>
      <c r="L154" s="272"/>
      <c r="M154" s="272"/>
    </row>
    <row r="155" spans="3:13">
      <c r="C155" s="272"/>
      <c r="D155" s="272"/>
      <c r="E155" s="272"/>
      <c r="F155" s="272"/>
      <c r="G155" s="272"/>
      <c r="H155" s="272"/>
      <c r="I155" s="272"/>
      <c r="J155" s="272"/>
      <c r="K155" s="272"/>
      <c r="L155" s="272"/>
      <c r="M155" s="272"/>
    </row>
    <row r="156" spans="3:13">
      <c r="C156" s="272"/>
      <c r="D156" s="272"/>
      <c r="E156" s="272"/>
      <c r="F156" s="272"/>
      <c r="G156" s="272"/>
      <c r="H156" s="272"/>
      <c r="I156" s="272"/>
      <c r="J156" s="272"/>
      <c r="K156" s="272"/>
      <c r="L156" s="272"/>
      <c r="M156" s="272"/>
    </row>
    <row r="157" spans="3:13">
      <c r="C157" s="272"/>
      <c r="D157" s="272"/>
      <c r="E157" s="272"/>
      <c r="F157" s="272"/>
      <c r="G157" s="272"/>
      <c r="H157" s="272"/>
      <c r="I157" s="272"/>
      <c r="J157" s="272"/>
      <c r="K157" s="272"/>
      <c r="L157" s="272"/>
      <c r="M157" s="272"/>
    </row>
    <row r="158" spans="3:13">
      <c r="C158" s="272"/>
      <c r="D158" s="272"/>
      <c r="E158" s="272"/>
      <c r="F158" s="272"/>
      <c r="G158" s="272"/>
      <c r="H158" s="272"/>
      <c r="I158" s="272"/>
      <c r="J158" s="272"/>
      <c r="K158" s="272"/>
      <c r="L158" s="272"/>
      <c r="M158" s="272"/>
    </row>
    <row r="159" spans="3:13">
      <c r="C159" s="272"/>
      <c r="D159" s="272"/>
      <c r="E159" s="272"/>
      <c r="F159" s="272"/>
      <c r="G159" s="272"/>
      <c r="H159" s="272"/>
      <c r="I159" s="272"/>
      <c r="J159" s="272"/>
      <c r="K159" s="272"/>
      <c r="L159" s="272"/>
      <c r="M159" s="272"/>
    </row>
    <row r="160" spans="3:13">
      <c r="C160" s="272"/>
      <c r="D160" s="272"/>
      <c r="E160" s="272"/>
      <c r="F160" s="272"/>
      <c r="G160" s="272"/>
      <c r="H160" s="272"/>
      <c r="I160" s="272"/>
      <c r="J160" s="272"/>
      <c r="K160" s="272"/>
      <c r="L160" s="272"/>
      <c r="M160" s="272"/>
    </row>
    <row r="161" spans="3:13">
      <c r="C161" s="272"/>
      <c r="D161" s="272"/>
      <c r="E161" s="272"/>
      <c r="F161" s="272"/>
      <c r="G161" s="272"/>
      <c r="H161" s="272"/>
      <c r="I161" s="272"/>
      <c r="J161" s="272"/>
      <c r="K161" s="272"/>
      <c r="L161" s="272"/>
      <c r="M161" s="272"/>
    </row>
    <row r="162" spans="3:13">
      <c r="C162" s="272"/>
      <c r="D162" s="272"/>
      <c r="E162" s="272"/>
      <c r="F162" s="272"/>
      <c r="G162" s="272"/>
      <c r="H162" s="272"/>
      <c r="I162" s="272"/>
      <c r="J162" s="272"/>
      <c r="K162" s="272"/>
      <c r="L162" s="272"/>
      <c r="M162" s="272"/>
    </row>
    <row r="163" spans="3:13">
      <c r="C163" s="272"/>
      <c r="D163" s="272"/>
      <c r="E163" s="272"/>
      <c r="F163" s="272"/>
      <c r="G163" s="272"/>
      <c r="H163" s="272"/>
      <c r="I163" s="272"/>
      <c r="J163" s="272"/>
      <c r="K163" s="272"/>
      <c r="L163" s="272"/>
      <c r="M163" s="272"/>
    </row>
    <row r="164" spans="3:13">
      <c r="C164" s="272"/>
      <c r="D164" s="272"/>
      <c r="E164" s="272"/>
      <c r="F164" s="272"/>
      <c r="G164" s="272"/>
      <c r="H164" s="272"/>
      <c r="I164" s="272"/>
      <c r="J164" s="272"/>
      <c r="K164" s="272"/>
      <c r="L164" s="272"/>
      <c r="M164" s="272"/>
    </row>
    <row r="165" spans="3:13">
      <c r="C165" s="272"/>
      <c r="D165" s="272"/>
      <c r="E165" s="272"/>
      <c r="F165" s="272"/>
      <c r="G165" s="272"/>
      <c r="H165" s="272"/>
      <c r="I165" s="272"/>
      <c r="J165" s="272"/>
      <c r="K165" s="272"/>
      <c r="L165" s="272"/>
      <c r="M165" s="272"/>
    </row>
    <row r="166" spans="3:13">
      <c r="C166" s="272"/>
      <c r="D166" s="272"/>
      <c r="E166" s="272"/>
      <c r="F166" s="272"/>
      <c r="G166" s="272"/>
      <c r="H166" s="272"/>
      <c r="I166" s="272"/>
      <c r="J166" s="272"/>
      <c r="K166" s="272"/>
      <c r="L166" s="272"/>
      <c r="M166" s="272"/>
    </row>
    <row r="167" spans="3:13">
      <c r="C167" s="272"/>
      <c r="D167" s="272"/>
      <c r="E167" s="272"/>
      <c r="F167" s="272"/>
      <c r="G167" s="272"/>
      <c r="H167" s="272"/>
      <c r="I167" s="272"/>
      <c r="J167" s="272"/>
      <c r="K167" s="272"/>
      <c r="L167" s="272"/>
      <c r="M167" s="272"/>
    </row>
    <row r="168" spans="3:13">
      <c r="C168" s="272"/>
      <c r="D168" s="272"/>
      <c r="E168" s="272"/>
      <c r="F168" s="272"/>
      <c r="G168" s="272"/>
      <c r="H168" s="272"/>
      <c r="I168" s="272"/>
      <c r="J168" s="272"/>
      <c r="K168" s="272"/>
      <c r="L168" s="272"/>
      <c r="M168" s="272"/>
    </row>
    <row r="169" spans="3:13">
      <c r="C169" s="272"/>
      <c r="D169" s="272"/>
      <c r="E169" s="272"/>
      <c r="F169" s="272"/>
      <c r="G169" s="272"/>
      <c r="H169" s="272"/>
      <c r="I169" s="272"/>
      <c r="J169" s="272"/>
      <c r="K169" s="272"/>
      <c r="L169" s="272"/>
      <c r="M169" s="272"/>
    </row>
    <row r="170" spans="3:13">
      <c r="C170" s="272"/>
      <c r="D170" s="272"/>
      <c r="E170" s="272"/>
      <c r="F170" s="272"/>
      <c r="G170" s="272"/>
      <c r="H170" s="272"/>
      <c r="I170" s="272"/>
      <c r="J170" s="272"/>
      <c r="K170" s="272"/>
      <c r="L170" s="272"/>
      <c r="M170" s="272"/>
    </row>
    <row r="171" spans="3:13">
      <c r="C171" s="272"/>
      <c r="D171" s="272"/>
      <c r="E171" s="272"/>
      <c r="F171" s="272"/>
      <c r="G171" s="272"/>
      <c r="H171" s="272"/>
      <c r="I171" s="272"/>
      <c r="J171" s="272"/>
      <c r="K171" s="272"/>
      <c r="L171" s="272"/>
      <c r="M171" s="272"/>
    </row>
    <row r="172" spans="3:13">
      <c r="C172" s="272"/>
      <c r="D172" s="272"/>
      <c r="E172" s="272"/>
      <c r="F172" s="272"/>
      <c r="G172" s="272"/>
      <c r="H172" s="272"/>
      <c r="I172" s="272"/>
      <c r="J172" s="272"/>
      <c r="K172" s="272"/>
      <c r="L172" s="272"/>
      <c r="M172" s="272"/>
    </row>
    <row r="173" spans="3:13">
      <c r="C173" s="272"/>
      <c r="D173" s="272"/>
      <c r="E173" s="272"/>
      <c r="F173" s="272"/>
      <c r="G173" s="272"/>
      <c r="H173" s="272"/>
      <c r="I173" s="272"/>
      <c r="J173" s="272"/>
      <c r="K173" s="272"/>
      <c r="L173" s="272"/>
      <c r="M173" s="272"/>
    </row>
    <row r="174" spans="3:13">
      <c r="C174" s="272"/>
      <c r="D174" s="272"/>
      <c r="E174" s="272"/>
      <c r="F174" s="272"/>
      <c r="G174" s="272"/>
      <c r="H174" s="272"/>
      <c r="I174" s="272"/>
      <c r="J174" s="272"/>
      <c r="K174" s="272"/>
      <c r="L174" s="272"/>
      <c r="M174" s="272"/>
    </row>
    <row r="175" spans="3:13">
      <c r="C175" s="272"/>
      <c r="D175" s="272"/>
      <c r="E175" s="272"/>
      <c r="F175" s="272"/>
      <c r="G175" s="272"/>
      <c r="H175" s="272"/>
      <c r="I175" s="272"/>
      <c r="J175" s="272"/>
      <c r="K175" s="272"/>
      <c r="L175" s="272"/>
      <c r="M175" s="272"/>
    </row>
    <row r="176" spans="3:13">
      <c r="C176" s="272"/>
      <c r="D176" s="272"/>
      <c r="E176" s="272"/>
      <c r="F176" s="272"/>
      <c r="G176" s="272"/>
      <c r="H176" s="272"/>
      <c r="I176" s="272"/>
      <c r="J176" s="272"/>
      <c r="K176" s="272"/>
      <c r="L176" s="272"/>
      <c r="M176" s="272"/>
    </row>
    <row r="177" spans="3:13">
      <c r="C177" s="272"/>
      <c r="D177" s="272"/>
      <c r="E177" s="272"/>
      <c r="F177" s="272"/>
      <c r="G177" s="272"/>
      <c r="H177" s="272"/>
      <c r="I177" s="272"/>
      <c r="J177" s="272"/>
      <c r="K177" s="272"/>
      <c r="L177" s="272"/>
      <c r="M177" s="272"/>
    </row>
    <row r="178" spans="3:13">
      <c r="C178" s="272"/>
      <c r="D178" s="272"/>
      <c r="E178" s="272"/>
      <c r="F178" s="272"/>
      <c r="G178" s="272"/>
      <c r="H178" s="272"/>
      <c r="I178" s="272"/>
      <c r="J178" s="272"/>
      <c r="K178" s="272"/>
      <c r="L178" s="272"/>
      <c r="M178" s="272"/>
    </row>
    <row r="179" spans="3:13">
      <c r="C179" s="272"/>
      <c r="D179" s="272"/>
      <c r="E179" s="272"/>
      <c r="F179" s="272"/>
      <c r="G179" s="272"/>
      <c r="H179" s="272"/>
      <c r="I179" s="272"/>
      <c r="J179" s="272"/>
      <c r="K179" s="272"/>
      <c r="L179" s="272"/>
      <c r="M179" s="272"/>
    </row>
    <row r="180" spans="3:13">
      <c r="C180" s="272"/>
      <c r="D180" s="272"/>
      <c r="E180" s="272"/>
      <c r="F180" s="272"/>
      <c r="G180" s="272"/>
      <c r="H180" s="272"/>
      <c r="I180" s="272"/>
      <c r="J180" s="272"/>
      <c r="K180" s="272"/>
      <c r="L180" s="272"/>
      <c r="M180" s="272"/>
    </row>
    <row r="181" spans="3:13">
      <c r="C181" s="272"/>
      <c r="D181" s="272"/>
      <c r="E181" s="272"/>
      <c r="F181" s="272"/>
      <c r="G181" s="272"/>
      <c r="H181" s="272"/>
      <c r="I181" s="272"/>
      <c r="J181" s="272"/>
      <c r="K181" s="272"/>
      <c r="L181" s="272"/>
      <c r="M181" s="272"/>
    </row>
    <row r="182" spans="3:13">
      <c r="C182" s="272"/>
      <c r="D182" s="272"/>
      <c r="E182" s="272"/>
      <c r="F182" s="272"/>
      <c r="G182" s="272"/>
      <c r="H182" s="272"/>
      <c r="I182" s="272"/>
      <c r="J182" s="272"/>
      <c r="K182" s="272"/>
      <c r="L182" s="272"/>
      <c r="M182" s="272"/>
    </row>
    <row r="183" spans="3:13">
      <c r="C183" s="272"/>
      <c r="D183" s="272"/>
      <c r="E183" s="272"/>
      <c r="F183" s="272"/>
      <c r="G183" s="272"/>
      <c r="H183" s="272"/>
      <c r="I183" s="272"/>
      <c r="J183" s="272"/>
      <c r="K183" s="272"/>
      <c r="L183" s="272"/>
      <c r="M183" s="272"/>
    </row>
    <row r="184" spans="3:13">
      <c r="C184" s="272"/>
      <c r="D184" s="272"/>
      <c r="E184" s="272"/>
      <c r="F184" s="272"/>
      <c r="G184" s="272"/>
      <c r="H184" s="272"/>
      <c r="I184" s="272"/>
      <c r="J184" s="272"/>
      <c r="K184" s="272"/>
      <c r="L184" s="272"/>
      <c r="M184" s="272"/>
    </row>
    <row r="185" spans="3:13">
      <c r="C185" s="272"/>
      <c r="D185" s="272"/>
      <c r="E185" s="272"/>
      <c r="F185" s="272"/>
      <c r="G185" s="272"/>
      <c r="H185" s="272"/>
      <c r="I185" s="272"/>
      <c r="J185" s="272"/>
      <c r="K185" s="272"/>
      <c r="L185" s="272"/>
      <c r="M185" s="272"/>
    </row>
    <row r="186" spans="3:13">
      <c r="C186" s="272"/>
      <c r="D186" s="272"/>
      <c r="E186" s="272"/>
      <c r="F186" s="272"/>
      <c r="G186" s="272"/>
      <c r="H186" s="272"/>
      <c r="I186" s="272"/>
      <c r="J186" s="272"/>
      <c r="K186" s="272"/>
      <c r="L186" s="272"/>
      <c r="M186" s="272"/>
    </row>
    <row r="187" spans="3:13">
      <c r="C187" s="272"/>
      <c r="D187" s="272"/>
      <c r="E187" s="272"/>
      <c r="F187" s="272"/>
      <c r="G187" s="272"/>
      <c r="H187" s="272"/>
      <c r="I187" s="272"/>
      <c r="J187" s="272"/>
      <c r="K187" s="272"/>
      <c r="L187" s="272"/>
      <c r="M187" s="272"/>
    </row>
    <row r="188" spans="3:13">
      <c r="C188" s="272"/>
      <c r="D188" s="272"/>
      <c r="E188" s="272"/>
      <c r="F188" s="272"/>
      <c r="G188" s="272"/>
      <c r="H188" s="272"/>
      <c r="I188" s="272"/>
      <c r="J188" s="272"/>
      <c r="K188" s="272"/>
      <c r="L188" s="272"/>
      <c r="M188" s="272"/>
    </row>
    <row r="189" spans="3:13">
      <c r="C189" s="272"/>
      <c r="D189" s="272"/>
      <c r="E189" s="272"/>
      <c r="F189" s="272"/>
      <c r="G189" s="272"/>
      <c r="H189" s="272"/>
      <c r="I189" s="272"/>
      <c r="J189" s="272"/>
      <c r="K189" s="272"/>
      <c r="L189" s="272"/>
      <c r="M189" s="272"/>
    </row>
    <row r="190" spans="3:13">
      <c r="C190" s="272"/>
      <c r="D190" s="272"/>
      <c r="E190" s="272"/>
      <c r="F190" s="272"/>
      <c r="G190" s="272"/>
      <c r="H190" s="272"/>
      <c r="I190" s="272"/>
      <c r="J190" s="272"/>
      <c r="K190" s="272"/>
      <c r="L190" s="272"/>
      <c r="M190" s="272"/>
    </row>
    <row r="191" spans="3:13">
      <c r="C191" s="272"/>
      <c r="D191" s="272"/>
      <c r="E191" s="272"/>
      <c r="F191" s="272"/>
      <c r="G191" s="272"/>
      <c r="H191" s="272"/>
      <c r="I191" s="272"/>
      <c r="J191" s="272"/>
      <c r="K191" s="272"/>
      <c r="L191" s="272"/>
      <c r="M191" s="272"/>
    </row>
    <row r="192" spans="3:13">
      <c r="C192" s="272"/>
      <c r="D192" s="272"/>
      <c r="E192" s="272"/>
      <c r="F192" s="272"/>
      <c r="G192" s="272"/>
      <c r="H192" s="272"/>
      <c r="I192" s="272"/>
      <c r="J192" s="272"/>
      <c r="K192" s="272"/>
      <c r="L192" s="272"/>
      <c r="M192" s="272"/>
    </row>
    <row r="193" spans="3:13">
      <c r="C193" s="272"/>
      <c r="D193" s="272"/>
      <c r="E193" s="272"/>
      <c r="F193" s="272"/>
      <c r="G193" s="272"/>
      <c r="H193" s="272"/>
      <c r="I193" s="272"/>
      <c r="J193" s="272"/>
      <c r="K193" s="272"/>
      <c r="L193" s="272"/>
      <c r="M193" s="272"/>
    </row>
    <row r="194" spans="3:13">
      <c r="C194" s="272"/>
      <c r="D194" s="272"/>
      <c r="E194" s="272"/>
      <c r="F194" s="272"/>
      <c r="G194" s="272"/>
      <c r="H194" s="272"/>
      <c r="I194" s="272"/>
      <c r="J194" s="272"/>
      <c r="K194" s="272"/>
      <c r="L194" s="272"/>
      <c r="M194" s="272"/>
    </row>
    <row r="195" spans="3:13">
      <c r="C195" s="272"/>
      <c r="D195" s="272"/>
      <c r="E195" s="272"/>
      <c r="F195" s="272"/>
      <c r="G195" s="272"/>
      <c r="H195" s="272"/>
      <c r="I195" s="272"/>
      <c r="J195" s="272"/>
      <c r="K195" s="272"/>
      <c r="L195" s="272"/>
      <c r="M195" s="272"/>
    </row>
    <row r="196" spans="3:13">
      <c r="C196" s="272"/>
      <c r="D196" s="272"/>
      <c r="E196" s="272"/>
      <c r="F196" s="272"/>
      <c r="G196" s="272"/>
      <c r="H196" s="272"/>
      <c r="I196" s="272"/>
      <c r="J196" s="272"/>
      <c r="K196" s="272"/>
      <c r="L196" s="272"/>
      <c r="M196" s="272"/>
    </row>
    <row r="197" spans="3:13">
      <c r="C197" s="272"/>
      <c r="D197" s="272"/>
      <c r="E197" s="272"/>
      <c r="F197" s="272"/>
      <c r="G197" s="272"/>
      <c r="H197" s="272"/>
      <c r="I197" s="272"/>
      <c r="J197" s="272"/>
      <c r="K197" s="272"/>
      <c r="L197" s="272"/>
      <c r="M197" s="272"/>
    </row>
    <row r="198" spans="3:13">
      <c r="C198" s="272"/>
      <c r="D198" s="272"/>
      <c r="E198" s="272"/>
      <c r="F198" s="272"/>
      <c r="G198" s="272"/>
      <c r="H198" s="272"/>
      <c r="I198" s="272"/>
      <c r="J198" s="272"/>
      <c r="K198" s="272"/>
      <c r="L198" s="272"/>
      <c r="M198" s="272"/>
    </row>
    <row r="199" spans="3:13">
      <c r="C199" s="272"/>
      <c r="D199" s="272"/>
      <c r="E199" s="272"/>
      <c r="F199" s="272"/>
      <c r="G199" s="272"/>
      <c r="H199" s="272"/>
      <c r="I199" s="272"/>
      <c r="J199" s="272"/>
      <c r="K199" s="272"/>
      <c r="L199" s="272"/>
      <c r="M199" s="272"/>
    </row>
    <row r="200" spans="3:13">
      <c r="C200" s="272"/>
      <c r="D200" s="272"/>
      <c r="E200" s="272"/>
      <c r="F200" s="272"/>
      <c r="G200" s="272"/>
      <c r="H200" s="272"/>
      <c r="I200" s="272"/>
      <c r="J200" s="272"/>
      <c r="K200" s="272"/>
      <c r="L200" s="272"/>
      <c r="M200" s="272"/>
    </row>
    <row r="201" spans="3:13">
      <c r="C201" s="272"/>
      <c r="D201" s="272"/>
      <c r="E201" s="272"/>
      <c r="F201" s="272"/>
      <c r="G201" s="272"/>
      <c r="H201" s="272"/>
      <c r="I201" s="272"/>
      <c r="J201" s="272"/>
      <c r="K201" s="272"/>
      <c r="L201" s="272"/>
      <c r="M201" s="272"/>
    </row>
    <row r="202" spans="3:13">
      <c r="C202" s="272"/>
      <c r="D202" s="272"/>
      <c r="E202" s="272"/>
      <c r="F202" s="272"/>
      <c r="G202" s="272"/>
      <c r="H202" s="272"/>
      <c r="I202" s="272"/>
      <c r="J202" s="272"/>
      <c r="K202" s="272"/>
      <c r="L202" s="272"/>
      <c r="M202" s="272"/>
    </row>
    <row r="203" spans="3:13">
      <c r="C203" s="272"/>
      <c r="D203" s="272"/>
      <c r="E203" s="272"/>
      <c r="F203" s="272"/>
      <c r="G203" s="272"/>
      <c r="H203" s="272"/>
      <c r="I203" s="272"/>
      <c r="J203" s="272"/>
      <c r="K203" s="272"/>
      <c r="L203" s="272"/>
      <c r="M203" s="272"/>
    </row>
    <row r="204" spans="3:13">
      <c r="C204" s="272"/>
      <c r="D204" s="272"/>
      <c r="E204" s="272"/>
      <c r="F204" s="272"/>
      <c r="G204" s="272"/>
      <c r="H204" s="272"/>
      <c r="I204" s="272"/>
      <c r="J204" s="272"/>
      <c r="K204" s="272"/>
      <c r="L204" s="272"/>
      <c r="M204" s="272"/>
    </row>
    <row r="205" spans="3:13">
      <c r="C205" s="272"/>
      <c r="D205" s="272"/>
      <c r="E205" s="272"/>
      <c r="F205" s="272"/>
      <c r="G205" s="272"/>
      <c r="H205" s="272"/>
      <c r="I205" s="272"/>
      <c r="J205" s="272"/>
      <c r="K205" s="272"/>
      <c r="L205" s="272"/>
      <c r="M205" s="272"/>
    </row>
    <row r="206" spans="3:13">
      <c r="C206" s="272"/>
      <c r="D206" s="272"/>
      <c r="E206" s="272"/>
      <c r="F206" s="272"/>
      <c r="G206" s="272"/>
      <c r="H206" s="272"/>
      <c r="I206" s="272"/>
      <c r="J206" s="272"/>
      <c r="K206" s="272"/>
      <c r="L206" s="272"/>
      <c r="M206" s="272"/>
    </row>
    <row r="207" spans="3:13">
      <c r="C207" s="272"/>
      <c r="D207" s="272"/>
      <c r="E207" s="272"/>
      <c r="F207" s="272"/>
      <c r="G207" s="272"/>
      <c r="H207" s="272"/>
      <c r="I207" s="272"/>
      <c r="J207" s="272"/>
      <c r="K207" s="272"/>
      <c r="L207" s="272"/>
      <c r="M207" s="272"/>
    </row>
    <row r="208" spans="3:13">
      <c r="C208" s="272"/>
      <c r="D208" s="272"/>
      <c r="E208" s="272"/>
      <c r="F208" s="272"/>
      <c r="G208" s="272"/>
      <c r="H208" s="272"/>
      <c r="I208" s="272"/>
      <c r="J208" s="272"/>
      <c r="K208" s="272"/>
      <c r="L208" s="272"/>
      <c r="M208" s="272"/>
    </row>
    <row r="209" spans="3:13">
      <c r="C209" s="272"/>
      <c r="D209" s="272"/>
      <c r="E209" s="272"/>
      <c r="F209" s="272"/>
      <c r="G209" s="272"/>
      <c r="H209" s="272"/>
      <c r="I209" s="272"/>
      <c r="J209" s="272"/>
      <c r="K209" s="272"/>
      <c r="L209" s="272"/>
      <c r="M209" s="272"/>
    </row>
    <row r="210" spans="3:13">
      <c r="C210" s="272"/>
      <c r="D210" s="272"/>
      <c r="E210" s="272"/>
      <c r="F210" s="272"/>
      <c r="G210" s="272"/>
      <c r="H210" s="272"/>
      <c r="I210" s="272"/>
      <c r="J210" s="272"/>
      <c r="K210" s="272"/>
      <c r="L210" s="272"/>
      <c r="M210" s="272"/>
    </row>
    <row r="211" spans="3:13">
      <c r="C211" s="272"/>
      <c r="D211" s="272"/>
      <c r="E211" s="272"/>
      <c r="F211" s="272"/>
      <c r="G211" s="272"/>
      <c r="H211" s="272"/>
      <c r="I211" s="272"/>
      <c r="J211" s="272"/>
      <c r="K211" s="272"/>
      <c r="L211" s="272"/>
      <c r="M211" s="272"/>
    </row>
    <row r="212" spans="3:13">
      <c r="C212" s="272"/>
      <c r="D212" s="272"/>
      <c r="E212" s="272"/>
      <c r="F212" s="272"/>
      <c r="G212" s="272"/>
      <c r="H212" s="272"/>
      <c r="I212" s="272"/>
      <c r="J212" s="272"/>
      <c r="K212" s="272"/>
      <c r="L212" s="272"/>
      <c r="M212" s="272"/>
    </row>
    <row r="213" spans="3:13">
      <c r="C213" s="272"/>
      <c r="D213" s="272"/>
      <c r="E213" s="272"/>
      <c r="F213" s="272"/>
      <c r="G213" s="272"/>
      <c r="H213" s="272"/>
      <c r="I213" s="272"/>
      <c r="J213" s="272"/>
      <c r="K213" s="272"/>
      <c r="L213" s="272"/>
      <c r="M213" s="272"/>
    </row>
    <row r="214" spans="3:13">
      <c r="C214" s="272"/>
      <c r="D214" s="272"/>
      <c r="E214" s="272"/>
      <c r="F214" s="272"/>
      <c r="G214" s="272"/>
      <c r="H214" s="272"/>
      <c r="I214" s="272"/>
      <c r="J214" s="272"/>
      <c r="K214" s="272"/>
      <c r="L214" s="272"/>
      <c r="M214" s="272"/>
    </row>
    <row r="215" spans="3:13">
      <c r="C215" s="272"/>
      <c r="D215" s="272"/>
      <c r="E215" s="272"/>
      <c r="F215" s="272"/>
      <c r="G215" s="272"/>
      <c r="H215" s="272"/>
      <c r="I215" s="272"/>
      <c r="J215" s="272"/>
      <c r="K215" s="272"/>
      <c r="L215" s="272"/>
      <c r="M215" s="272"/>
    </row>
    <row r="216" spans="3:13">
      <c r="C216" s="272"/>
      <c r="D216" s="272"/>
      <c r="E216" s="272"/>
      <c r="F216" s="272"/>
      <c r="G216" s="272"/>
      <c r="H216" s="272"/>
      <c r="I216" s="272"/>
      <c r="J216" s="272"/>
      <c r="K216" s="272"/>
      <c r="L216" s="272"/>
      <c r="M216" s="272"/>
    </row>
    <row r="217" spans="3:13">
      <c r="C217" s="272"/>
      <c r="D217" s="272"/>
      <c r="E217" s="272"/>
      <c r="F217" s="272"/>
      <c r="G217" s="272"/>
      <c r="H217" s="272"/>
      <c r="I217" s="272"/>
      <c r="J217" s="272"/>
      <c r="K217" s="272"/>
      <c r="L217" s="272"/>
      <c r="M217" s="272"/>
    </row>
    <row r="218" spans="3:13">
      <c r="C218" s="272"/>
      <c r="D218" s="272"/>
      <c r="E218" s="272"/>
      <c r="F218" s="272"/>
      <c r="G218" s="272"/>
      <c r="H218" s="272"/>
      <c r="I218" s="272"/>
      <c r="J218" s="272"/>
      <c r="K218" s="272"/>
      <c r="L218" s="272"/>
      <c r="M218" s="272"/>
    </row>
    <row r="219" spans="3:13">
      <c r="C219" s="272"/>
      <c r="D219" s="272"/>
      <c r="E219" s="272"/>
      <c r="F219" s="272"/>
      <c r="G219" s="272"/>
      <c r="H219" s="272"/>
      <c r="I219" s="272"/>
      <c r="J219" s="272"/>
      <c r="K219" s="272"/>
      <c r="L219" s="272"/>
      <c r="M219" s="272"/>
    </row>
    <row r="220" spans="3:13">
      <c r="C220" s="272"/>
      <c r="D220" s="272"/>
      <c r="E220" s="272"/>
      <c r="F220" s="272"/>
      <c r="G220" s="272"/>
      <c r="H220" s="272"/>
      <c r="I220" s="272"/>
      <c r="J220" s="272"/>
      <c r="K220" s="272"/>
      <c r="L220" s="272"/>
      <c r="M220" s="272"/>
    </row>
    <row r="221" spans="3:13">
      <c r="C221" s="272"/>
      <c r="D221" s="272"/>
      <c r="E221" s="272"/>
      <c r="F221" s="272"/>
      <c r="G221" s="272"/>
      <c r="H221" s="272"/>
      <c r="I221" s="272"/>
      <c r="J221" s="272"/>
      <c r="K221" s="272"/>
      <c r="L221" s="272"/>
      <c r="M221" s="272"/>
    </row>
    <row r="222" spans="3:13">
      <c r="C222" s="272"/>
      <c r="D222" s="272"/>
      <c r="E222" s="272"/>
      <c r="F222" s="272"/>
      <c r="G222" s="272"/>
      <c r="H222" s="272"/>
      <c r="I222" s="272"/>
      <c r="J222" s="272"/>
      <c r="K222" s="272"/>
      <c r="L222" s="272"/>
      <c r="M222" s="272"/>
    </row>
    <row r="223" spans="3:13">
      <c r="C223" s="272"/>
      <c r="D223" s="272"/>
      <c r="E223" s="272"/>
      <c r="F223" s="272"/>
      <c r="G223" s="272"/>
      <c r="H223" s="272"/>
      <c r="I223" s="272"/>
      <c r="J223" s="272"/>
      <c r="K223" s="272"/>
      <c r="L223" s="272"/>
      <c r="M223" s="272"/>
    </row>
    <row r="224" spans="3:13">
      <c r="C224" s="272"/>
      <c r="D224" s="272"/>
      <c r="E224" s="272"/>
      <c r="F224" s="272"/>
      <c r="G224" s="272"/>
      <c r="H224" s="272"/>
      <c r="I224" s="272"/>
      <c r="J224" s="272"/>
      <c r="K224" s="272"/>
      <c r="L224" s="272"/>
      <c r="M224" s="272"/>
    </row>
    <row r="225" spans="3:13">
      <c r="C225" s="272"/>
      <c r="D225" s="272"/>
      <c r="E225" s="272"/>
      <c r="F225" s="272"/>
      <c r="G225" s="272"/>
      <c r="H225" s="272"/>
      <c r="I225" s="272"/>
      <c r="J225" s="272"/>
      <c r="K225" s="272"/>
      <c r="L225" s="272"/>
      <c r="M225" s="272"/>
    </row>
    <row r="226" spans="3:13">
      <c r="C226" s="272"/>
      <c r="D226" s="272"/>
      <c r="E226" s="272"/>
      <c r="F226" s="272"/>
      <c r="G226" s="272"/>
      <c r="H226" s="272"/>
      <c r="I226" s="272"/>
      <c r="J226" s="272"/>
      <c r="K226" s="272"/>
      <c r="L226" s="272"/>
      <c r="M226" s="272"/>
    </row>
    <row r="227" spans="3:13">
      <c r="C227" s="272"/>
      <c r="D227" s="272"/>
      <c r="E227" s="272"/>
      <c r="F227" s="272"/>
      <c r="G227" s="272"/>
      <c r="H227" s="272"/>
      <c r="I227" s="272"/>
      <c r="J227" s="272"/>
      <c r="K227" s="272"/>
      <c r="L227" s="272"/>
      <c r="M227" s="272"/>
    </row>
    <row r="228" spans="3:13">
      <c r="C228" s="272"/>
      <c r="D228" s="272"/>
      <c r="E228" s="272"/>
      <c r="F228" s="272"/>
      <c r="G228" s="272"/>
      <c r="H228" s="272"/>
      <c r="I228" s="272"/>
      <c r="J228" s="272"/>
      <c r="K228" s="272"/>
      <c r="L228" s="272"/>
      <c r="M228" s="272"/>
    </row>
    <row r="229" spans="3:13">
      <c r="C229" s="272"/>
      <c r="D229" s="272"/>
      <c r="E229" s="272"/>
      <c r="F229" s="272"/>
      <c r="G229" s="272"/>
      <c r="H229" s="272"/>
      <c r="I229" s="272"/>
      <c r="J229" s="272"/>
      <c r="K229" s="272"/>
      <c r="L229" s="272"/>
      <c r="M229" s="272"/>
    </row>
    <row r="230" spans="3:13">
      <c r="C230" s="272"/>
      <c r="D230" s="272"/>
      <c r="E230" s="272"/>
      <c r="F230" s="272"/>
      <c r="G230" s="272"/>
      <c r="H230" s="272"/>
      <c r="I230" s="272"/>
      <c r="J230" s="272"/>
      <c r="K230" s="272"/>
      <c r="L230" s="272"/>
      <c r="M230" s="272"/>
    </row>
    <row r="231" spans="3:13">
      <c r="C231" s="272"/>
      <c r="D231" s="272"/>
      <c r="E231" s="272"/>
      <c r="F231" s="272"/>
      <c r="G231" s="272"/>
      <c r="H231" s="272"/>
      <c r="I231" s="272"/>
      <c r="J231" s="272"/>
      <c r="K231" s="272"/>
      <c r="L231" s="272"/>
      <c r="M231" s="272"/>
    </row>
    <row r="232" spans="3:13">
      <c r="C232" s="272"/>
      <c r="D232" s="272"/>
      <c r="E232" s="272"/>
      <c r="F232" s="272"/>
      <c r="G232" s="272"/>
      <c r="H232" s="272"/>
      <c r="I232" s="272"/>
      <c r="J232" s="272"/>
      <c r="K232" s="272"/>
      <c r="L232" s="272"/>
      <c r="M232" s="272"/>
    </row>
    <row r="233" spans="3:13">
      <c r="C233" s="272"/>
      <c r="D233" s="272"/>
      <c r="E233" s="272"/>
      <c r="F233" s="272"/>
      <c r="G233" s="272"/>
      <c r="H233" s="272"/>
      <c r="I233" s="272"/>
      <c r="J233" s="272"/>
      <c r="K233" s="272"/>
      <c r="L233" s="272"/>
      <c r="M233" s="272"/>
    </row>
    <row r="234" spans="3:13">
      <c r="C234" s="272"/>
      <c r="D234" s="272"/>
      <c r="E234" s="272"/>
      <c r="F234" s="272"/>
      <c r="G234" s="272"/>
      <c r="H234" s="272"/>
      <c r="I234" s="272"/>
      <c r="J234" s="272"/>
      <c r="K234" s="272"/>
      <c r="L234" s="272"/>
      <c r="M234" s="272"/>
    </row>
    <row r="235" spans="3:13">
      <c r="C235" s="272"/>
      <c r="D235" s="272"/>
      <c r="E235" s="272"/>
      <c r="F235" s="272"/>
      <c r="G235" s="272"/>
      <c r="H235" s="272"/>
      <c r="I235" s="272"/>
      <c r="J235" s="272"/>
      <c r="K235" s="272"/>
      <c r="L235" s="272"/>
      <c r="M235" s="272"/>
    </row>
    <row r="236" spans="3:13">
      <c r="C236" s="272"/>
      <c r="D236" s="272"/>
      <c r="E236" s="272"/>
      <c r="F236" s="272"/>
      <c r="G236" s="272"/>
      <c r="H236" s="272"/>
      <c r="I236" s="272"/>
      <c r="J236" s="272"/>
      <c r="K236" s="272"/>
      <c r="L236" s="272"/>
      <c r="M236" s="272"/>
    </row>
    <row r="237" spans="3:13">
      <c r="C237" s="272"/>
      <c r="D237" s="272"/>
      <c r="E237" s="272"/>
      <c r="F237" s="272"/>
      <c r="G237" s="272"/>
      <c r="H237" s="272"/>
      <c r="I237" s="272"/>
      <c r="J237" s="272"/>
      <c r="K237" s="272"/>
      <c r="L237" s="272"/>
      <c r="M237" s="272"/>
    </row>
    <row r="238" spans="3:13">
      <c r="C238" s="272"/>
      <c r="D238" s="272"/>
      <c r="E238" s="272"/>
      <c r="F238" s="272"/>
      <c r="G238" s="272"/>
      <c r="H238" s="272"/>
      <c r="I238" s="272"/>
      <c r="J238" s="272"/>
      <c r="K238" s="272"/>
      <c r="L238" s="272"/>
      <c r="M238" s="272"/>
    </row>
    <row r="239" spans="3:13">
      <c r="C239" s="272"/>
      <c r="D239" s="272"/>
      <c r="E239" s="272"/>
      <c r="F239" s="272"/>
      <c r="G239" s="272"/>
      <c r="H239" s="272"/>
      <c r="I239" s="272"/>
      <c r="J239" s="272"/>
      <c r="K239" s="272"/>
      <c r="L239" s="272"/>
      <c r="M239" s="272"/>
    </row>
    <row r="240" spans="3:13">
      <c r="C240" s="272"/>
      <c r="D240" s="272"/>
      <c r="E240" s="272"/>
      <c r="F240" s="272"/>
      <c r="G240" s="272"/>
      <c r="H240" s="272"/>
      <c r="I240" s="272"/>
      <c r="J240" s="272"/>
      <c r="K240" s="272"/>
      <c r="L240" s="272"/>
      <c r="M240" s="272"/>
    </row>
    <row r="241" spans="3:13">
      <c r="C241" s="272"/>
      <c r="D241" s="272"/>
      <c r="E241" s="272"/>
      <c r="F241" s="272"/>
      <c r="G241" s="272"/>
      <c r="H241" s="272"/>
      <c r="I241" s="272"/>
      <c r="J241" s="272"/>
      <c r="K241" s="272"/>
      <c r="L241" s="272"/>
      <c r="M241" s="272"/>
    </row>
    <row r="242" spans="3:13">
      <c r="C242" s="272"/>
      <c r="D242" s="272"/>
      <c r="E242" s="272"/>
      <c r="F242" s="272"/>
      <c r="G242" s="272"/>
      <c r="H242" s="272"/>
      <c r="I242" s="272"/>
      <c r="J242" s="272"/>
      <c r="K242" s="272"/>
      <c r="L242" s="272"/>
      <c r="M242" s="272"/>
    </row>
    <row r="243" spans="3:13">
      <c r="C243" s="272"/>
      <c r="D243" s="272"/>
      <c r="E243" s="272"/>
      <c r="F243" s="272"/>
      <c r="G243" s="272"/>
      <c r="H243" s="272"/>
      <c r="I243" s="272"/>
      <c r="J243" s="272"/>
      <c r="K243" s="272"/>
      <c r="L243" s="272"/>
      <c r="M243" s="272"/>
    </row>
    <row r="244" spans="3:13">
      <c r="C244" s="272"/>
      <c r="D244" s="272"/>
      <c r="E244" s="272"/>
      <c r="F244" s="272"/>
      <c r="G244" s="272"/>
      <c r="H244" s="272"/>
      <c r="I244" s="272"/>
      <c r="J244" s="272"/>
      <c r="K244" s="272"/>
      <c r="L244" s="272"/>
      <c r="M244" s="272"/>
    </row>
    <row r="245" spans="3:13">
      <c r="C245" s="272"/>
      <c r="D245" s="272"/>
      <c r="E245" s="272"/>
      <c r="F245" s="272"/>
      <c r="G245" s="272"/>
      <c r="H245" s="272"/>
      <c r="I245" s="272"/>
      <c r="J245" s="272"/>
      <c r="K245" s="272"/>
      <c r="L245" s="272"/>
      <c r="M245" s="272"/>
    </row>
    <row r="246" spans="3:13">
      <c r="C246" s="272"/>
      <c r="D246" s="272"/>
      <c r="E246" s="272"/>
      <c r="F246" s="272"/>
      <c r="G246" s="272"/>
      <c r="H246" s="272"/>
      <c r="I246" s="272"/>
      <c r="J246" s="272"/>
      <c r="K246" s="272"/>
      <c r="L246" s="272"/>
      <c r="M246" s="272"/>
    </row>
    <row r="247" spans="3:13">
      <c r="C247" s="272"/>
      <c r="D247" s="272"/>
      <c r="E247" s="272"/>
      <c r="F247" s="272"/>
      <c r="G247" s="272"/>
      <c r="H247" s="272"/>
      <c r="I247" s="272"/>
      <c r="J247" s="272"/>
      <c r="K247" s="272"/>
      <c r="L247" s="272"/>
      <c r="M247" s="272"/>
    </row>
    <row r="248" spans="3:13">
      <c r="C248" s="272"/>
      <c r="D248" s="272"/>
      <c r="E248" s="272"/>
      <c r="F248" s="272"/>
      <c r="G248" s="272"/>
      <c r="H248" s="272"/>
      <c r="I248" s="272"/>
      <c r="J248" s="272"/>
      <c r="K248" s="272"/>
      <c r="L248" s="272"/>
      <c r="M248" s="272"/>
    </row>
    <row r="249" spans="3:13">
      <c r="C249" s="272"/>
      <c r="D249" s="272"/>
      <c r="E249" s="272"/>
      <c r="F249" s="272"/>
      <c r="G249" s="272"/>
      <c r="H249" s="272"/>
      <c r="I249" s="272"/>
      <c r="J249" s="272"/>
      <c r="K249" s="272"/>
      <c r="L249" s="272"/>
      <c r="M249" s="272"/>
    </row>
    <row r="250" spans="3:13">
      <c r="C250" s="272"/>
      <c r="D250" s="272"/>
      <c r="E250" s="272"/>
      <c r="F250" s="272"/>
      <c r="G250" s="272"/>
      <c r="H250" s="272"/>
      <c r="I250" s="272"/>
      <c r="J250" s="272"/>
      <c r="K250" s="272"/>
      <c r="L250" s="272"/>
      <c r="M250" s="272"/>
    </row>
    <row r="251" spans="3:13">
      <c r="C251" s="272"/>
      <c r="D251" s="272"/>
      <c r="E251" s="272"/>
      <c r="F251" s="272"/>
      <c r="G251" s="272"/>
      <c r="H251" s="272"/>
      <c r="I251" s="272"/>
      <c r="J251" s="272"/>
      <c r="K251" s="272"/>
      <c r="L251" s="272"/>
      <c r="M251" s="272"/>
    </row>
    <row r="252" spans="3:13">
      <c r="C252" s="272"/>
      <c r="D252" s="272"/>
      <c r="E252" s="272"/>
      <c r="F252" s="272"/>
      <c r="G252" s="272"/>
      <c r="H252" s="272"/>
      <c r="I252" s="272"/>
      <c r="J252" s="272"/>
      <c r="K252" s="272"/>
      <c r="L252" s="272"/>
      <c r="M252" s="272"/>
    </row>
    <row r="253" spans="3:13">
      <c r="C253" s="272"/>
      <c r="D253" s="272"/>
      <c r="E253" s="272"/>
      <c r="F253" s="272"/>
      <c r="G253" s="272"/>
      <c r="H253" s="272"/>
      <c r="I253" s="272"/>
      <c r="J253" s="272"/>
      <c r="K253" s="272"/>
      <c r="L253" s="272"/>
      <c r="M253" s="272"/>
    </row>
    <row r="254" spans="3:13">
      <c r="C254" s="272"/>
      <c r="D254" s="272"/>
      <c r="E254" s="272"/>
      <c r="F254" s="272"/>
      <c r="G254" s="272"/>
      <c r="H254" s="272"/>
      <c r="I254" s="272"/>
      <c r="J254" s="272"/>
      <c r="K254" s="272"/>
      <c r="L254" s="272"/>
      <c r="M254" s="272"/>
    </row>
    <row r="255" spans="3:13">
      <c r="C255" s="272"/>
      <c r="D255" s="272"/>
      <c r="E255" s="272"/>
      <c r="F255" s="272"/>
      <c r="G255" s="272"/>
      <c r="H255" s="272"/>
      <c r="I255" s="272"/>
      <c r="J255" s="272"/>
      <c r="K255" s="272"/>
      <c r="L255" s="272"/>
      <c r="M255" s="272"/>
    </row>
    <row r="256" spans="3:13">
      <c r="C256" s="272"/>
      <c r="D256" s="272"/>
      <c r="E256" s="272"/>
      <c r="F256" s="272"/>
      <c r="G256" s="272"/>
      <c r="H256" s="272"/>
      <c r="I256" s="272"/>
      <c r="J256" s="272"/>
      <c r="K256" s="272"/>
      <c r="L256" s="272"/>
      <c r="M256" s="272"/>
    </row>
    <row r="257" spans="3:13">
      <c r="C257" s="272"/>
      <c r="D257" s="272"/>
      <c r="E257" s="272"/>
      <c r="F257" s="272"/>
      <c r="G257" s="272"/>
      <c r="H257" s="272"/>
      <c r="I257" s="272"/>
      <c r="J257" s="272"/>
      <c r="K257" s="272"/>
      <c r="L257" s="272"/>
      <c r="M257" s="272"/>
    </row>
    <row r="258" spans="3:13">
      <c r="C258" s="272"/>
      <c r="D258" s="272"/>
      <c r="E258" s="272"/>
      <c r="F258" s="272"/>
      <c r="G258" s="272"/>
      <c r="H258" s="272"/>
      <c r="I258" s="272"/>
      <c r="J258" s="272"/>
      <c r="K258" s="272"/>
      <c r="L258" s="272"/>
      <c r="M258" s="272"/>
    </row>
    <row r="259" spans="3:13">
      <c r="C259" s="272"/>
      <c r="D259" s="272"/>
      <c r="E259" s="272"/>
      <c r="F259" s="272"/>
      <c r="G259" s="272"/>
      <c r="H259" s="272"/>
      <c r="I259" s="272"/>
      <c r="J259" s="272"/>
      <c r="K259" s="272"/>
      <c r="L259" s="272"/>
      <c r="M259" s="272"/>
    </row>
    <row r="260" spans="3:13">
      <c r="C260" s="272"/>
      <c r="D260" s="272"/>
      <c r="E260" s="272"/>
      <c r="F260" s="272"/>
      <c r="G260" s="272"/>
      <c r="H260" s="272"/>
      <c r="I260" s="272"/>
      <c r="J260" s="272"/>
      <c r="K260" s="272"/>
      <c r="L260" s="272"/>
      <c r="M260" s="272"/>
    </row>
    <row r="261" spans="3:13">
      <c r="C261" s="272"/>
      <c r="D261" s="272"/>
      <c r="E261" s="272"/>
      <c r="F261" s="272"/>
      <c r="G261" s="272"/>
      <c r="H261" s="272"/>
      <c r="I261" s="272"/>
      <c r="J261" s="272"/>
      <c r="K261" s="272"/>
      <c r="L261" s="272"/>
      <c r="M261" s="272"/>
    </row>
    <row r="262" spans="3:13">
      <c r="C262" s="272"/>
      <c r="D262" s="272"/>
      <c r="E262" s="272"/>
      <c r="F262" s="272"/>
      <c r="G262" s="272"/>
      <c r="H262" s="272"/>
      <c r="I262" s="272"/>
      <c r="J262" s="272"/>
      <c r="K262" s="272"/>
      <c r="L262" s="272"/>
      <c r="M262" s="272"/>
    </row>
    <row r="263" spans="3:13">
      <c r="C263" s="272"/>
      <c r="D263" s="272"/>
      <c r="E263" s="272"/>
      <c r="F263" s="272"/>
      <c r="G263" s="272"/>
      <c r="H263" s="272"/>
      <c r="I263" s="272"/>
      <c r="J263" s="272"/>
      <c r="K263" s="272"/>
      <c r="L263" s="272"/>
      <c r="M263" s="272"/>
    </row>
    <row r="264" spans="3:13">
      <c r="C264" s="272"/>
      <c r="D264" s="272"/>
      <c r="E264" s="272"/>
      <c r="F264" s="272"/>
      <c r="G264" s="272"/>
      <c r="H264" s="272"/>
      <c r="I264" s="272"/>
      <c r="J264" s="272"/>
      <c r="K264" s="272"/>
      <c r="L264" s="272"/>
      <c r="M264" s="272"/>
    </row>
    <row r="265" spans="3:13">
      <c r="C265" s="272"/>
      <c r="D265" s="272"/>
      <c r="E265" s="272"/>
      <c r="F265" s="272"/>
      <c r="G265" s="272"/>
      <c r="H265" s="272"/>
      <c r="I265" s="272"/>
      <c r="J265" s="272"/>
      <c r="K265" s="272"/>
      <c r="L265" s="272"/>
      <c r="M265" s="272"/>
    </row>
    <row r="266" spans="3:13">
      <c r="C266" s="272"/>
      <c r="D266" s="272"/>
      <c r="E266" s="272"/>
      <c r="F266" s="272"/>
      <c r="G266" s="272"/>
      <c r="H266" s="272"/>
      <c r="I266" s="272"/>
      <c r="J266" s="272"/>
      <c r="K266" s="272"/>
      <c r="L266" s="272"/>
      <c r="M266" s="272"/>
    </row>
    <row r="267" spans="3:13">
      <c r="C267" s="272"/>
      <c r="D267" s="272"/>
      <c r="E267" s="272"/>
      <c r="F267" s="272"/>
      <c r="G267" s="272"/>
      <c r="H267" s="272"/>
      <c r="I267" s="272"/>
      <c r="J267" s="272"/>
      <c r="K267" s="272"/>
      <c r="L267" s="272"/>
      <c r="M267" s="272"/>
    </row>
    <row r="268" spans="3:13">
      <c r="C268" s="272"/>
      <c r="D268" s="272"/>
      <c r="E268" s="272"/>
      <c r="F268" s="272"/>
      <c r="G268" s="272"/>
      <c r="H268" s="272"/>
      <c r="I268" s="272"/>
      <c r="J268" s="272"/>
      <c r="K268" s="272"/>
      <c r="L268" s="272"/>
      <c r="M268" s="272"/>
    </row>
    <row r="269" spans="3:13">
      <c r="C269" s="272"/>
      <c r="D269" s="272"/>
      <c r="E269" s="272"/>
      <c r="F269" s="272"/>
      <c r="G269" s="272"/>
      <c r="H269" s="272"/>
      <c r="I269" s="272"/>
      <c r="J269" s="272"/>
      <c r="K269" s="272"/>
      <c r="L269" s="272"/>
      <c r="M269" s="272"/>
    </row>
    <row r="270" spans="3:13">
      <c r="C270" s="272"/>
      <c r="D270" s="272"/>
      <c r="E270" s="272"/>
      <c r="F270" s="272"/>
      <c r="G270" s="272"/>
      <c r="H270" s="272"/>
      <c r="I270" s="272"/>
      <c r="J270" s="272"/>
      <c r="K270" s="272"/>
      <c r="L270" s="272"/>
      <c r="M270" s="272"/>
    </row>
    <row r="271" spans="3:13">
      <c r="C271" s="272"/>
      <c r="D271" s="272"/>
      <c r="E271" s="272"/>
      <c r="F271" s="272"/>
      <c r="G271" s="272"/>
      <c r="H271" s="272"/>
      <c r="I271" s="272"/>
      <c r="J271" s="272"/>
      <c r="K271" s="272"/>
      <c r="L271" s="272"/>
      <c r="M271" s="272"/>
    </row>
    <row r="272" spans="3:13">
      <c r="C272" s="272"/>
      <c r="D272" s="272"/>
      <c r="E272" s="272"/>
      <c r="F272" s="272"/>
      <c r="G272" s="272"/>
      <c r="H272" s="272"/>
      <c r="I272" s="272"/>
      <c r="J272" s="272"/>
      <c r="K272" s="272"/>
      <c r="L272" s="272"/>
      <c r="M272" s="272"/>
    </row>
    <row r="273" spans="3:13">
      <c r="C273" s="272"/>
      <c r="D273" s="272"/>
      <c r="E273" s="272"/>
      <c r="F273" s="272"/>
      <c r="G273" s="272"/>
      <c r="H273" s="272"/>
      <c r="I273" s="272"/>
      <c r="J273" s="272"/>
      <c r="K273" s="272"/>
      <c r="L273" s="272"/>
      <c r="M273" s="272"/>
    </row>
    <row r="274" spans="3:13">
      <c r="C274" s="272"/>
      <c r="D274" s="272"/>
      <c r="E274" s="272"/>
      <c r="F274" s="272"/>
      <c r="G274" s="272"/>
      <c r="H274" s="272"/>
      <c r="I274" s="272"/>
      <c r="J274" s="272"/>
      <c r="K274" s="272"/>
      <c r="L274" s="272"/>
      <c r="M274" s="272"/>
    </row>
    <row r="275" spans="3:13">
      <c r="C275" s="272"/>
      <c r="D275" s="272"/>
      <c r="E275" s="272"/>
      <c r="F275" s="272"/>
      <c r="G275" s="272"/>
      <c r="H275" s="272"/>
      <c r="I275" s="272"/>
      <c r="J275" s="272"/>
      <c r="K275" s="272"/>
      <c r="L275" s="272"/>
      <c r="M275" s="272"/>
    </row>
    <row r="276" spans="3:13">
      <c r="C276" s="272"/>
      <c r="D276" s="272"/>
      <c r="E276" s="272"/>
      <c r="F276" s="272"/>
      <c r="G276" s="272"/>
      <c r="H276" s="272"/>
      <c r="I276" s="272"/>
      <c r="J276" s="272"/>
      <c r="K276" s="272"/>
      <c r="L276" s="272"/>
      <c r="M276" s="272"/>
    </row>
    <row r="277" spans="3:13">
      <c r="C277" s="272"/>
      <c r="D277" s="272"/>
      <c r="E277" s="272"/>
      <c r="F277" s="272"/>
      <c r="G277" s="272"/>
      <c r="H277" s="272"/>
      <c r="I277" s="272"/>
      <c r="J277" s="272"/>
      <c r="K277" s="272"/>
      <c r="L277" s="272"/>
      <c r="M277" s="272"/>
    </row>
    <row r="278" spans="3:13">
      <c r="C278" s="272"/>
      <c r="D278" s="272"/>
      <c r="E278" s="272"/>
      <c r="F278" s="272"/>
      <c r="G278" s="272"/>
      <c r="H278" s="272"/>
      <c r="I278" s="272"/>
      <c r="J278" s="272"/>
      <c r="K278" s="272"/>
      <c r="L278" s="272"/>
      <c r="M278" s="272"/>
    </row>
    <row r="279" spans="3:13">
      <c r="C279" s="272"/>
      <c r="D279" s="272"/>
      <c r="E279" s="272"/>
      <c r="F279" s="272"/>
      <c r="G279" s="272"/>
      <c r="H279" s="272"/>
      <c r="I279" s="272"/>
      <c r="J279" s="272"/>
      <c r="K279" s="272"/>
      <c r="L279" s="272"/>
      <c r="M279" s="272"/>
    </row>
    <row r="280" spans="3:13">
      <c r="C280" s="272"/>
      <c r="D280" s="272"/>
      <c r="E280" s="272"/>
      <c r="F280" s="272"/>
      <c r="G280" s="272"/>
      <c r="H280" s="272"/>
      <c r="I280" s="272"/>
      <c r="J280" s="272"/>
      <c r="K280" s="272"/>
      <c r="L280" s="272"/>
      <c r="M280" s="272"/>
    </row>
    <row r="281" spans="3:13">
      <c r="C281" s="272"/>
      <c r="D281" s="272"/>
      <c r="E281" s="272"/>
      <c r="F281" s="272"/>
      <c r="G281" s="272"/>
      <c r="H281" s="272"/>
      <c r="I281" s="272"/>
      <c r="J281" s="272"/>
      <c r="K281" s="272"/>
      <c r="L281" s="272"/>
      <c r="M281" s="272"/>
    </row>
    <row r="282" spans="3:13">
      <c r="C282" s="272"/>
      <c r="D282" s="272"/>
      <c r="E282" s="272"/>
      <c r="F282" s="272"/>
      <c r="G282" s="272"/>
      <c r="H282" s="272"/>
      <c r="I282" s="272"/>
      <c r="J282" s="272"/>
      <c r="K282" s="272"/>
      <c r="L282" s="272"/>
      <c r="M282" s="272"/>
    </row>
    <row r="283" spans="3:13">
      <c r="C283" s="272"/>
      <c r="D283" s="272"/>
      <c r="E283" s="272"/>
      <c r="F283" s="272"/>
      <c r="G283" s="272"/>
      <c r="H283" s="272"/>
      <c r="I283" s="272"/>
      <c r="J283" s="272"/>
      <c r="K283" s="272"/>
      <c r="L283" s="272"/>
      <c r="M283" s="272"/>
    </row>
    <row r="284" spans="3:13">
      <c r="C284" s="272"/>
      <c r="D284" s="272"/>
      <c r="E284" s="272"/>
      <c r="F284" s="272"/>
      <c r="G284" s="272"/>
      <c r="H284" s="272"/>
      <c r="I284" s="272"/>
      <c r="J284" s="272"/>
      <c r="K284" s="272"/>
      <c r="L284" s="272"/>
      <c r="M284" s="272"/>
    </row>
    <row r="285" spans="3:13">
      <c r="C285" s="272"/>
      <c r="D285" s="272"/>
      <c r="E285" s="272"/>
      <c r="F285" s="272"/>
      <c r="G285" s="272"/>
      <c r="H285" s="272"/>
      <c r="I285" s="272"/>
      <c r="J285" s="272"/>
      <c r="K285" s="272"/>
      <c r="L285" s="272"/>
      <c r="M285" s="272"/>
    </row>
    <row r="286" spans="3:13">
      <c r="C286" s="272"/>
      <c r="D286" s="272"/>
      <c r="E286" s="272"/>
      <c r="F286" s="272"/>
      <c r="G286" s="272"/>
      <c r="H286" s="272"/>
      <c r="I286" s="272"/>
      <c r="J286" s="272"/>
      <c r="K286" s="272"/>
      <c r="L286" s="272"/>
      <c r="M286" s="272"/>
    </row>
    <row r="287" spans="3:13">
      <c r="C287" s="272"/>
      <c r="D287" s="272"/>
      <c r="E287" s="272"/>
      <c r="F287" s="272"/>
      <c r="G287" s="272"/>
      <c r="H287" s="272"/>
      <c r="I287" s="272"/>
      <c r="J287" s="272"/>
      <c r="K287" s="272"/>
      <c r="L287" s="272"/>
      <c r="M287" s="272"/>
    </row>
    <row r="288" spans="3:13">
      <c r="C288" s="272"/>
      <c r="D288" s="272"/>
      <c r="E288" s="272"/>
      <c r="F288" s="272"/>
      <c r="G288" s="272"/>
      <c r="H288" s="272"/>
      <c r="I288" s="272"/>
      <c r="J288" s="272"/>
      <c r="K288" s="272"/>
      <c r="L288" s="272"/>
      <c r="M288" s="272"/>
    </row>
    <row r="289" spans="3:13">
      <c r="C289" s="272"/>
      <c r="D289" s="272"/>
      <c r="E289" s="272"/>
      <c r="F289" s="272"/>
      <c r="G289" s="272"/>
      <c r="H289" s="272"/>
      <c r="I289" s="272"/>
      <c r="J289" s="272"/>
      <c r="K289" s="272"/>
      <c r="L289" s="272"/>
      <c r="M289" s="272"/>
    </row>
    <row r="290" spans="3:13">
      <c r="C290" s="272"/>
      <c r="D290" s="272"/>
      <c r="E290" s="272"/>
      <c r="F290" s="272"/>
      <c r="G290" s="272"/>
      <c r="H290" s="272"/>
      <c r="I290" s="272"/>
      <c r="J290" s="272"/>
      <c r="K290" s="272"/>
      <c r="L290" s="272"/>
      <c r="M290" s="272"/>
    </row>
  </sheetData>
  <customSheetViews>
    <customSheetView guid="{B991F324-919F-4749-8E3C-A09B2FA7BB10}" scale="60" showPageBreaks="1" fitToPage="1" printArea="1" view="pageBreakPreview" topLeftCell="A46">
      <selection activeCell="C71" sqref="C71"/>
      <rowBreaks count="1" manualBreakCount="1">
        <brk id="46" max="18" man="1"/>
      </rowBreaks>
      <pageMargins left="0.7" right="0.7" top="0.75" bottom="0.75" header="0.3" footer="0.3"/>
      <printOptions horizontalCentered="1"/>
      <pageSetup scale="24" fitToHeight="0" orientation="landscape" r:id="rId1"/>
      <headerFooter alignWithMargins="0"/>
    </customSheetView>
    <customSheetView guid="{901B528B-D65D-48CA-A638-FD9B4E5BB6D4}" scale="60" showPageBreaks="1" fitToPage="1" printArea="1" view="pageBreakPreview" topLeftCell="A46">
      <selection activeCell="C71" sqref="C71"/>
      <rowBreaks count="1" manualBreakCount="1">
        <brk id="46" max="18" man="1"/>
      </rowBreaks>
      <pageMargins left="0.7" right="0.7" top="0.75" bottom="0.75" header="0.3" footer="0.3"/>
      <printOptions horizontalCentered="1"/>
      <pageSetup scale="24" fitToHeight="0" orientation="landscape" r:id="rId2"/>
      <headerFooter alignWithMargins="0"/>
    </customSheetView>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3"/>
      <headerFooter alignWithMargins="0"/>
    </customSheetView>
    <customSheetView guid="{0DE222E8-ADD6-4F4B-9601-960D8109381F}" scale="60" showPageBreaks="1" fitToPage="1" printArea="1" view="pageBreakPreview" topLeftCell="A22">
      <rowBreaks count="1" manualBreakCount="1">
        <brk id="46" max="18" man="1"/>
      </rowBreaks>
      <pageMargins left="0.7" right="0.7" top="0.75" bottom="0.75" header="0.3" footer="0.3"/>
      <printOptions horizontalCentered="1"/>
      <pageSetup scale="24" fitToHeight="0" orientation="landscape" r:id="rId4"/>
      <headerFooter alignWithMargins="0"/>
    </customSheetView>
  </customSheetViews>
  <mergeCells count="11">
    <mergeCell ref="A5:O5"/>
    <mergeCell ref="A6:O6"/>
    <mergeCell ref="A7:L7"/>
    <mergeCell ref="C88:L88"/>
    <mergeCell ref="C89:L89"/>
    <mergeCell ref="K11:T11"/>
    <mergeCell ref="C90:L90"/>
    <mergeCell ref="C86:L86"/>
    <mergeCell ref="C87:L87"/>
    <mergeCell ref="A54:O54"/>
    <mergeCell ref="A55:O55"/>
  </mergeCells>
  <phoneticPr fontId="17" type="noConversion"/>
  <printOptions horizontalCentered="1"/>
  <pageMargins left="0.7" right="0.7" top="0.75" bottom="0.75" header="0.3" footer="0.3"/>
  <pageSetup scale="24" fitToHeight="0" orientation="landscape" r:id="rId5"/>
  <headerFooter alignWithMargins="0"/>
  <rowBreaks count="1" manualBreakCount="1">
    <brk id="46"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AV31"/>
  <sheetViews>
    <sheetView view="pageBreakPreview" zoomScale="60" zoomScaleNormal="90" workbookViewId="0">
      <selection activeCell="B35" sqref="B35"/>
    </sheetView>
  </sheetViews>
  <sheetFormatPr defaultRowHeight="15"/>
  <cols>
    <col min="1" max="1" width="7.54296875" customWidth="1"/>
    <col min="2" max="2" width="2.54296875" customWidth="1"/>
    <col min="3" max="3" width="44.1796875" customWidth="1"/>
    <col min="4" max="4" width="14.453125" customWidth="1"/>
    <col min="5" max="5" width="15.08984375" customWidth="1"/>
    <col min="6" max="11" width="13.1796875" bestFit="1" customWidth="1"/>
    <col min="12" max="18" width="16" bestFit="1" customWidth="1"/>
    <col min="19" max="19" width="3.90625" customWidth="1"/>
    <col min="20" max="20" width="15.36328125" bestFit="1" customWidth="1"/>
    <col min="21" max="21" width="15.453125" customWidth="1"/>
    <col min="22" max="29" width="12.54296875" customWidth="1"/>
    <col min="30" max="30" width="14.90625" customWidth="1"/>
    <col min="31" max="31" width="12.90625" bestFit="1" customWidth="1"/>
    <col min="32" max="32" width="13.6328125" bestFit="1" customWidth="1"/>
    <col min="33" max="33" width="13.1796875" bestFit="1" customWidth="1"/>
    <col min="34" max="34" width="3.90625" customWidth="1"/>
    <col min="35" max="35" width="17" customWidth="1"/>
  </cols>
  <sheetData>
    <row r="1" spans="1:48" ht="15.6">
      <c r="A1" s="1328" t="s">
        <v>633</v>
      </c>
      <c r="B1" s="1328"/>
      <c r="C1" s="1328"/>
      <c r="D1" s="1328"/>
      <c r="E1" s="1328"/>
      <c r="F1" s="1328"/>
      <c r="G1" s="1328"/>
      <c r="H1" s="1328"/>
      <c r="I1" s="1328"/>
      <c r="J1" s="1328"/>
      <c r="K1" s="1328"/>
      <c r="L1" s="1328"/>
      <c r="M1" s="1328"/>
      <c r="N1" s="1328"/>
      <c r="O1" s="28"/>
      <c r="R1" s="4"/>
      <c r="S1" s="4" t="str">
        <f>'Attachment H-11A '!K1&amp;""&amp;", Attachment 11a"</f>
        <v>Attachment H -11A, Attachment 11a</v>
      </c>
      <c r="T1" s="1328" t="str">
        <f>A1</f>
        <v>TEC Worksheet Support</v>
      </c>
      <c r="U1" s="1328"/>
      <c r="V1" s="1328"/>
      <c r="W1" s="1328"/>
      <c r="X1" s="1328"/>
      <c r="Y1" s="1328"/>
      <c r="Z1" s="1328"/>
      <c r="AA1" s="1328"/>
      <c r="AB1" s="1328"/>
      <c r="AC1" s="1328"/>
      <c r="AD1" s="1328"/>
      <c r="AE1" s="1328"/>
      <c r="AF1" s="28"/>
      <c r="AG1" s="28"/>
      <c r="AH1" s="28"/>
      <c r="AI1" s="4" t="str">
        <f>S1</f>
        <v>Attachment H -11A, Attachment 11a</v>
      </c>
    </row>
    <row r="2" spans="1:48" ht="15.6">
      <c r="A2" s="1329" t="s">
        <v>391</v>
      </c>
      <c r="B2" s="1329"/>
      <c r="C2" s="1329"/>
      <c r="D2" s="1329"/>
      <c r="E2" s="1329"/>
      <c r="F2" s="1329"/>
      <c r="G2" s="1329"/>
      <c r="H2" s="1329"/>
      <c r="I2" s="1329"/>
      <c r="J2" s="1329"/>
      <c r="K2" s="1329"/>
      <c r="L2" s="1329"/>
      <c r="M2" s="1329"/>
      <c r="N2" s="1329"/>
      <c r="O2" s="337"/>
      <c r="R2" s="4"/>
      <c r="S2" s="4" t="s">
        <v>191</v>
      </c>
      <c r="T2" s="1329" t="s">
        <v>391</v>
      </c>
      <c r="U2" s="1329"/>
      <c r="V2" s="1329"/>
      <c r="W2" s="1329"/>
      <c r="X2" s="1329"/>
      <c r="Y2" s="1329"/>
      <c r="Z2" s="1329"/>
      <c r="AA2" s="1329"/>
      <c r="AB2" s="1329"/>
      <c r="AC2" s="1329"/>
      <c r="AD2" s="1329"/>
      <c r="AE2" s="1329"/>
      <c r="AF2" s="337"/>
      <c r="AG2" s="337"/>
      <c r="AH2" s="337"/>
      <c r="AI2" s="4" t="s">
        <v>194</v>
      </c>
    </row>
    <row r="3" spans="1:48" ht="15.6">
      <c r="A3" s="337"/>
      <c r="B3" s="338"/>
      <c r="C3" s="338"/>
      <c r="D3" s="338"/>
      <c r="E3" s="338"/>
      <c r="F3" s="338"/>
      <c r="G3" s="338"/>
      <c r="H3" s="338"/>
      <c r="I3" s="338"/>
      <c r="J3" s="338"/>
      <c r="K3" s="338"/>
      <c r="L3" s="338"/>
      <c r="M3" s="6"/>
      <c r="R3" s="6"/>
      <c r="S3" s="6" t="str">
        <f>'Attachment H-11A '!K4</f>
        <v>For the 12 months ended 12/31/2022</v>
      </c>
      <c r="AI3" s="6" t="str">
        <f>S3</f>
        <v>For the 12 months ended 12/31/2022</v>
      </c>
    </row>
    <row r="4" spans="1:48" ht="15.6">
      <c r="A4" s="337"/>
      <c r="B4" s="338"/>
      <c r="C4" s="338"/>
      <c r="D4" s="338"/>
      <c r="E4" s="338"/>
      <c r="F4" s="338"/>
      <c r="G4" s="338"/>
      <c r="H4" s="338"/>
      <c r="I4" s="338"/>
      <c r="J4" s="338"/>
      <c r="K4" s="338"/>
      <c r="L4" s="338"/>
      <c r="M4" s="6"/>
    </row>
    <row r="5" spans="1:48" ht="15.6">
      <c r="A5" s="337"/>
      <c r="B5" s="338"/>
      <c r="C5" s="338"/>
      <c r="D5" s="338"/>
      <c r="E5" s="338"/>
      <c r="F5" s="338"/>
      <c r="G5" s="338"/>
      <c r="H5" s="338"/>
      <c r="I5" s="338"/>
      <c r="J5" s="338"/>
      <c r="K5" s="338"/>
      <c r="L5" s="338"/>
      <c r="M5" s="6"/>
    </row>
    <row r="6" spans="1:48" ht="50.25" customHeight="1">
      <c r="A6" s="29" t="s">
        <v>179</v>
      </c>
      <c r="B6" s="30"/>
      <c r="C6" s="40" t="s">
        <v>180</v>
      </c>
      <c r="D6" s="31" t="s">
        <v>195</v>
      </c>
      <c r="E6" s="32" t="s">
        <v>292</v>
      </c>
      <c r="F6" s="663">
        <v>44550</v>
      </c>
      <c r="G6" s="339">
        <f>F6+31</f>
        <v>44581</v>
      </c>
      <c r="H6" s="339">
        <f>G6+31</f>
        <v>44612</v>
      </c>
      <c r="I6" s="339">
        <f>H6+31</f>
        <v>44643</v>
      </c>
      <c r="J6" s="339">
        <f>I6+31</f>
        <v>44674</v>
      </c>
      <c r="K6" s="339">
        <f t="shared" ref="K6:Q6" si="0">J6+31</f>
        <v>44705</v>
      </c>
      <c r="L6" s="339">
        <f t="shared" si="0"/>
        <v>44736</v>
      </c>
      <c r="M6" s="339">
        <f t="shared" si="0"/>
        <v>44767</v>
      </c>
      <c r="N6" s="339">
        <f t="shared" si="0"/>
        <v>44798</v>
      </c>
      <c r="O6" s="339">
        <f t="shared" si="0"/>
        <v>44829</v>
      </c>
      <c r="P6" s="339">
        <f t="shared" si="0"/>
        <v>44860</v>
      </c>
      <c r="Q6" s="339">
        <f t="shared" si="0"/>
        <v>44891</v>
      </c>
      <c r="R6" s="339">
        <f>Q6+31</f>
        <v>44922</v>
      </c>
      <c r="S6" s="339"/>
      <c r="T6" s="32" t="s">
        <v>389</v>
      </c>
      <c r="U6" s="339">
        <f>F6</f>
        <v>44550</v>
      </c>
      <c r="V6" s="339">
        <f t="shared" ref="V6:AG6" si="1">G6</f>
        <v>44581</v>
      </c>
      <c r="W6" s="339">
        <f t="shared" si="1"/>
        <v>44612</v>
      </c>
      <c r="X6" s="339">
        <f t="shared" si="1"/>
        <v>44643</v>
      </c>
      <c r="Y6" s="339">
        <f t="shared" si="1"/>
        <v>44674</v>
      </c>
      <c r="Z6" s="339">
        <f t="shared" si="1"/>
        <v>44705</v>
      </c>
      <c r="AA6" s="339">
        <f t="shared" si="1"/>
        <v>44736</v>
      </c>
      <c r="AB6" s="339">
        <f t="shared" si="1"/>
        <v>44767</v>
      </c>
      <c r="AC6" s="339">
        <f t="shared" si="1"/>
        <v>44798</v>
      </c>
      <c r="AD6" s="339">
        <f t="shared" si="1"/>
        <v>44829</v>
      </c>
      <c r="AE6" s="339">
        <f t="shared" si="1"/>
        <v>44860</v>
      </c>
      <c r="AF6" s="339">
        <f t="shared" si="1"/>
        <v>44891</v>
      </c>
      <c r="AG6" s="339">
        <f t="shared" si="1"/>
        <v>44922</v>
      </c>
      <c r="AH6" s="340"/>
      <c r="AI6" s="344" t="s">
        <v>390</v>
      </c>
      <c r="AJ6" s="342"/>
      <c r="AK6" s="342"/>
      <c r="AL6" s="342"/>
      <c r="AM6" s="342"/>
      <c r="AN6" s="342"/>
      <c r="AO6" s="342"/>
      <c r="AP6" s="342"/>
      <c r="AQ6" s="342"/>
      <c r="AR6" s="342"/>
      <c r="AS6" s="342"/>
      <c r="AT6" s="342"/>
      <c r="AU6" s="342"/>
      <c r="AV6" s="342"/>
    </row>
    <row r="7" spans="1:48" ht="15.6">
      <c r="A7" s="33"/>
      <c r="B7" s="34"/>
      <c r="C7" s="34"/>
      <c r="D7" s="34"/>
      <c r="E7" s="35" t="s">
        <v>14</v>
      </c>
      <c r="F7" s="35" t="s">
        <v>17</v>
      </c>
      <c r="G7" s="35" t="s">
        <v>17</v>
      </c>
      <c r="H7" s="35" t="s">
        <v>17</v>
      </c>
      <c r="I7" s="35" t="s">
        <v>17</v>
      </c>
      <c r="J7" s="35" t="s">
        <v>17</v>
      </c>
      <c r="K7" s="35" t="s">
        <v>17</v>
      </c>
      <c r="L7" s="35" t="s">
        <v>17</v>
      </c>
      <c r="M7" s="35" t="s">
        <v>17</v>
      </c>
      <c r="N7" s="35" t="s">
        <v>17</v>
      </c>
      <c r="O7" s="35" t="s">
        <v>17</v>
      </c>
      <c r="P7" s="35" t="s">
        <v>17</v>
      </c>
      <c r="Q7" s="35" t="s">
        <v>17</v>
      </c>
      <c r="R7" s="35" t="s">
        <v>17</v>
      </c>
      <c r="S7" s="35"/>
      <c r="T7" s="35" t="s">
        <v>15</v>
      </c>
      <c r="U7" s="35" t="s">
        <v>17</v>
      </c>
      <c r="V7" s="35" t="s">
        <v>17</v>
      </c>
      <c r="W7" s="35" t="s">
        <v>17</v>
      </c>
      <c r="X7" s="35" t="s">
        <v>17</v>
      </c>
      <c r="Y7" s="35" t="s">
        <v>17</v>
      </c>
      <c r="Z7" s="35" t="s">
        <v>17</v>
      </c>
      <c r="AA7" s="35" t="s">
        <v>17</v>
      </c>
      <c r="AB7" s="35" t="s">
        <v>17</v>
      </c>
      <c r="AC7" s="35" t="s">
        <v>17</v>
      </c>
      <c r="AD7" s="35" t="s">
        <v>17</v>
      </c>
      <c r="AE7" s="35" t="s">
        <v>17</v>
      </c>
      <c r="AF7" s="35" t="s">
        <v>17</v>
      </c>
      <c r="AG7" s="35" t="s">
        <v>17</v>
      </c>
      <c r="AH7" s="341"/>
      <c r="AI7" s="79" t="s">
        <v>493</v>
      </c>
      <c r="AJ7" s="343"/>
      <c r="AK7" s="343"/>
      <c r="AL7" s="343"/>
      <c r="AM7" s="343"/>
      <c r="AN7" s="343"/>
      <c r="AO7" s="343"/>
      <c r="AP7" s="343"/>
      <c r="AQ7" s="343"/>
      <c r="AR7" s="343"/>
      <c r="AS7" s="343"/>
      <c r="AT7" s="343"/>
      <c r="AU7" s="343"/>
      <c r="AV7" s="343"/>
    </row>
    <row r="8" spans="1:48" ht="15.6">
      <c r="A8" s="36"/>
      <c r="B8" s="7"/>
      <c r="C8" s="7"/>
      <c r="D8" s="7"/>
      <c r="E8" s="7"/>
      <c r="F8" s="7"/>
      <c r="G8" s="7"/>
      <c r="H8" s="7"/>
      <c r="I8" s="7"/>
      <c r="J8" s="7"/>
      <c r="K8" s="7"/>
      <c r="L8" s="7"/>
      <c r="M8" s="7"/>
      <c r="N8" s="7"/>
      <c r="O8" s="7"/>
      <c r="P8" s="7"/>
      <c r="Q8" s="7"/>
      <c r="R8" s="7"/>
      <c r="S8" s="7"/>
      <c r="T8" s="343"/>
      <c r="U8" s="343"/>
      <c r="V8" s="343"/>
      <c r="W8" s="343"/>
      <c r="X8" s="343"/>
      <c r="Y8" s="343"/>
      <c r="Z8" s="343"/>
      <c r="AA8" s="343"/>
      <c r="AB8" s="343"/>
      <c r="AC8" s="343"/>
      <c r="AD8" s="343"/>
      <c r="AE8" s="343"/>
      <c r="AF8" s="343"/>
      <c r="AG8" s="343"/>
      <c r="AH8" s="345"/>
      <c r="AI8" s="346"/>
      <c r="AJ8" s="343"/>
      <c r="AK8" s="343"/>
      <c r="AL8" s="343"/>
      <c r="AM8" s="343"/>
      <c r="AN8" s="343"/>
      <c r="AO8" s="343"/>
      <c r="AP8" s="343"/>
      <c r="AQ8" s="343"/>
      <c r="AR8" s="343"/>
      <c r="AS8" s="343"/>
      <c r="AT8" s="343"/>
      <c r="AU8" s="343"/>
      <c r="AV8" s="343"/>
    </row>
    <row r="9" spans="1:48" ht="15.6">
      <c r="A9" s="386"/>
      <c r="B9" s="27"/>
      <c r="C9" s="27"/>
      <c r="D9" s="37"/>
      <c r="E9" s="16"/>
      <c r="F9" s="16"/>
      <c r="G9" s="16"/>
      <c r="H9" s="16"/>
      <c r="I9" s="16"/>
      <c r="J9" s="16"/>
      <c r="K9" s="16"/>
      <c r="L9" s="16"/>
      <c r="M9" s="16"/>
      <c r="N9" s="16"/>
      <c r="O9" s="16"/>
      <c r="P9" s="16"/>
      <c r="Q9" s="16"/>
      <c r="R9" s="16"/>
      <c r="S9" s="16"/>
      <c r="T9" s="343"/>
      <c r="U9" s="16"/>
      <c r="V9" s="16"/>
      <c r="W9" s="16"/>
      <c r="X9" s="16"/>
      <c r="Y9" s="16"/>
      <c r="Z9" s="16"/>
      <c r="AA9" s="16"/>
      <c r="AB9" s="16"/>
      <c r="AC9" s="16"/>
      <c r="AD9" s="16"/>
      <c r="AE9" s="16"/>
      <c r="AF9" s="16"/>
      <c r="AG9" s="16"/>
      <c r="AH9" s="345"/>
      <c r="AI9" s="390"/>
      <c r="AJ9" s="343"/>
      <c r="AK9" s="343"/>
      <c r="AL9" s="343"/>
      <c r="AM9" s="343"/>
      <c r="AN9" s="343"/>
      <c r="AO9" s="343"/>
      <c r="AP9" s="343"/>
      <c r="AQ9" s="343"/>
      <c r="AR9" s="343"/>
      <c r="AS9" s="343"/>
      <c r="AT9" s="343"/>
      <c r="AU9" s="343"/>
      <c r="AV9" s="343"/>
    </row>
    <row r="10" spans="1:48" ht="15.6">
      <c r="A10" s="992" t="str">
        <f>'Attachment 11 - TEC'!A62</f>
        <v>1a</v>
      </c>
      <c r="B10" s="993"/>
      <c r="C10" s="994" t="str">
        <f>'Attachment 11 - TEC'!C62</f>
        <v>Replace Fort Martin 500 kV breaker 'FL-1'</v>
      </c>
      <c r="D10" s="995" t="str">
        <f>'Attachment 11 - TEC'!D62</f>
        <v>b0577</v>
      </c>
      <c r="E10" s="16">
        <f>AVERAGE(F10:R10)</f>
        <v>234851.79999999996</v>
      </c>
      <c r="F10" s="78">
        <v>234851.8</v>
      </c>
      <c r="G10" s="78">
        <v>234851.8</v>
      </c>
      <c r="H10" s="78">
        <v>234851.8</v>
      </c>
      <c r="I10" s="78">
        <v>234851.8</v>
      </c>
      <c r="J10" s="78">
        <v>234851.8</v>
      </c>
      <c r="K10" s="78">
        <v>234851.8</v>
      </c>
      <c r="L10" s="78">
        <v>234851.8</v>
      </c>
      <c r="M10" s="78">
        <v>234851.8</v>
      </c>
      <c r="N10" s="78">
        <v>234851.8</v>
      </c>
      <c r="O10" s="78">
        <v>234851.8</v>
      </c>
      <c r="P10" s="78">
        <v>234851.8</v>
      </c>
      <c r="Q10" s="78">
        <v>234851.8</v>
      </c>
      <c r="R10" s="78">
        <v>234851.8</v>
      </c>
      <c r="S10" s="16"/>
      <c r="T10" s="16">
        <f>AVERAGE(U10:AG10)</f>
        <v>-168055.4816400001</v>
      </c>
      <c r="U10" s="78">
        <v>-169652.47388000003</v>
      </c>
      <c r="V10" s="78">
        <v>-169386.30850666671</v>
      </c>
      <c r="W10" s="78">
        <v>-169120.14313333339</v>
      </c>
      <c r="X10" s="78">
        <v>-168853.97776000007</v>
      </c>
      <c r="Y10" s="78">
        <v>-168587.81238666674</v>
      </c>
      <c r="Z10" s="78">
        <v>-168321.64701333342</v>
      </c>
      <c r="AA10" s="78">
        <v>-168055.4816400001</v>
      </c>
      <c r="AB10" s="78">
        <v>-167789.31626666678</v>
      </c>
      <c r="AC10" s="78">
        <v>-167523.15089333346</v>
      </c>
      <c r="AD10" s="78">
        <v>-167256.98552000013</v>
      </c>
      <c r="AE10" s="78">
        <v>-166990.82014666681</v>
      </c>
      <c r="AF10" s="78">
        <v>-166724.65477333349</v>
      </c>
      <c r="AG10" s="78">
        <v>-166458.48940000017</v>
      </c>
      <c r="AH10" s="345"/>
      <c r="AI10" s="665">
        <f t="shared" ref="AI10:AI11" si="2">E10-T10</f>
        <v>402907.28164000006</v>
      </c>
      <c r="AJ10" s="343"/>
      <c r="AK10" s="343"/>
      <c r="AL10" s="343"/>
      <c r="AM10" s="343"/>
      <c r="AN10" s="343"/>
      <c r="AO10" s="343"/>
      <c r="AP10" s="343"/>
      <c r="AQ10" s="343"/>
      <c r="AR10" s="343"/>
      <c r="AS10" s="343"/>
      <c r="AT10" s="343"/>
      <c r="AU10" s="343"/>
      <c r="AV10" s="343"/>
    </row>
    <row r="11" spans="1:48" ht="62.4">
      <c r="A11" s="992" t="str">
        <f>'Attachment 11 - TEC'!A63</f>
        <v>1b</v>
      </c>
      <c r="B11" s="993"/>
      <c r="C11" s="994" t="str">
        <f>'Attachment 11 - TEC'!C63</f>
        <v>Terminate the Powell Mountain and Goff Run lines into the new Chloe substation and perform any associated relay upgrades or modifications required at Powell Mountain and Goff run to accommodate new substation</v>
      </c>
      <c r="D11" s="995" t="str">
        <f>'Attachment 11 - TEC'!D63</f>
        <v>b2609.5</v>
      </c>
      <c r="E11" s="16">
        <f t="shared" ref="E11" si="3">AVERAGE(F11:R11)</f>
        <v>2780431.5900000003</v>
      </c>
      <c r="F11" s="78">
        <v>2780431.59</v>
      </c>
      <c r="G11" s="78">
        <v>2780431.59</v>
      </c>
      <c r="H11" s="78">
        <v>2780431.59</v>
      </c>
      <c r="I11" s="78">
        <v>2780431.59</v>
      </c>
      <c r="J11" s="78">
        <v>2780431.59</v>
      </c>
      <c r="K11" s="78">
        <v>2780431.59</v>
      </c>
      <c r="L11" s="78">
        <v>2780431.59</v>
      </c>
      <c r="M11" s="78">
        <v>2780431.59</v>
      </c>
      <c r="N11" s="78">
        <v>2780431.59</v>
      </c>
      <c r="O11" s="78">
        <v>2780431.59</v>
      </c>
      <c r="P11" s="78">
        <v>2780431.59</v>
      </c>
      <c r="Q11" s="78">
        <v>2780431.59</v>
      </c>
      <c r="R11" s="78">
        <v>2780431.59</v>
      </c>
      <c r="S11" s="16"/>
      <c r="T11" s="16">
        <f t="shared" ref="T11" si="4">AVERAGE(U11:AG11)</f>
        <v>137543.66432599997</v>
      </c>
      <c r="U11" s="78">
        <v>114681.581442</v>
      </c>
      <c r="V11" s="78">
        <v>118491.92858933333</v>
      </c>
      <c r="W11" s="78">
        <v>122302.27573666666</v>
      </c>
      <c r="X11" s="78">
        <v>126112.622884</v>
      </c>
      <c r="Y11" s="78">
        <v>129922.97003133333</v>
      </c>
      <c r="Z11" s="78">
        <v>133733.31717866665</v>
      </c>
      <c r="AA11" s="78">
        <v>137543.66432599997</v>
      </c>
      <c r="AB11" s="78">
        <v>141354.01147333329</v>
      </c>
      <c r="AC11" s="78">
        <v>145164.35862066661</v>
      </c>
      <c r="AD11" s="78">
        <v>148974.70576799993</v>
      </c>
      <c r="AE11" s="78">
        <v>152785.05291533325</v>
      </c>
      <c r="AF11" s="78">
        <v>156595.40006266657</v>
      </c>
      <c r="AG11" s="78">
        <v>160405.74720999988</v>
      </c>
      <c r="AH11" s="345"/>
      <c r="AI11" s="665">
        <f t="shared" si="2"/>
        <v>2642887.9256740003</v>
      </c>
      <c r="AJ11" s="343"/>
      <c r="AK11" s="343"/>
      <c r="AL11" s="343"/>
      <c r="AM11" s="343"/>
      <c r="AN11" s="343"/>
      <c r="AO11" s="343"/>
      <c r="AP11" s="343"/>
      <c r="AQ11" s="343"/>
      <c r="AR11" s="343"/>
      <c r="AS11" s="343"/>
      <c r="AT11" s="343"/>
      <c r="AU11" s="343"/>
      <c r="AV11" s="343"/>
    </row>
    <row r="12" spans="1:48" ht="15.6">
      <c r="A12" s="992"/>
      <c r="B12" s="993"/>
      <c r="C12" s="994"/>
      <c r="D12" s="995"/>
      <c r="E12" s="16"/>
      <c r="F12" s="78"/>
      <c r="G12" s="78"/>
      <c r="H12" s="78"/>
      <c r="I12" s="78"/>
      <c r="J12" s="78"/>
      <c r="K12" s="78"/>
      <c r="L12" s="78"/>
      <c r="M12" s="78"/>
      <c r="N12" s="78"/>
      <c r="O12" s="78"/>
      <c r="P12" s="78"/>
      <c r="Q12" s="78"/>
      <c r="R12" s="78"/>
      <c r="S12" s="996"/>
      <c r="T12" s="16"/>
      <c r="U12" s="78"/>
      <c r="V12" s="78"/>
      <c r="W12" s="78"/>
      <c r="X12" s="78"/>
      <c r="Y12" s="78"/>
      <c r="Z12" s="78"/>
      <c r="AA12" s="78"/>
      <c r="AB12" s="78"/>
      <c r="AC12" s="78"/>
      <c r="AD12" s="78"/>
      <c r="AE12" s="78"/>
      <c r="AF12" s="78"/>
      <c r="AG12" s="78"/>
      <c r="AH12" s="345"/>
      <c r="AI12" s="665"/>
    </row>
    <row r="13" spans="1:48" ht="15.6">
      <c r="A13" s="992"/>
      <c r="B13" s="993"/>
      <c r="C13" s="994"/>
      <c r="D13" s="995"/>
      <c r="E13" s="16"/>
      <c r="F13" s="664"/>
      <c r="G13" s="664"/>
      <c r="H13" s="664"/>
      <c r="I13" s="664"/>
      <c r="J13" s="664"/>
      <c r="K13" s="664"/>
      <c r="L13" s="664"/>
      <c r="M13" s="664"/>
      <c r="N13" s="664"/>
      <c r="O13" s="664"/>
      <c r="P13" s="664"/>
      <c r="Q13" s="664"/>
      <c r="R13" s="664"/>
      <c r="S13" s="996"/>
      <c r="T13" s="16"/>
      <c r="U13" s="664"/>
      <c r="V13" s="664"/>
      <c r="W13" s="664"/>
      <c r="X13" s="664"/>
      <c r="Y13" s="664"/>
      <c r="Z13" s="664"/>
      <c r="AA13" s="664"/>
      <c r="AB13" s="664"/>
      <c r="AC13" s="664"/>
      <c r="AD13" s="664"/>
      <c r="AE13" s="664"/>
      <c r="AF13" s="664"/>
      <c r="AG13" s="664"/>
      <c r="AH13" s="345"/>
      <c r="AI13" s="665"/>
    </row>
    <row r="14" spans="1:48" ht="15.6">
      <c r="A14" s="992"/>
      <c r="B14" s="993"/>
      <c r="C14" s="994"/>
      <c r="D14" s="995"/>
      <c r="E14" s="16"/>
      <c r="F14" s="534"/>
      <c r="G14" s="534"/>
      <c r="H14" s="534"/>
      <c r="I14" s="534"/>
      <c r="J14" s="534"/>
      <c r="K14" s="534"/>
      <c r="L14" s="534"/>
      <c r="M14" s="534"/>
      <c r="N14" s="534"/>
      <c r="O14" s="534"/>
      <c r="P14" s="534"/>
      <c r="Q14" s="534"/>
      <c r="R14" s="534"/>
      <c r="S14" s="996"/>
      <c r="T14" s="16"/>
      <c r="U14" s="534"/>
      <c r="V14" s="534"/>
      <c r="W14" s="534"/>
      <c r="X14" s="534"/>
      <c r="Y14" s="534"/>
      <c r="Z14" s="534"/>
      <c r="AA14" s="534"/>
      <c r="AB14" s="534"/>
      <c r="AC14" s="534"/>
      <c r="AD14" s="534"/>
      <c r="AE14" s="534"/>
      <c r="AF14" s="534"/>
      <c r="AG14" s="534"/>
      <c r="AH14" s="345"/>
      <c r="AI14" s="665"/>
    </row>
    <row r="15" spans="1:48" ht="15.6">
      <c r="A15" s="992"/>
      <c r="B15" s="993"/>
      <c r="C15" s="994"/>
      <c r="D15" s="995"/>
      <c r="E15" s="16"/>
      <c r="F15" s="534"/>
      <c r="G15" s="534"/>
      <c r="H15" s="534"/>
      <c r="I15" s="534"/>
      <c r="J15" s="534"/>
      <c r="K15" s="534"/>
      <c r="L15" s="534"/>
      <c r="M15" s="534"/>
      <c r="N15" s="534"/>
      <c r="O15" s="534"/>
      <c r="P15" s="534"/>
      <c r="Q15" s="534"/>
      <c r="R15" s="534"/>
      <c r="S15" s="996"/>
      <c r="T15" s="16"/>
      <c r="U15" s="534"/>
      <c r="V15" s="534"/>
      <c r="W15" s="534"/>
      <c r="X15" s="534"/>
      <c r="Y15" s="534"/>
      <c r="Z15" s="534"/>
      <c r="AA15" s="534"/>
      <c r="AB15" s="534"/>
      <c r="AC15" s="534"/>
      <c r="AD15" s="534"/>
      <c r="AE15" s="534"/>
      <c r="AF15" s="534"/>
      <c r="AG15" s="534"/>
      <c r="AH15" s="345"/>
      <c r="AI15" s="665"/>
    </row>
    <row r="16" spans="1:48">
      <c r="A16" s="347"/>
      <c r="B16" s="343"/>
      <c r="C16" s="343"/>
      <c r="D16" s="343"/>
      <c r="E16" s="343"/>
      <c r="F16" s="343"/>
      <c r="G16" s="343"/>
      <c r="H16" s="343"/>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6"/>
    </row>
    <row r="17" spans="1:35">
      <c r="A17" s="347"/>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6"/>
    </row>
    <row r="18" spans="1:35" ht="15.6" customHeight="1">
      <c r="A18" s="347"/>
      <c r="B18" s="343"/>
      <c r="C18" s="343"/>
      <c r="D18" s="343"/>
      <c r="E18" s="343"/>
      <c r="F18" s="343"/>
      <c r="G18" s="343"/>
      <c r="H18" s="343"/>
      <c r="I18" s="343"/>
      <c r="J18" s="343"/>
      <c r="K18" s="343"/>
      <c r="L18" s="343"/>
      <c r="M18" s="343"/>
      <c r="N18" s="343"/>
      <c r="O18" s="343"/>
      <c r="P18" s="343"/>
      <c r="Q18" s="343"/>
      <c r="R18" s="343"/>
      <c r="S18" s="343"/>
      <c r="T18" s="343"/>
      <c r="U18" s="681"/>
      <c r="V18" s="343"/>
      <c r="W18" s="343"/>
      <c r="X18" s="958"/>
      <c r="Y18" s="958"/>
      <c r="Z18" s="958"/>
      <c r="AA18" s="958"/>
      <c r="AB18" s="958"/>
      <c r="AC18" s="343"/>
      <c r="AD18" s="343"/>
      <c r="AE18" s="343"/>
      <c r="AF18" s="343"/>
      <c r="AG18" s="343"/>
      <c r="AH18" s="343"/>
      <c r="AI18" s="346"/>
    </row>
    <row r="19" spans="1:35" ht="15.6">
      <c r="A19" s="347"/>
      <c r="B19" s="343"/>
      <c r="C19" s="343"/>
      <c r="D19" s="343"/>
      <c r="E19" s="343"/>
      <c r="F19" s="343"/>
      <c r="G19" s="343"/>
      <c r="H19" s="343"/>
      <c r="I19" s="343"/>
      <c r="J19" s="343"/>
      <c r="K19" s="343"/>
      <c r="L19" s="343"/>
      <c r="M19" s="343"/>
      <c r="N19" s="343"/>
      <c r="O19" s="343"/>
      <c r="P19" s="343"/>
      <c r="Q19" s="343"/>
      <c r="R19" s="343"/>
      <c r="S19" s="343"/>
      <c r="T19" s="343"/>
      <c r="U19" s="343"/>
      <c r="V19" s="343"/>
      <c r="W19" s="343"/>
      <c r="X19" s="958"/>
      <c r="Y19" s="958"/>
      <c r="Z19" s="958"/>
      <c r="AA19" s="958"/>
      <c r="AB19" s="958"/>
      <c r="AC19" s="343"/>
      <c r="AD19" s="343"/>
      <c r="AE19" s="343"/>
      <c r="AF19" s="343"/>
      <c r="AG19" s="343"/>
      <c r="AH19" s="343"/>
      <c r="AI19" s="346"/>
    </row>
    <row r="20" spans="1:35" ht="15.6">
      <c r="A20" s="347"/>
      <c r="B20" s="343"/>
      <c r="C20" s="343"/>
      <c r="D20" s="343"/>
      <c r="E20" s="343"/>
      <c r="F20" s="343"/>
      <c r="G20" s="343"/>
      <c r="H20" s="343"/>
      <c r="I20" s="343"/>
      <c r="J20" s="343"/>
      <c r="K20" s="343"/>
      <c r="L20" s="343"/>
      <c r="M20" s="343"/>
      <c r="N20" s="343"/>
      <c r="O20" s="343"/>
      <c r="P20" s="343"/>
      <c r="Q20" s="343"/>
      <c r="R20" s="343"/>
      <c r="S20" s="343"/>
      <c r="T20" s="343"/>
      <c r="U20" s="343"/>
      <c r="V20" s="343"/>
      <c r="W20" s="343"/>
      <c r="X20" s="958"/>
      <c r="Y20" s="958"/>
      <c r="Z20" s="958"/>
      <c r="AA20" s="958"/>
      <c r="AB20" s="958"/>
      <c r="AC20" s="343"/>
      <c r="AD20" s="343"/>
      <c r="AE20" s="343"/>
      <c r="AF20" s="343"/>
      <c r="AG20" s="343"/>
      <c r="AH20" s="343"/>
      <c r="AI20" s="346"/>
    </row>
    <row r="21" spans="1:35" ht="15.6">
      <c r="A21" s="347"/>
      <c r="B21" s="343"/>
      <c r="C21" s="343"/>
      <c r="D21" s="343"/>
      <c r="E21" s="343"/>
      <c r="F21" s="343"/>
      <c r="G21" s="343"/>
      <c r="H21" s="343"/>
      <c r="I21" s="343"/>
      <c r="J21" s="343"/>
      <c r="K21" s="343"/>
      <c r="L21" s="343"/>
      <c r="M21" s="343"/>
      <c r="N21" s="343"/>
      <c r="O21" s="343"/>
      <c r="P21" s="343"/>
      <c r="Q21" s="343"/>
      <c r="R21" s="343"/>
      <c r="S21" s="343"/>
      <c r="T21" s="343"/>
      <c r="U21" s="343"/>
      <c r="V21" s="343"/>
      <c r="W21" s="343"/>
      <c r="X21" s="958"/>
      <c r="Y21" s="958"/>
      <c r="Z21" s="958"/>
      <c r="AA21" s="958"/>
      <c r="AB21" s="958"/>
      <c r="AC21" s="343"/>
      <c r="AD21" s="343"/>
      <c r="AE21" s="343"/>
      <c r="AF21" s="343"/>
      <c r="AG21" s="343"/>
      <c r="AH21" s="343"/>
      <c r="AI21" s="346"/>
    </row>
    <row r="22" spans="1:35">
      <c r="A22" s="347"/>
      <c r="B22" s="343"/>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6"/>
    </row>
    <row r="23" spans="1:35">
      <c r="A23" s="347"/>
      <c r="B23" s="343"/>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6"/>
    </row>
    <row r="24" spans="1:35">
      <c r="A24" s="347"/>
      <c r="B24" s="343"/>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6"/>
    </row>
    <row r="25" spans="1:35">
      <c r="A25" s="347"/>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6"/>
    </row>
    <row r="26" spans="1:35">
      <c r="A26" s="347"/>
      <c r="B26" s="343"/>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6"/>
    </row>
    <row r="27" spans="1:35">
      <c r="A27" s="347"/>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6"/>
    </row>
    <row r="28" spans="1:35">
      <c r="A28" s="348"/>
      <c r="B28" s="349"/>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50"/>
    </row>
    <row r="30" spans="1:35" ht="15.6">
      <c r="A30" s="8" t="s">
        <v>268</v>
      </c>
      <c r="B30" s="8"/>
      <c r="C30" s="8"/>
      <c r="S30" s="38"/>
      <c r="T30" s="8" t="s">
        <v>268</v>
      </c>
      <c r="U30" s="8"/>
    </row>
    <row r="31" spans="1:35" ht="15.75" customHeight="1">
      <c r="A31" s="39"/>
      <c r="B31" s="8" t="s">
        <v>225</v>
      </c>
      <c r="C31" s="8" t="s">
        <v>931</v>
      </c>
      <c r="D31" s="8"/>
      <c r="E31" s="8"/>
      <c r="F31" s="8"/>
      <c r="G31" s="8"/>
      <c r="H31" s="8"/>
      <c r="I31" s="8"/>
      <c r="J31" s="8"/>
      <c r="K31" s="8"/>
      <c r="M31" s="8" t="s">
        <v>636</v>
      </c>
      <c r="O31" s="370"/>
      <c r="S31" s="39"/>
      <c r="T31" s="661" t="s">
        <v>239</v>
      </c>
      <c r="U31" s="8" t="s">
        <v>563</v>
      </c>
      <c r="AA31" s="669" t="s">
        <v>636</v>
      </c>
    </row>
  </sheetData>
  <customSheetViews>
    <customSheetView guid="{B991F324-919F-4749-8E3C-A09B2FA7BB10}" scale="60" showPageBreaks="1" printArea="1" view="pageBreakPreview">
      <selection activeCell="C15" sqref="C15"/>
      <colBreaks count="1" manualBreakCount="1">
        <brk id="19" max="27" man="1"/>
      </colBreaks>
      <pageMargins left="0.7" right="0.7" top="0.75" bottom="0.75" header="0.3" footer="0.3"/>
      <pageSetup scale="36" orientation="landscape" r:id="rId1"/>
    </customSheetView>
    <customSheetView guid="{901B528B-D65D-48CA-A638-FD9B4E5BB6D4}" scale="60" showPageBreaks="1" printArea="1" view="pageBreakPreview">
      <selection activeCell="C15" sqref="C15"/>
      <colBreaks count="1" manualBreakCount="1">
        <brk id="19" max="27" man="1"/>
      </colBreaks>
      <pageMargins left="0.7" right="0.7" top="0.75" bottom="0.75" header="0.3" footer="0.3"/>
      <pageSetup scale="36" orientation="landscape" r:id="rId2"/>
    </customSheetView>
    <customSheetView guid="{0DE222E8-ADD6-4F4B-9601-960D8109381F}" scale="60" showPageBreaks="1" printArea="1" view="pageBreakPreview">
      <selection activeCell="A3" sqref="A3"/>
      <colBreaks count="1" manualBreakCount="1">
        <brk id="19" max="27" man="1"/>
      </colBreaks>
      <pageMargins left="0.7" right="0.7" top="0.75" bottom="0.75" header="0.3" footer="0.3"/>
      <pageSetup scale="36" orientation="landscape" r:id="rId3"/>
    </customSheetView>
  </customSheetViews>
  <mergeCells count="4">
    <mergeCell ref="T1:AE1"/>
    <mergeCell ref="T2:AE2"/>
    <mergeCell ref="A1:N1"/>
    <mergeCell ref="A2:N2"/>
  </mergeCells>
  <pageMargins left="0.7" right="0.7" top="0.75" bottom="0.75" header="0.3" footer="0.3"/>
  <pageSetup scale="36" orientation="landscape" r:id="rId4"/>
  <colBreaks count="1" manualBreakCount="1">
    <brk id="19" max="27"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M237"/>
  <sheetViews>
    <sheetView view="pageBreakPreview" zoomScale="60" zoomScaleNormal="70" workbookViewId="0">
      <selection activeCell="B35" sqref="B35"/>
    </sheetView>
  </sheetViews>
  <sheetFormatPr defaultColWidth="8.90625" defaultRowHeight="15"/>
  <cols>
    <col min="1" max="1" width="6" style="394" customWidth="1"/>
    <col min="2" max="2" width="3.36328125" style="394" customWidth="1"/>
    <col min="3" max="3" width="39.08984375" style="394" customWidth="1"/>
    <col min="4" max="4" width="12" style="394" customWidth="1"/>
    <col min="5" max="5" width="14.453125" style="394" customWidth="1"/>
    <col min="6" max="6" width="13.1796875" style="394" customWidth="1"/>
    <col min="7" max="7" width="14.08984375" style="394" customWidth="1"/>
    <col min="8" max="8" width="13.90625" style="394" customWidth="1"/>
    <col min="9" max="9" width="13.36328125" style="394" customWidth="1"/>
    <col min="10" max="10" width="13.08984375" style="394" customWidth="1"/>
    <col min="11" max="11" width="13.54296875" style="394" customWidth="1"/>
    <col min="12" max="12" width="15.36328125" style="394" customWidth="1"/>
    <col min="13" max="13" width="1.54296875" style="394" customWidth="1"/>
    <col min="14" max="16384" width="8.90625" style="394"/>
  </cols>
  <sheetData>
    <row r="1" spans="1:13">
      <c r="M1" s="421" t="str">
        <f>'Attachment H-11A '!K1&amp;""&amp;", Attachment 12"</f>
        <v>Attachment H -11A, Attachment 12</v>
      </c>
    </row>
    <row r="2" spans="1:13" ht="14.4" customHeight="1">
      <c r="L2" s="1209"/>
      <c r="M2" s="421" t="s">
        <v>188</v>
      </c>
    </row>
    <row r="3" spans="1:13">
      <c r="M3" s="421" t="str">
        <f>'Attachment H-11A '!K4</f>
        <v>For the 12 months ended 12/31/2022</v>
      </c>
    </row>
    <row r="4" spans="1:13">
      <c r="A4" s="398"/>
      <c r="G4" s="406"/>
    </row>
    <row r="5" spans="1:13">
      <c r="A5" s="398"/>
      <c r="C5" s="404"/>
      <c r="D5" s="404"/>
    </row>
    <row r="6" spans="1:13">
      <c r="A6" s="398"/>
      <c r="C6" s="404"/>
      <c r="D6" s="404"/>
      <c r="L6" s="406"/>
    </row>
    <row r="7" spans="1:13" ht="14.25" customHeight="1">
      <c r="A7" s="398"/>
    </row>
    <row r="8" spans="1:13" ht="15.6">
      <c r="A8" s="1363" t="s">
        <v>634</v>
      </c>
      <c r="B8" s="1363"/>
      <c r="C8" s="1363"/>
      <c r="D8" s="1363"/>
      <c r="E8" s="1363"/>
      <c r="F8" s="1363"/>
      <c r="G8" s="1363"/>
      <c r="H8" s="1363"/>
      <c r="I8" s="1363"/>
      <c r="J8" s="1363"/>
      <c r="K8" s="1363"/>
      <c r="L8" s="1363"/>
    </row>
    <row r="9" spans="1:13">
      <c r="A9" s="1364" t="s">
        <v>562</v>
      </c>
      <c r="B9" s="1369"/>
      <c r="C9" s="1369"/>
      <c r="D9" s="1369"/>
      <c r="E9" s="1369"/>
      <c r="F9" s="1369"/>
      <c r="G9" s="1369"/>
      <c r="H9" s="1369"/>
      <c r="I9" s="1369"/>
      <c r="J9" s="1369"/>
      <c r="K9" s="1369"/>
      <c r="L9" s="1369"/>
    </row>
    <row r="10" spans="1:13" ht="15.6">
      <c r="A10" s="398"/>
      <c r="E10" s="409"/>
      <c r="H10" s="399"/>
      <c r="I10" s="399"/>
      <c r="J10" s="399"/>
      <c r="K10" s="399"/>
      <c r="L10" s="399"/>
    </row>
    <row r="11" spans="1:13" ht="15.6">
      <c r="A11" s="398"/>
      <c r="E11" s="409"/>
      <c r="F11" s="409"/>
      <c r="H11" s="399"/>
      <c r="I11" s="399"/>
      <c r="J11" s="399"/>
      <c r="K11" s="399"/>
      <c r="L11" s="399"/>
    </row>
    <row r="12" spans="1:13" ht="15.6">
      <c r="A12" s="398"/>
      <c r="C12" s="422" t="s">
        <v>258</v>
      </c>
      <c r="D12" s="422" t="s">
        <v>259</v>
      </c>
      <c r="E12" s="422" t="s">
        <v>260</v>
      </c>
      <c r="F12" s="422" t="s">
        <v>261</v>
      </c>
      <c r="G12" s="422" t="s">
        <v>262</v>
      </c>
      <c r="H12" s="422" t="s">
        <v>263</v>
      </c>
      <c r="I12" s="422" t="s">
        <v>264</v>
      </c>
      <c r="J12" s="422" t="s">
        <v>265</v>
      </c>
      <c r="K12" s="422" t="s">
        <v>266</v>
      </c>
      <c r="L12" s="422" t="s">
        <v>267</v>
      </c>
      <c r="M12" s="422"/>
    </row>
    <row r="13" spans="1:13" s="454" customFormat="1" ht="80.099999999999994" customHeight="1">
      <c r="A13" s="423" t="s">
        <v>179</v>
      </c>
      <c r="B13" s="452"/>
      <c r="C13" s="426" t="s">
        <v>180</v>
      </c>
      <c r="D13" s="426" t="s">
        <v>195</v>
      </c>
      <c r="E13" s="427" t="s">
        <v>569</v>
      </c>
      <c r="F13" s="427" t="s">
        <v>255</v>
      </c>
      <c r="G13" s="426" t="s">
        <v>479</v>
      </c>
      <c r="H13" s="426" t="s">
        <v>480</v>
      </c>
      <c r="I13" s="427" t="s">
        <v>256</v>
      </c>
      <c r="J13" s="427" t="s">
        <v>609</v>
      </c>
      <c r="K13" s="426" t="s">
        <v>610</v>
      </c>
      <c r="L13" s="427" t="s">
        <v>905</v>
      </c>
      <c r="M13" s="453"/>
    </row>
    <row r="14" spans="1:13" ht="66.75" customHeight="1">
      <c r="A14" s="430"/>
      <c r="B14" s="431"/>
      <c r="C14" s="431"/>
      <c r="D14" s="431"/>
      <c r="E14" s="455" t="s">
        <v>811</v>
      </c>
      <c r="F14" s="455" t="s">
        <v>887</v>
      </c>
      <c r="G14" s="455" t="s">
        <v>638</v>
      </c>
      <c r="H14" s="455" t="s">
        <v>481</v>
      </c>
      <c r="I14" s="455" t="s">
        <v>888</v>
      </c>
      <c r="J14" s="432" t="s">
        <v>955</v>
      </c>
      <c r="K14" s="455" t="s">
        <v>956</v>
      </c>
      <c r="L14" s="455" t="s">
        <v>490</v>
      </c>
      <c r="M14" s="456"/>
    </row>
    <row r="15" spans="1:13">
      <c r="A15" s="457">
        <v>1</v>
      </c>
      <c r="B15" s="399" t="s">
        <v>225</v>
      </c>
      <c r="C15" s="399" t="s">
        <v>488</v>
      </c>
      <c r="D15" s="399"/>
      <c r="E15" s="458">
        <f>'Attachment 13b - PJM Billings'!L37</f>
        <v>0</v>
      </c>
      <c r="F15" s="459"/>
      <c r="G15" s="459"/>
      <c r="H15" s="460"/>
      <c r="I15" s="459"/>
      <c r="J15" s="459"/>
      <c r="K15" s="459"/>
      <c r="L15" s="459"/>
      <c r="M15" s="461"/>
    </row>
    <row r="16" spans="1:13">
      <c r="A16" s="462"/>
      <c r="B16" s="399"/>
      <c r="C16" s="399"/>
      <c r="D16" s="399"/>
      <c r="E16" s="399"/>
      <c r="F16" s="399"/>
      <c r="G16" s="399"/>
      <c r="H16" s="399"/>
      <c r="I16" s="399"/>
      <c r="J16" s="399"/>
      <c r="K16" s="399"/>
      <c r="L16" s="399"/>
      <c r="M16" s="463"/>
    </row>
    <row r="17" spans="1:13">
      <c r="A17" s="529" t="s">
        <v>482</v>
      </c>
      <c r="B17" s="415"/>
      <c r="C17" s="545" t="s">
        <v>155</v>
      </c>
      <c r="D17" s="437"/>
      <c r="E17" s="446"/>
      <c r="F17" s="464"/>
      <c r="G17" s="446">
        <f>IF($F$34=0,0,F17/$F$34)</f>
        <v>0</v>
      </c>
      <c r="H17" s="446">
        <f>IF($E$15=0,0,$E$15*G17)</f>
        <v>0</v>
      </c>
      <c r="I17" s="464"/>
      <c r="J17" s="446">
        <f>H17-I17</f>
        <v>0</v>
      </c>
      <c r="K17" s="465" t="e">
        <f>J17/$J$34*$L$36</f>
        <v>#DIV/0!</v>
      </c>
      <c r="L17" s="446" t="e">
        <f>J17+K17</f>
        <v>#DIV/0!</v>
      </c>
      <c r="M17" s="466"/>
    </row>
    <row r="18" spans="1:13">
      <c r="A18" s="529" t="s">
        <v>483</v>
      </c>
      <c r="B18" s="415"/>
      <c r="C18" s="545" t="s">
        <v>156</v>
      </c>
      <c r="D18" s="437"/>
      <c r="E18" s="446"/>
      <c r="F18" s="464"/>
      <c r="G18" s="446">
        <f t="shared" ref="G18:G19" si="0">IF($F$34=0,0,F18/$F$34)</f>
        <v>0</v>
      </c>
      <c r="H18" s="446">
        <f>IF($E$15=0,0,$E$15*G18)</f>
        <v>0</v>
      </c>
      <c r="I18" s="464"/>
      <c r="J18" s="446">
        <f t="shared" ref="J18:J19" si="1">H18-I18</f>
        <v>0</v>
      </c>
      <c r="K18" s="465" t="e">
        <f>J18/$J$34*$L$36</f>
        <v>#DIV/0!</v>
      </c>
      <c r="L18" s="446" t="e">
        <f t="shared" ref="L18:L19" si="2">J18+K18</f>
        <v>#DIV/0!</v>
      </c>
      <c r="M18" s="466"/>
    </row>
    <row r="19" spans="1:13">
      <c r="A19" s="529" t="s">
        <v>484</v>
      </c>
      <c r="B19" s="415"/>
      <c r="C19" s="545" t="s">
        <v>157</v>
      </c>
      <c r="D19" s="437"/>
      <c r="E19" s="446"/>
      <c r="F19" s="464"/>
      <c r="G19" s="446">
        <f t="shared" si="0"/>
        <v>0</v>
      </c>
      <c r="H19" s="446">
        <f>IF($E$15=0,0,$E$15*G19)</f>
        <v>0</v>
      </c>
      <c r="I19" s="464"/>
      <c r="J19" s="446">
        <f t="shared" si="1"/>
        <v>0</v>
      </c>
      <c r="K19" s="465" t="e">
        <f>J19/$J$34*$L$36</f>
        <v>#DIV/0!</v>
      </c>
      <c r="L19" s="446" t="e">
        <f t="shared" si="2"/>
        <v>#DIV/0!</v>
      </c>
      <c r="M19" s="466"/>
    </row>
    <row r="20" spans="1:13">
      <c r="A20" s="401"/>
      <c r="D20" s="437"/>
      <c r="E20" s="446"/>
      <c r="F20" s="446"/>
      <c r="G20" s="446"/>
      <c r="H20" s="446"/>
      <c r="I20" s="446"/>
      <c r="J20" s="446"/>
      <c r="K20" s="446"/>
      <c r="L20" s="446"/>
      <c r="M20" s="466"/>
    </row>
    <row r="21" spans="1:13">
      <c r="A21" s="401"/>
      <c r="E21" s="446"/>
      <c r="F21" s="446"/>
      <c r="G21" s="446"/>
      <c r="H21" s="446"/>
      <c r="I21" s="446"/>
      <c r="J21" s="446"/>
      <c r="K21" s="446"/>
      <c r="L21" s="446"/>
      <c r="M21" s="466"/>
    </row>
    <row r="22" spans="1:13">
      <c r="A22" s="401"/>
      <c r="C22" s="272"/>
      <c r="D22" s="272"/>
      <c r="E22" s="271"/>
      <c r="F22" s="271"/>
      <c r="G22" s="271"/>
      <c r="H22" s="271"/>
      <c r="I22" s="271"/>
      <c r="J22" s="271"/>
      <c r="K22" s="271"/>
      <c r="L22" s="271"/>
      <c r="M22" s="467"/>
    </row>
    <row r="23" spans="1:13">
      <c r="A23" s="401"/>
      <c r="C23" s="272"/>
      <c r="D23" s="272"/>
      <c r="E23" s="271"/>
      <c r="F23" s="271"/>
      <c r="G23" s="271"/>
      <c r="H23" s="271"/>
      <c r="I23" s="271"/>
      <c r="J23" s="271"/>
      <c r="K23" s="271"/>
      <c r="L23" s="271"/>
      <c r="M23" s="467"/>
    </row>
    <row r="24" spans="1:13">
      <c r="A24" s="401"/>
      <c r="C24" s="272"/>
      <c r="D24" s="272"/>
      <c r="E24" s="271"/>
      <c r="F24" s="271"/>
      <c r="G24" s="271"/>
      <c r="H24" s="271"/>
      <c r="I24" s="271"/>
      <c r="J24" s="271"/>
      <c r="K24" s="271"/>
      <c r="L24" s="271"/>
      <c r="M24" s="467"/>
    </row>
    <row r="25" spans="1:13">
      <c r="A25" s="401"/>
      <c r="C25" s="272"/>
      <c r="D25" s="272"/>
      <c r="E25" s="271"/>
      <c r="F25" s="271"/>
      <c r="G25" s="271"/>
      <c r="H25" s="271"/>
      <c r="I25" s="271"/>
      <c r="J25" s="271"/>
      <c r="K25" s="271"/>
      <c r="L25" s="271"/>
      <c r="M25" s="467"/>
    </row>
    <row r="26" spans="1:13">
      <c r="A26" s="401"/>
      <c r="C26" s="272"/>
      <c r="D26" s="272"/>
      <c r="E26" s="271"/>
      <c r="F26" s="271"/>
      <c r="G26" s="271"/>
      <c r="H26" s="271"/>
      <c r="I26" s="271"/>
      <c r="J26" s="271"/>
      <c r="K26" s="271"/>
      <c r="L26" s="271"/>
      <c r="M26" s="467"/>
    </row>
    <row r="27" spans="1:13">
      <c r="A27" s="401"/>
      <c r="C27" s="272"/>
      <c r="D27" s="272"/>
      <c r="E27" s="271"/>
      <c r="F27" s="271"/>
      <c r="G27" s="271"/>
      <c r="H27" s="271"/>
      <c r="I27" s="271"/>
      <c r="J27" s="271"/>
      <c r="K27" s="271"/>
      <c r="L27" s="271"/>
      <c r="M27" s="467"/>
    </row>
    <row r="28" spans="1:13">
      <c r="A28" s="401"/>
      <c r="C28" s="272"/>
      <c r="D28" s="272"/>
      <c r="E28" s="271"/>
      <c r="F28" s="271"/>
      <c r="G28" s="271"/>
      <c r="H28" s="271"/>
      <c r="I28" s="271"/>
      <c r="J28" s="271"/>
      <c r="K28" s="271"/>
      <c r="L28" s="271"/>
      <c r="M28" s="467"/>
    </row>
    <row r="29" spans="1:13">
      <c r="A29" s="401"/>
      <c r="C29" s="272"/>
      <c r="D29" s="272"/>
      <c r="E29" s="271"/>
      <c r="F29" s="271"/>
      <c r="G29" s="271"/>
      <c r="H29" s="271"/>
      <c r="I29" s="271"/>
      <c r="J29" s="271"/>
      <c r="K29" s="271"/>
      <c r="L29" s="271"/>
      <c r="M29" s="467"/>
    </row>
    <row r="30" spans="1:13">
      <c r="A30" s="401"/>
      <c r="C30" s="272"/>
      <c r="D30" s="272"/>
      <c r="E30" s="271"/>
      <c r="F30" s="271"/>
      <c r="G30" s="271"/>
      <c r="H30" s="271"/>
      <c r="I30" s="271"/>
      <c r="J30" s="271"/>
      <c r="K30" s="271"/>
      <c r="L30" s="271"/>
      <c r="M30" s="467"/>
    </row>
    <row r="31" spans="1:13">
      <c r="A31" s="401"/>
      <c r="C31" s="272"/>
      <c r="D31" s="272"/>
      <c r="E31" s="271"/>
      <c r="F31" s="271"/>
      <c r="G31" s="271"/>
      <c r="H31" s="271"/>
      <c r="I31" s="271"/>
      <c r="J31" s="271"/>
      <c r="K31" s="271"/>
      <c r="L31" s="271"/>
      <c r="M31" s="467"/>
    </row>
    <row r="32" spans="1:13">
      <c r="A32" s="401"/>
      <c r="C32" s="272"/>
      <c r="D32" s="272"/>
      <c r="E32" s="271"/>
      <c r="F32" s="271"/>
      <c r="G32" s="271"/>
      <c r="H32" s="271"/>
      <c r="I32" s="271"/>
      <c r="J32" s="271"/>
      <c r="K32" s="271"/>
      <c r="L32" s="271"/>
      <c r="M32" s="467"/>
    </row>
    <row r="33" spans="1:13">
      <c r="A33" s="443"/>
      <c r="B33" s="420"/>
      <c r="C33" s="444"/>
      <c r="D33" s="444"/>
      <c r="E33" s="468"/>
      <c r="F33" s="468"/>
      <c r="G33" s="468"/>
      <c r="H33" s="468"/>
      <c r="I33" s="468"/>
      <c r="J33" s="468"/>
      <c r="K33" s="468"/>
      <c r="L33" s="468"/>
      <c r="M33" s="469"/>
    </row>
    <row r="34" spans="1:13">
      <c r="A34" s="403" t="s">
        <v>211</v>
      </c>
      <c r="B34" s="470"/>
      <c r="C34" s="394" t="s">
        <v>257</v>
      </c>
      <c r="D34" s="404"/>
      <c r="E34" s="415"/>
      <c r="F34" s="471">
        <f>SUM(F17:F33)</f>
        <v>0</v>
      </c>
      <c r="G34" s="471"/>
      <c r="H34" s="471"/>
      <c r="I34" s="471">
        <f>SUM(I17:I33)</f>
        <v>0</v>
      </c>
      <c r="J34" s="471">
        <f>SUM(J17:J33)</f>
        <v>0</v>
      </c>
      <c r="K34" s="446"/>
      <c r="L34" s="446" t="e">
        <f>SUM(L17:L33)</f>
        <v>#DIV/0!</v>
      </c>
      <c r="M34" s="446"/>
    </row>
    <row r="35" spans="1:13">
      <c r="A35" s="272"/>
      <c r="B35" s="272"/>
      <c r="E35" s="272"/>
    </row>
    <row r="36" spans="1:13">
      <c r="A36" s="403" t="s">
        <v>212</v>
      </c>
      <c r="B36" s="272"/>
      <c r="C36" s="394" t="s">
        <v>613</v>
      </c>
      <c r="E36" s="272"/>
      <c r="J36" s="446"/>
      <c r="L36" s="446">
        <f>'Attach 13a-TEC Rev Req True up'!H53</f>
        <v>0</v>
      </c>
      <c r="M36" s="446"/>
    </row>
    <row r="37" spans="1:13">
      <c r="A37" s="450"/>
      <c r="B37" s="272"/>
      <c r="E37" s="272"/>
    </row>
    <row r="38" spans="1:13">
      <c r="A38" s="272" t="s">
        <v>268</v>
      </c>
      <c r="B38" s="272"/>
      <c r="C38" s="272"/>
      <c r="D38" s="272"/>
      <c r="E38" s="272"/>
      <c r="F38" s="272"/>
      <c r="G38" s="272"/>
      <c r="H38" s="272"/>
      <c r="I38" s="272"/>
      <c r="J38" s="272"/>
      <c r="K38" s="272"/>
      <c r="L38" s="272"/>
      <c r="M38" s="272"/>
    </row>
    <row r="39" spans="1:13">
      <c r="A39" s="448"/>
      <c r="B39" s="272" t="s">
        <v>225</v>
      </c>
      <c r="C39" s="272" t="s">
        <v>478</v>
      </c>
      <c r="D39" s="272"/>
      <c r="E39" s="272"/>
      <c r="F39" s="272"/>
      <c r="G39" s="272"/>
      <c r="H39" s="272"/>
      <c r="I39" s="272"/>
      <c r="J39" s="272"/>
      <c r="K39" s="272"/>
      <c r="L39" s="272"/>
      <c r="M39" s="272"/>
    </row>
    <row r="40" spans="1:13">
      <c r="A40" s="472"/>
      <c r="C40" s="403"/>
      <c r="D40" s="403"/>
      <c r="E40" s="415"/>
      <c r="F40" s="415"/>
      <c r="G40" s="406"/>
      <c r="J40" s="451"/>
    </row>
    <row r="41" spans="1:13">
      <c r="A41" s="472"/>
      <c r="C41" s="403"/>
      <c r="D41" s="403"/>
      <c r="E41" s="415"/>
      <c r="F41" s="415"/>
      <c r="G41" s="406"/>
      <c r="J41" s="451"/>
    </row>
    <row r="42" spans="1:13">
      <c r="C42" s="272"/>
      <c r="D42" s="272"/>
      <c r="E42" s="272"/>
      <c r="F42" s="272"/>
      <c r="G42" s="272"/>
      <c r="H42" s="272"/>
      <c r="I42" s="272"/>
      <c r="J42" s="272"/>
      <c r="K42" s="272"/>
      <c r="L42" s="272"/>
    </row>
    <row r="43" spans="1:13">
      <c r="C43" s="272"/>
      <c r="D43" s="272"/>
      <c r="E43" s="272"/>
      <c r="F43" s="272"/>
      <c r="G43" s="272"/>
      <c r="H43" s="272"/>
      <c r="I43" s="272"/>
      <c r="J43" s="272"/>
      <c r="K43" s="272"/>
      <c r="L43" s="272"/>
    </row>
    <row r="44" spans="1:13">
      <c r="C44" s="272"/>
      <c r="D44" s="272"/>
      <c r="E44" s="272"/>
      <c r="F44" s="272"/>
      <c r="G44" s="272"/>
      <c r="H44" s="272"/>
      <c r="I44" s="272"/>
      <c r="J44" s="272"/>
      <c r="K44" s="272"/>
      <c r="L44" s="272"/>
    </row>
    <row r="45" spans="1:13">
      <c r="C45" s="272"/>
      <c r="D45" s="272"/>
      <c r="E45" s="272"/>
      <c r="F45" s="272"/>
      <c r="G45" s="272"/>
      <c r="H45" s="272"/>
      <c r="I45" s="272"/>
      <c r="J45" s="272"/>
      <c r="K45" s="272"/>
      <c r="L45" s="272"/>
    </row>
    <row r="46" spans="1:13">
      <c r="C46" s="272"/>
      <c r="D46" s="272"/>
      <c r="E46" s="272"/>
      <c r="F46" s="272"/>
      <c r="G46" s="272"/>
      <c r="H46" s="272"/>
      <c r="I46" s="272"/>
      <c r="J46" s="272"/>
      <c r="K46" s="272"/>
      <c r="L46" s="272"/>
    </row>
    <row r="47" spans="1:13">
      <c r="C47" s="272"/>
      <c r="D47" s="272"/>
      <c r="E47" s="272"/>
      <c r="F47" s="272"/>
      <c r="G47" s="272"/>
      <c r="H47" s="272"/>
      <c r="I47" s="272"/>
      <c r="J47" s="272"/>
      <c r="K47" s="272"/>
      <c r="L47" s="272"/>
    </row>
    <row r="48" spans="1:13">
      <c r="C48" s="272"/>
      <c r="D48" s="272"/>
      <c r="E48" s="272"/>
      <c r="F48" s="272"/>
      <c r="G48" s="272"/>
      <c r="H48" s="272"/>
      <c r="I48" s="272"/>
      <c r="J48" s="272"/>
      <c r="K48" s="272"/>
      <c r="L48" s="272"/>
    </row>
    <row r="49" spans="3:12">
      <c r="C49" s="272"/>
      <c r="D49" s="272"/>
      <c r="E49" s="272"/>
      <c r="F49" s="272"/>
      <c r="G49" s="272"/>
      <c r="H49" s="272"/>
      <c r="I49" s="272"/>
      <c r="J49" s="272"/>
      <c r="K49" s="272"/>
      <c r="L49" s="272"/>
    </row>
    <row r="50" spans="3:12">
      <c r="C50" s="272"/>
      <c r="D50" s="272"/>
      <c r="E50" s="272"/>
      <c r="F50" s="272"/>
      <c r="G50" s="272"/>
      <c r="H50" s="272"/>
      <c r="I50" s="272"/>
      <c r="J50" s="272"/>
      <c r="K50" s="272"/>
      <c r="L50" s="272"/>
    </row>
    <row r="51" spans="3:12">
      <c r="C51" s="272"/>
      <c r="D51" s="272"/>
      <c r="E51" s="272"/>
      <c r="F51" s="272"/>
      <c r="G51" s="272"/>
      <c r="H51" s="272"/>
      <c r="I51" s="272"/>
      <c r="J51" s="272"/>
      <c r="K51" s="272"/>
      <c r="L51" s="272"/>
    </row>
    <row r="52" spans="3:12">
      <c r="C52" s="272"/>
      <c r="D52" s="272"/>
      <c r="E52" s="272"/>
      <c r="F52" s="272"/>
      <c r="G52" s="272"/>
      <c r="H52" s="272"/>
      <c r="I52" s="272"/>
      <c r="J52" s="272"/>
      <c r="K52" s="272"/>
      <c r="L52" s="272"/>
    </row>
    <row r="53" spans="3:12">
      <c r="C53" s="272"/>
      <c r="D53" s="272"/>
      <c r="E53" s="272"/>
      <c r="F53" s="272"/>
      <c r="G53" s="272"/>
      <c r="H53" s="272"/>
      <c r="I53" s="272"/>
      <c r="J53" s="272"/>
      <c r="K53" s="272"/>
      <c r="L53" s="272"/>
    </row>
    <row r="54" spans="3:12">
      <c r="C54" s="272"/>
      <c r="D54" s="272"/>
      <c r="E54" s="272"/>
      <c r="F54" s="272"/>
      <c r="G54" s="272"/>
      <c r="H54" s="272"/>
      <c r="I54" s="272"/>
      <c r="J54" s="272"/>
      <c r="K54" s="272"/>
      <c r="L54" s="272"/>
    </row>
    <row r="55" spans="3:12">
      <c r="C55" s="272"/>
      <c r="D55" s="272"/>
      <c r="E55" s="272"/>
      <c r="F55" s="272"/>
      <c r="G55" s="272"/>
      <c r="H55" s="272"/>
      <c r="I55" s="272"/>
      <c r="J55" s="272"/>
      <c r="K55" s="272"/>
      <c r="L55" s="272"/>
    </row>
    <row r="56" spans="3:12">
      <c r="C56" s="272"/>
      <c r="D56" s="272"/>
      <c r="E56" s="272"/>
      <c r="F56" s="272"/>
      <c r="G56" s="272"/>
      <c r="H56" s="272"/>
      <c r="I56" s="272"/>
      <c r="J56" s="272"/>
      <c r="K56" s="272"/>
      <c r="L56" s="272"/>
    </row>
    <row r="57" spans="3:12">
      <c r="C57" s="272"/>
      <c r="D57" s="272"/>
      <c r="E57" s="272"/>
      <c r="F57" s="272"/>
      <c r="G57" s="272"/>
      <c r="H57" s="272"/>
      <c r="I57" s="272"/>
      <c r="J57" s="272"/>
      <c r="K57" s="272"/>
      <c r="L57" s="272"/>
    </row>
    <row r="58" spans="3:12">
      <c r="C58" s="272"/>
      <c r="D58" s="272"/>
      <c r="E58" s="272"/>
      <c r="F58" s="272"/>
      <c r="G58" s="272"/>
      <c r="H58" s="272"/>
      <c r="I58" s="272"/>
      <c r="J58" s="272"/>
      <c r="K58" s="272"/>
      <c r="L58" s="272"/>
    </row>
    <row r="59" spans="3:12">
      <c r="C59" s="272"/>
      <c r="D59" s="272"/>
      <c r="E59" s="272"/>
      <c r="F59" s="272"/>
      <c r="G59" s="272"/>
      <c r="H59" s="272"/>
      <c r="I59" s="272"/>
      <c r="J59" s="272"/>
      <c r="K59" s="272"/>
      <c r="L59" s="272"/>
    </row>
    <row r="60" spans="3:12">
      <c r="C60" s="272"/>
      <c r="D60" s="272"/>
      <c r="E60" s="272"/>
      <c r="F60" s="272"/>
      <c r="G60" s="272"/>
      <c r="H60" s="272"/>
      <c r="I60" s="272"/>
      <c r="J60" s="272"/>
      <c r="K60" s="272"/>
      <c r="L60" s="272"/>
    </row>
    <row r="61" spans="3:12">
      <c r="C61" s="272"/>
      <c r="D61" s="272"/>
      <c r="E61" s="272"/>
      <c r="F61" s="272"/>
      <c r="G61" s="272"/>
      <c r="H61" s="272"/>
      <c r="I61" s="272"/>
      <c r="J61" s="272"/>
      <c r="K61" s="272"/>
      <c r="L61" s="272"/>
    </row>
    <row r="62" spans="3:12">
      <c r="C62" s="272"/>
      <c r="D62" s="272"/>
      <c r="E62" s="272"/>
      <c r="F62" s="272"/>
      <c r="G62" s="272"/>
      <c r="H62" s="272"/>
      <c r="I62" s="272"/>
      <c r="J62" s="272"/>
      <c r="K62" s="272"/>
      <c r="L62" s="272"/>
    </row>
    <row r="63" spans="3:12">
      <c r="C63" s="272"/>
      <c r="D63" s="272"/>
      <c r="E63" s="272"/>
      <c r="F63" s="272"/>
      <c r="G63" s="272"/>
      <c r="H63" s="272"/>
      <c r="I63" s="272"/>
      <c r="J63" s="272"/>
      <c r="K63" s="272"/>
      <c r="L63" s="272"/>
    </row>
    <row r="64" spans="3:12">
      <c r="C64" s="272"/>
      <c r="D64" s="272"/>
      <c r="E64" s="272"/>
      <c r="F64" s="272"/>
      <c r="G64" s="272"/>
      <c r="H64" s="272"/>
      <c r="I64" s="272"/>
      <c r="J64" s="272"/>
      <c r="K64" s="272"/>
      <c r="L64" s="272"/>
    </row>
    <row r="65" spans="3:12">
      <c r="C65" s="272"/>
      <c r="D65" s="272"/>
      <c r="E65" s="272"/>
      <c r="F65" s="272"/>
      <c r="G65" s="272"/>
      <c r="H65" s="272"/>
      <c r="I65" s="272"/>
      <c r="J65" s="272"/>
      <c r="K65" s="272"/>
      <c r="L65" s="272"/>
    </row>
    <row r="66" spans="3:12">
      <c r="C66" s="272"/>
      <c r="D66" s="272"/>
      <c r="E66" s="272"/>
      <c r="F66" s="272"/>
      <c r="G66" s="272"/>
      <c r="H66" s="272"/>
      <c r="I66" s="272"/>
      <c r="J66" s="272"/>
      <c r="K66" s="272"/>
      <c r="L66" s="272"/>
    </row>
    <row r="67" spans="3:12">
      <c r="C67" s="272"/>
      <c r="D67" s="272"/>
      <c r="E67" s="272"/>
      <c r="F67" s="272"/>
      <c r="G67" s="272"/>
      <c r="H67" s="272"/>
      <c r="I67" s="272"/>
      <c r="J67" s="272"/>
      <c r="K67" s="272"/>
      <c r="L67" s="272"/>
    </row>
    <row r="68" spans="3:12">
      <c r="C68" s="272"/>
      <c r="D68" s="272"/>
      <c r="E68" s="272"/>
      <c r="F68" s="272"/>
      <c r="G68" s="272"/>
      <c r="H68" s="272"/>
      <c r="I68" s="272"/>
      <c r="J68" s="272"/>
      <c r="K68" s="272"/>
      <c r="L68" s="272"/>
    </row>
    <row r="69" spans="3:12">
      <c r="C69" s="272"/>
      <c r="D69" s="272"/>
      <c r="E69" s="272"/>
      <c r="F69" s="272"/>
      <c r="G69" s="272"/>
      <c r="H69" s="272"/>
      <c r="I69" s="272"/>
      <c r="J69" s="272"/>
      <c r="K69" s="272"/>
      <c r="L69" s="272"/>
    </row>
    <row r="70" spans="3:12">
      <c r="C70" s="272"/>
      <c r="D70" s="272"/>
      <c r="E70" s="272"/>
      <c r="F70" s="272"/>
      <c r="G70" s="272"/>
      <c r="H70" s="272"/>
      <c r="I70" s="272"/>
      <c r="J70" s="272"/>
      <c r="K70" s="272"/>
      <c r="L70" s="272"/>
    </row>
    <row r="71" spans="3:12">
      <c r="C71" s="272"/>
      <c r="D71" s="272"/>
      <c r="E71" s="272"/>
      <c r="F71" s="272"/>
      <c r="G71" s="272"/>
      <c r="H71" s="272"/>
      <c r="I71" s="272"/>
      <c r="J71" s="272"/>
      <c r="K71" s="272"/>
      <c r="L71" s="272"/>
    </row>
    <row r="72" spans="3:12">
      <c r="C72" s="272"/>
      <c r="D72" s="272"/>
      <c r="E72" s="272"/>
      <c r="F72" s="272"/>
      <c r="G72" s="272"/>
      <c r="H72" s="272"/>
      <c r="I72" s="272"/>
      <c r="J72" s="272"/>
      <c r="K72" s="272"/>
      <c r="L72" s="272"/>
    </row>
    <row r="73" spans="3:12">
      <c r="C73" s="272"/>
      <c r="D73" s="272"/>
      <c r="E73" s="272"/>
      <c r="F73" s="272"/>
      <c r="G73" s="272"/>
      <c r="H73" s="272"/>
      <c r="I73" s="272"/>
      <c r="J73" s="272"/>
      <c r="K73" s="272"/>
      <c r="L73" s="272"/>
    </row>
    <row r="74" spans="3:12">
      <c r="C74" s="272"/>
      <c r="D74" s="272"/>
      <c r="E74" s="272"/>
      <c r="F74" s="272"/>
      <c r="G74" s="272"/>
      <c r="H74" s="272"/>
      <c r="I74" s="272"/>
      <c r="J74" s="272"/>
      <c r="K74" s="272"/>
      <c r="L74" s="272"/>
    </row>
    <row r="75" spans="3:12">
      <c r="C75" s="272"/>
      <c r="D75" s="272"/>
      <c r="E75" s="272"/>
      <c r="F75" s="272"/>
      <c r="G75" s="272"/>
      <c r="H75" s="272"/>
      <c r="I75" s="272"/>
      <c r="J75" s="272"/>
      <c r="K75" s="272"/>
      <c r="L75" s="272"/>
    </row>
    <row r="76" spans="3:12">
      <c r="C76" s="272"/>
      <c r="D76" s="272"/>
      <c r="E76" s="272"/>
      <c r="F76" s="272"/>
      <c r="G76" s="272"/>
      <c r="H76" s="272"/>
      <c r="I76" s="272"/>
      <c r="J76" s="272"/>
      <c r="K76" s="272"/>
      <c r="L76" s="272"/>
    </row>
    <row r="77" spans="3:12">
      <c r="C77" s="272"/>
      <c r="D77" s="272"/>
      <c r="E77" s="272"/>
      <c r="F77" s="272"/>
      <c r="G77" s="272"/>
      <c r="H77" s="272"/>
      <c r="I77" s="272"/>
      <c r="J77" s="272"/>
      <c r="K77" s="272"/>
      <c r="L77" s="272"/>
    </row>
    <row r="78" spans="3:12">
      <c r="C78" s="272"/>
      <c r="D78" s="272"/>
      <c r="E78" s="272"/>
      <c r="F78" s="272"/>
      <c r="G78" s="272"/>
      <c r="H78" s="272"/>
      <c r="I78" s="272"/>
      <c r="J78" s="272"/>
      <c r="K78" s="272"/>
      <c r="L78" s="272"/>
    </row>
    <row r="79" spans="3:12">
      <c r="C79" s="272"/>
      <c r="D79" s="272"/>
      <c r="E79" s="272"/>
      <c r="F79" s="272"/>
      <c r="G79" s="272"/>
      <c r="H79" s="272"/>
      <c r="I79" s="272"/>
      <c r="J79" s="272"/>
      <c r="K79" s="272"/>
      <c r="L79" s="272"/>
    </row>
    <row r="80" spans="3:12">
      <c r="C80" s="272"/>
      <c r="D80" s="272"/>
      <c r="E80" s="272"/>
      <c r="F80" s="272"/>
      <c r="G80" s="272"/>
      <c r="H80" s="272"/>
      <c r="I80" s="272"/>
      <c r="J80" s="272"/>
      <c r="K80" s="272"/>
      <c r="L80" s="272"/>
    </row>
    <row r="81" spans="3:12">
      <c r="C81" s="272"/>
      <c r="D81" s="272"/>
      <c r="E81" s="272"/>
      <c r="F81" s="272"/>
      <c r="G81" s="272"/>
      <c r="H81" s="272"/>
      <c r="I81" s="272"/>
      <c r="J81" s="272"/>
      <c r="K81" s="272"/>
      <c r="L81" s="272"/>
    </row>
    <row r="82" spans="3:12">
      <c r="C82" s="272"/>
      <c r="D82" s="272"/>
      <c r="E82" s="272"/>
      <c r="F82" s="272"/>
      <c r="G82" s="272"/>
      <c r="H82" s="272"/>
      <c r="I82" s="272"/>
      <c r="J82" s="272"/>
      <c r="K82" s="272"/>
      <c r="L82" s="272"/>
    </row>
    <row r="83" spans="3:12">
      <c r="C83" s="272"/>
      <c r="D83" s="272"/>
      <c r="E83" s="272"/>
      <c r="F83" s="272"/>
      <c r="G83" s="272"/>
      <c r="H83" s="272"/>
      <c r="I83" s="272"/>
      <c r="J83" s="272"/>
      <c r="K83" s="272"/>
      <c r="L83" s="272"/>
    </row>
    <row r="84" spans="3:12">
      <c r="C84" s="272"/>
      <c r="D84" s="272"/>
      <c r="E84" s="272"/>
      <c r="F84" s="272"/>
      <c r="G84" s="272"/>
      <c r="H84" s="272"/>
      <c r="I84" s="272"/>
      <c r="J84" s="272"/>
      <c r="K84" s="272"/>
      <c r="L84" s="272"/>
    </row>
    <row r="85" spans="3:12">
      <c r="C85" s="272"/>
      <c r="D85" s="272"/>
      <c r="E85" s="272"/>
      <c r="F85" s="272"/>
      <c r="G85" s="272"/>
      <c r="H85" s="272"/>
      <c r="I85" s="272"/>
      <c r="J85" s="272"/>
      <c r="K85" s="272"/>
      <c r="L85" s="272"/>
    </row>
    <row r="86" spans="3:12">
      <c r="C86" s="272"/>
      <c r="D86" s="272"/>
      <c r="E86" s="272"/>
      <c r="F86" s="272"/>
      <c r="G86" s="272"/>
      <c r="H86" s="272"/>
      <c r="I86" s="272"/>
      <c r="J86" s="272"/>
      <c r="K86" s="272"/>
      <c r="L86" s="272"/>
    </row>
    <row r="87" spans="3:12">
      <c r="C87" s="272"/>
      <c r="D87" s="272"/>
      <c r="E87" s="272"/>
      <c r="F87" s="272"/>
      <c r="G87" s="272"/>
      <c r="H87" s="272"/>
      <c r="I87" s="272"/>
      <c r="J87" s="272"/>
      <c r="K87" s="272"/>
      <c r="L87" s="272"/>
    </row>
    <row r="88" spans="3:12">
      <c r="C88" s="272"/>
      <c r="D88" s="272"/>
      <c r="E88" s="272"/>
      <c r="F88" s="272"/>
      <c r="G88" s="272"/>
      <c r="H88" s="272"/>
      <c r="I88" s="272"/>
      <c r="J88" s="272"/>
      <c r="K88" s="272"/>
      <c r="L88" s="272"/>
    </row>
    <row r="89" spans="3:12">
      <c r="C89" s="272"/>
      <c r="D89" s="272"/>
      <c r="E89" s="272"/>
      <c r="F89" s="272"/>
      <c r="G89" s="272"/>
      <c r="H89" s="272"/>
      <c r="I89" s="272"/>
      <c r="J89" s="272"/>
      <c r="K89" s="272"/>
      <c r="L89" s="272"/>
    </row>
    <row r="90" spans="3:12">
      <c r="C90" s="272"/>
      <c r="D90" s="272"/>
      <c r="E90" s="272"/>
      <c r="F90" s="272"/>
      <c r="G90" s="272"/>
      <c r="H90" s="272"/>
      <c r="I90" s="272"/>
      <c r="J90" s="272"/>
      <c r="K90" s="272"/>
      <c r="L90" s="272"/>
    </row>
    <row r="91" spans="3:12">
      <c r="C91" s="272"/>
      <c r="D91" s="272"/>
      <c r="E91" s="272"/>
      <c r="F91" s="272"/>
      <c r="G91" s="272"/>
      <c r="H91" s="272"/>
      <c r="I91" s="272"/>
      <c r="J91" s="272"/>
      <c r="K91" s="272"/>
      <c r="L91" s="272"/>
    </row>
    <row r="92" spans="3:12">
      <c r="C92" s="272"/>
      <c r="D92" s="272"/>
      <c r="E92" s="272"/>
      <c r="F92" s="272"/>
      <c r="G92" s="272"/>
      <c r="H92" s="272"/>
      <c r="I92" s="272"/>
      <c r="J92" s="272"/>
      <c r="K92" s="272"/>
      <c r="L92" s="272"/>
    </row>
    <row r="93" spans="3:12">
      <c r="C93" s="272"/>
      <c r="D93" s="272"/>
      <c r="E93" s="272"/>
      <c r="F93" s="272"/>
      <c r="G93" s="272"/>
      <c r="H93" s="272"/>
      <c r="I93" s="272"/>
      <c r="J93" s="272"/>
      <c r="K93" s="272"/>
      <c r="L93" s="272"/>
    </row>
    <row r="94" spans="3:12">
      <c r="C94" s="272"/>
      <c r="D94" s="272"/>
      <c r="E94" s="272"/>
      <c r="F94" s="272"/>
      <c r="G94" s="272"/>
      <c r="H94" s="272"/>
      <c r="I94" s="272"/>
      <c r="J94" s="272"/>
      <c r="K94" s="272"/>
      <c r="L94" s="272"/>
    </row>
    <row r="95" spans="3:12">
      <c r="C95" s="272"/>
      <c r="D95" s="272"/>
      <c r="E95" s="272"/>
      <c r="F95" s="272"/>
      <c r="G95" s="272"/>
      <c r="H95" s="272"/>
      <c r="I95" s="272"/>
      <c r="J95" s="272"/>
      <c r="K95" s="272"/>
      <c r="L95" s="272"/>
    </row>
    <row r="96" spans="3:12">
      <c r="C96" s="272"/>
      <c r="D96" s="272"/>
      <c r="E96" s="272"/>
      <c r="F96" s="272"/>
      <c r="G96" s="272"/>
      <c r="H96" s="272"/>
      <c r="I96" s="272"/>
      <c r="J96" s="272"/>
      <c r="K96" s="272"/>
      <c r="L96" s="272"/>
    </row>
    <row r="97" spans="3:12">
      <c r="C97" s="272"/>
      <c r="D97" s="272"/>
      <c r="E97" s="272"/>
      <c r="F97" s="272"/>
      <c r="G97" s="272"/>
      <c r="H97" s="272"/>
      <c r="I97" s="272"/>
      <c r="J97" s="272"/>
      <c r="K97" s="272"/>
      <c r="L97" s="272"/>
    </row>
    <row r="98" spans="3:12">
      <c r="C98" s="272"/>
      <c r="D98" s="272"/>
      <c r="E98" s="272"/>
      <c r="F98" s="272"/>
      <c r="G98" s="272"/>
      <c r="H98" s="272"/>
      <c r="I98" s="272"/>
      <c r="J98" s="272"/>
      <c r="K98" s="272"/>
      <c r="L98" s="272"/>
    </row>
    <row r="99" spans="3:12">
      <c r="C99" s="272"/>
      <c r="D99" s="272"/>
      <c r="E99" s="272"/>
      <c r="F99" s="272"/>
      <c r="G99" s="272"/>
      <c r="H99" s="272"/>
      <c r="I99" s="272"/>
      <c r="J99" s="272"/>
      <c r="K99" s="272"/>
      <c r="L99" s="272"/>
    </row>
    <row r="100" spans="3:12">
      <c r="C100" s="272"/>
      <c r="D100" s="272"/>
      <c r="E100" s="272"/>
      <c r="F100" s="272"/>
      <c r="G100" s="272"/>
      <c r="H100" s="272"/>
      <c r="I100" s="272"/>
      <c r="J100" s="272"/>
      <c r="K100" s="272"/>
      <c r="L100" s="272"/>
    </row>
    <row r="101" spans="3:12">
      <c r="C101" s="272"/>
      <c r="D101" s="272"/>
      <c r="E101" s="272"/>
      <c r="F101" s="272"/>
      <c r="G101" s="272"/>
      <c r="H101" s="272"/>
      <c r="I101" s="272"/>
      <c r="J101" s="272"/>
      <c r="K101" s="272"/>
      <c r="L101" s="272"/>
    </row>
    <row r="102" spans="3:12">
      <c r="C102" s="272"/>
      <c r="D102" s="272"/>
      <c r="E102" s="272"/>
      <c r="F102" s="272"/>
      <c r="G102" s="272"/>
      <c r="H102" s="272"/>
      <c r="I102" s="272"/>
      <c r="J102" s="272"/>
      <c r="K102" s="272"/>
      <c r="L102" s="272"/>
    </row>
    <row r="103" spans="3:12">
      <c r="C103" s="272"/>
      <c r="D103" s="272"/>
      <c r="E103" s="272"/>
      <c r="F103" s="272"/>
      <c r="G103" s="272"/>
      <c r="H103" s="272"/>
      <c r="I103" s="272"/>
      <c r="J103" s="272"/>
      <c r="K103" s="272"/>
      <c r="L103" s="272"/>
    </row>
    <row r="104" spans="3:12">
      <c r="C104" s="272"/>
      <c r="D104" s="272"/>
      <c r="E104" s="272"/>
      <c r="F104" s="272"/>
      <c r="G104" s="272"/>
      <c r="H104" s="272"/>
      <c r="I104" s="272"/>
      <c r="J104" s="272"/>
      <c r="K104" s="272"/>
      <c r="L104" s="272"/>
    </row>
    <row r="105" spans="3:12">
      <c r="C105" s="272"/>
      <c r="D105" s="272"/>
      <c r="E105" s="272"/>
      <c r="F105" s="272"/>
      <c r="G105" s="272"/>
      <c r="H105" s="272"/>
      <c r="I105" s="272"/>
      <c r="J105" s="272"/>
      <c r="K105" s="272"/>
      <c r="L105" s="272"/>
    </row>
    <row r="106" spans="3:12">
      <c r="C106" s="272"/>
      <c r="D106" s="272"/>
      <c r="E106" s="272"/>
      <c r="F106" s="272"/>
      <c r="G106" s="272"/>
      <c r="H106" s="272"/>
      <c r="I106" s="272"/>
      <c r="J106" s="272"/>
      <c r="K106" s="272"/>
      <c r="L106" s="272"/>
    </row>
    <row r="107" spans="3:12">
      <c r="C107" s="272"/>
      <c r="D107" s="272"/>
      <c r="E107" s="272"/>
      <c r="F107" s="272"/>
      <c r="G107" s="272"/>
      <c r="H107" s="272"/>
      <c r="I107" s="272"/>
      <c r="J107" s="272"/>
      <c r="K107" s="272"/>
      <c r="L107" s="272"/>
    </row>
    <row r="108" spans="3:12">
      <c r="C108" s="272"/>
      <c r="D108" s="272"/>
      <c r="E108" s="272"/>
      <c r="F108" s="272"/>
      <c r="G108" s="272"/>
      <c r="H108" s="272"/>
      <c r="I108" s="272"/>
      <c r="J108" s="272"/>
      <c r="K108" s="272"/>
      <c r="L108" s="272"/>
    </row>
    <row r="109" spans="3:12">
      <c r="C109" s="272"/>
      <c r="D109" s="272"/>
      <c r="E109" s="272"/>
      <c r="F109" s="272"/>
      <c r="G109" s="272"/>
      <c r="H109" s="272"/>
      <c r="I109" s="272"/>
      <c r="J109" s="272"/>
      <c r="K109" s="272"/>
      <c r="L109" s="272"/>
    </row>
    <row r="110" spans="3:12">
      <c r="C110" s="272"/>
      <c r="D110" s="272"/>
      <c r="E110" s="272"/>
      <c r="F110" s="272"/>
      <c r="G110" s="272"/>
      <c r="H110" s="272"/>
      <c r="I110" s="272"/>
      <c r="J110" s="272"/>
      <c r="K110" s="272"/>
      <c r="L110" s="272"/>
    </row>
    <row r="111" spans="3:12">
      <c r="C111" s="272"/>
      <c r="D111" s="272"/>
      <c r="E111" s="272"/>
      <c r="F111" s="272"/>
      <c r="G111" s="272"/>
      <c r="H111" s="272"/>
      <c r="I111" s="272"/>
      <c r="J111" s="272"/>
      <c r="K111" s="272"/>
      <c r="L111" s="272"/>
    </row>
    <row r="112" spans="3:12">
      <c r="C112" s="272"/>
      <c r="D112" s="272"/>
      <c r="E112" s="272"/>
      <c r="F112" s="272"/>
      <c r="G112" s="272"/>
      <c r="H112" s="272"/>
      <c r="I112" s="272"/>
      <c r="J112" s="272"/>
      <c r="K112" s="272"/>
      <c r="L112" s="272"/>
    </row>
    <row r="113" spans="3:12">
      <c r="C113" s="272"/>
      <c r="D113" s="272"/>
      <c r="E113" s="272"/>
      <c r="F113" s="272"/>
      <c r="G113" s="272"/>
      <c r="H113" s="272"/>
      <c r="I113" s="272"/>
      <c r="J113" s="272"/>
      <c r="K113" s="272"/>
      <c r="L113" s="272"/>
    </row>
    <row r="114" spans="3:12">
      <c r="C114" s="272"/>
      <c r="D114" s="272"/>
      <c r="E114" s="272"/>
      <c r="F114" s="272"/>
      <c r="G114" s="272"/>
      <c r="H114" s="272"/>
      <c r="I114" s="272"/>
      <c r="J114" s="272"/>
      <c r="K114" s="272"/>
      <c r="L114" s="272"/>
    </row>
    <row r="115" spans="3:12">
      <c r="C115" s="272"/>
      <c r="D115" s="272"/>
      <c r="E115" s="272"/>
      <c r="F115" s="272"/>
      <c r="G115" s="272"/>
      <c r="H115" s="272"/>
      <c r="I115" s="272"/>
      <c r="J115" s="272"/>
      <c r="K115" s="272"/>
      <c r="L115" s="272"/>
    </row>
    <row r="116" spans="3:12">
      <c r="C116" s="272"/>
      <c r="D116" s="272"/>
      <c r="E116" s="272"/>
      <c r="F116" s="272"/>
      <c r="G116" s="272"/>
      <c r="H116" s="272"/>
      <c r="I116" s="272"/>
      <c r="J116" s="272"/>
      <c r="K116" s="272"/>
      <c r="L116" s="272"/>
    </row>
    <row r="117" spans="3:12">
      <c r="C117" s="272"/>
      <c r="D117" s="272"/>
      <c r="E117" s="272"/>
      <c r="F117" s="272"/>
      <c r="G117" s="272"/>
      <c r="H117" s="272"/>
      <c r="I117" s="272"/>
      <c r="J117" s="272"/>
      <c r="K117" s="272"/>
      <c r="L117" s="272"/>
    </row>
    <row r="118" spans="3:12">
      <c r="C118" s="272"/>
      <c r="D118" s="272"/>
      <c r="E118" s="272"/>
      <c r="F118" s="272"/>
      <c r="G118" s="272"/>
      <c r="H118" s="272"/>
      <c r="I118" s="272"/>
      <c r="J118" s="272"/>
      <c r="K118" s="272"/>
      <c r="L118" s="272"/>
    </row>
    <row r="119" spans="3:12">
      <c r="C119" s="272"/>
      <c r="D119" s="272"/>
      <c r="E119" s="272"/>
      <c r="F119" s="272"/>
      <c r="G119" s="272"/>
      <c r="H119" s="272"/>
      <c r="I119" s="272"/>
      <c r="J119" s="272"/>
      <c r="K119" s="272"/>
      <c r="L119" s="272"/>
    </row>
    <row r="120" spans="3:12">
      <c r="C120" s="272"/>
      <c r="D120" s="272"/>
      <c r="E120" s="272"/>
      <c r="F120" s="272"/>
      <c r="G120" s="272"/>
      <c r="H120" s="272"/>
      <c r="I120" s="272"/>
      <c r="J120" s="272"/>
      <c r="K120" s="272"/>
      <c r="L120" s="272"/>
    </row>
    <row r="121" spans="3:12">
      <c r="C121" s="272"/>
      <c r="D121" s="272"/>
      <c r="E121" s="272"/>
      <c r="F121" s="272"/>
      <c r="G121" s="272"/>
      <c r="H121" s="272"/>
      <c r="I121" s="272"/>
      <c r="J121" s="272"/>
      <c r="K121" s="272"/>
      <c r="L121" s="272"/>
    </row>
    <row r="122" spans="3:12">
      <c r="C122" s="272"/>
      <c r="D122" s="272"/>
      <c r="E122" s="272"/>
      <c r="F122" s="272"/>
      <c r="G122" s="272"/>
      <c r="H122" s="272"/>
      <c r="I122" s="272"/>
      <c r="J122" s="272"/>
      <c r="K122" s="272"/>
      <c r="L122" s="272"/>
    </row>
    <row r="123" spans="3:12">
      <c r="C123" s="272"/>
      <c r="D123" s="272"/>
      <c r="E123" s="272"/>
      <c r="F123" s="272"/>
      <c r="G123" s="272"/>
      <c r="H123" s="272"/>
      <c r="I123" s="272"/>
      <c r="J123" s="272"/>
      <c r="K123" s="272"/>
      <c r="L123" s="272"/>
    </row>
    <row r="124" spans="3:12">
      <c r="C124" s="272"/>
      <c r="D124" s="272"/>
      <c r="E124" s="272"/>
      <c r="F124" s="272"/>
      <c r="G124" s="272"/>
      <c r="H124" s="272"/>
      <c r="I124" s="272"/>
      <c r="J124" s="272"/>
      <c r="K124" s="272"/>
      <c r="L124" s="272"/>
    </row>
    <row r="125" spans="3:12">
      <c r="C125" s="272"/>
      <c r="D125" s="272"/>
      <c r="E125" s="272"/>
      <c r="F125" s="272"/>
      <c r="G125" s="272"/>
      <c r="H125" s="272"/>
      <c r="I125" s="272"/>
      <c r="J125" s="272"/>
      <c r="K125" s="272"/>
      <c r="L125" s="272"/>
    </row>
    <row r="126" spans="3:12">
      <c r="C126" s="272"/>
      <c r="D126" s="272"/>
      <c r="E126" s="272"/>
      <c r="F126" s="272"/>
      <c r="G126" s="272"/>
      <c r="H126" s="272"/>
      <c r="I126" s="272"/>
      <c r="J126" s="272"/>
      <c r="K126" s="272"/>
      <c r="L126" s="272"/>
    </row>
    <row r="127" spans="3:12">
      <c r="C127" s="272"/>
      <c r="D127" s="272"/>
      <c r="E127" s="272"/>
      <c r="F127" s="272"/>
      <c r="G127" s="272"/>
      <c r="H127" s="272"/>
      <c r="I127" s="272"/>
      <c r="J127" s="272"/>
      <c r="K127" s="272"/>
      <c r="L127" s="272"/>
    </row>
    <row r="128" spans="3:12">
      <c r="C128" s="272"/>
      <c r="D128" s="272"/>
      <c r="E128" s="272"/>
      <c r="F128" s="272"/>
      <c r="G128" s="272"/>
      <c r="H128" s="272"/>
      <c r="I128" s="272"/>
      <c r="J128" s="272"/>
      <c r="K128" s="272"/>
      <c r="L128" s="272"/>
    </row>
    <row r="129" spans="3:12">
      <c r="C129" s="272"/>
      <c r="D129" s="272"/>
      <c r="E129" s="272"/>
      <c r="F129" s="272"/>
      <c r="G129" s="272"/>
      <c r="H129" s="272"/>
      <c r="I129" s="272"/>
      <c r="J129" s="272"/>
      <c r="K129" s="272"/>
      <c r="L129" s="272"/>
    </row>
    <row r="130" spans="3:12">
      <c r="C130" s="272"/>
      <c r="D130" s="272"/>
      <c r="E130" s="272"/>
      <c r="F130" s="272"/>
      <c r="G130" s="272"/>
      <c r="H130" s="272"/>
      <c r="I130" s="272"/>
      <c r="J130" s="272"/>
      <c r="K130" s="272"/>
      <c r="L130" s="272"/>
    </row>
    <row r="131" spans="3:12">
      <c r="C131" s="272"/>
      <c r="D131" s="272"/>
      <c r="E131" s="272"/>
      <c r="F131" s="272"/>
      <c r="G131" s="272"/>
      <c r="H131" s="272"/>
      <c r="I131" s="272"/>
      <c r="J131" s="272"/>
      <c r="K131" s="272"/>
      <c r="L131" s="272"/>
    </row>
    <row r="132" spans="3:12">
      <c r="C132" s="272"/>
      <c r="D132" s="272"/>
      <c r="E132" s="272"/>
      <c r="F132" s="272"/>
      <c r="G132" s="272"/>
      <c r="H132" s="272"/>
      <c r="I132" s="272"/>
      <c r="J132" s="272"/>
      <c r="K132" s="272"/>
      <c r="L132" s="272"/>
    </row>
    <row r="133" spans="3:12">
      <c r="C133" s="272"/>
      <c r="D133" s="272"/>
      <c r="E133" s="272"/>
      <c r="F133" s="272"/>
      <c r="G133" s="272"/>
      <c r="H133" s="272"/>
      <c r="I133" s="272"/>
      <c r="J133" s="272"/>
      <c r="K133" s="272"/>
      <c r="L133" s="272"/>
    </row>
    <row r="134" spans="3:12">
      <c r="C134" s="272"/>
      <c r="D134" s="272"/>
      <c r="E134" s="272"/>
      <c r="F134" s="272"/>
      <c r="G134" s="272"/>
      <c r="H134" s="272"/>
      <c r="I134" s="272"/>
      <c r="J134" s="272"/>
      <c r="K134" s="272"/>
      <c r="L134" s="272"/>
    </row>
    <row r="135" spans="3:12">
      <c r="C135" s="272"/>
      <c r="D135" s="272"/>
      <c r="E135" s="272"/>
      <c r="F135" s="272"/>
      <c r="G135" s="272"/>
      <c r="H135" s="272"/>
      <c r="I135" s="272"/>
      <c r="J135" s="272"/>
      <c r="K135" s="272"/>
      <c r="L135" s="272"/>
    </row>
    <row r="136" spans="3:12">
      <c r="C136" s="272"/>
      <c r="D136" s="272"/>
      <c r="E136" s="272"/>
      <c r="F136" s="272"/>
      <c r="G136" s="272"/>
      <c r="H136" s="272"/>
      <c r="I136" s="272"/>
      <c r="J136" s="272"/>
      <c r="K136" s="272"/>
      <c r="L136" s="272"/>
    </row>
    <row r="137" spans="3:12">
      <c r="C137" s="272"/>
      <c r="D137" s="272"/>
      <c r="E137" s="272"/>
      <c r="F137" s="272"/>
      <c r="G137" s="272"/>
      <c r="H137" s="272"/>
      <c r="I137" s="272"/>
      <c r="J137" s="272"/>
      <c r="K137" s="272"/>
      <c r="L137" s="272"/>
    </row>
    <row r="138" spans="3:12">
      <c r="C138" s="272"/>
      <c r="D138" s="272"/>
      <c r="E138" s="272"/>
      <c r="F138" s="272"/>
      <c r="G138" s="272"/>
      <c r="H138" s="272"/>
      <c r="I138" s="272"/>
      <c r="J138" s="272"/>
      <c r="K138" s="272"/>
      <c r="L138" s="272"/>
    </row>
    <row r="139" spans="3:12">
      <c r="C139" s="272"/>
      <c r="D139" s="272"/>
      <c r="E139" s="272"/>
      <c r="F139" s="272"/>
      <c r="G139" s="272"/>
      <c r="H139" s="272"/>
      <c r="I139" s="272"/>
      <c r="J139" s="272"/>
      <c r="K139" s="272"/>
      <c r="L139" s="272"/>
    </row>
    <row r="140" spans="3:12">
      <c r="C140" s="272"/>
      <c r="D140" s="272"/>
      <c r="E140" s="272"/>
      <c r="F140" s="272"/>
      <c r="G140" s="272"/>
      <c r="H140" s="272"/>
      <c r="I140" s="272"/>
      <c r="J140" s="272"/>
      <c r="K140" s="272"/>
      <c r="L140" s="272"/>
    </row>
    <row r="141" spans="3:12">
      <c r="C141" s="272"/>
      <c r="D141" s="272"/>
      <c r="E141" s="272"/>
      <c r="F141" s="272"/>
      <c r="G141" s="272"/>
      <c r="H141" s="272"/>
      <c r="I141" s="272"/>
      <c r="J141" s="272"/>
      <c r="K141" s="272"/>
      <c r="L141" s="272"/>
    </row>
    <row r="142" spans="3:12">
      <c r="C142" s="272"/>
      <c r="D142" s="272"/>
      <c r="E142" s="272"/>
      <c r="F142" s="272"/>
      <c r="G142" s="272"/>
      <c r="H142" s="272"/>
      <c r="I142" s="272"/>
      <c r="J142" s="272"/>
      <c r="K142" s="272"/>
      <c r="L142" s="272"/>
    </row>
    <row r="143" spans="3:12">
      <c r="C143" s="272"/>
      <c r="D143" s="272"/>
      <c r="E143" s="272"/>
      <c r="F143" s="272"/>
      <c r="G143" s="272"/>
      <c r="H143" s="272"/>
      <c r="I143" s="272"/>
      <c r="J143" s="272"/>
      <c r="K143" s="272"/>
      <c r="L143" s="272"/>
    </row>
    <row r="144" spans="3:12">
      <c r="C144" s="272"/>
      <c r="D144" s="272"/>
      <c r="E144" s="272"/>
      <c r="F144" s="272"/>
      <c r="G144" s="272"/>
      <c r="H144" s="272"/>
      <c r="I144" s="272"/>
      <c r="J144" s="272"/>
      <c r="K144" s="272"/>
      <c r="L144" s="272"/>
    </row>
    <row r="145" spans="3:12">
      <c r="C145" s="272"/>
      <c r="D145" s="272"/>
      <c r="E145" s="272"/>
      <c r="F145" s="272"/>
      <c r="G145" s="272"/>
      <c r="H145" s="272"/>
      <c r="I145" s="272"/>
      <c r="J145" s="272"/>
      <c r="K145" s="272"/>
      <c r="L145" s="272"/>
    </row>
    <row r="146" spans="3:12">
      <c r="C146" s="272"/>
      <c r="D146" s="272"/>
      <c r="E146" s="272"/>
      <c r="F146" s="272"/>
      <c r="G146" s="272"/>
      <c r="H146" s="272"/>
      <c r="I146" s="272"/>
      <c r="J146" s="272"/>
      <c r="K146" s="272"/>
      <c r="L146" s="272"/>
    </row>
    <row r="147" spans="3:12">
      <c r="C147" s="272"/>
      <c r="D147" s="272"/>
      <c r="E147" s="272"/>
      <c r="F147" s="272"/>
      <c r="G147" s="272"/>
      <c r="H147" s="272"/>
      <c r="I147" s="272"/>
      <c r="J147" s="272"/>
      <c r="K147" s="272"/>
      <c r="L147" s="272"/>
    </row>
    <row r="148" spans="3:12">
      <c r="C148" s="272"/>
      <c r="D148" s="272"/>
      <c r="E148" s="272"/>
      <c r="F148" s="272"/>
      <c r="G148" s="272"/>
      <c r="H148" s="272"/>
      <c r="I148" s="272"/>
      <c r="J148" s="272"/>
      <c r="K148" s="272"/>
      <c r="L148" s="272"/>
    </row>
    <row r="149" spans="3:12">
      <c r="C149" s="272"/>
      <c r="D149" s="272"/>
      <c r="E149" s="272"/>
      <c r="F149" s="272"/>
      <c r="G149" s="272"/>
      <c r="H149" s="272"/>
      <c r="I149" s="272"/>
      <c r="J149" s="272"/>
      <c r="K149" s="272"/>
      <c r="L149" s="272"/>
    </row>
    <row r="150" spans="3:12">
      <c r="C150" s="272"/>
      <c r="D150" s="272"/>
      <c r="E150" s="272"/>
      <c r="F150" s="272"/>
      <c r="G150" s="272"/>
      <c r="H150" s="272"/>
      <c r="I150" s="272"/>
      <c r="J150" s="272"/>
      <c r="K150" s="272"/>
      <c r="L150" s="272"/>
    </row>
    <row r="151" spans="3:12">
      <c r="C151" s="272"/>
      <c r="D151" s="272"/>
      <c r="E151" s="272"/>
      <c r="F151" s="272"/>
      <c r="G151" s="272"/>
      <c r="H151" s="272"/>
      <c r="I151" s="272"/>
      <c r="J151" s="272"/>
      <c r="K151" s="272"/>
      <c r="L151" s="272"/>
    </row>
    <row r="152" spans="3:12">
      <c r="C152" s="272"/>
      <c r="D152" s="272"/>
      <c r="E152" s="272"/>
      <c r="F152" s="272"/>
      <c r="G152" s="272"/>
      <c r="H152" s="272"/>
      <c r="I152" s="272"/>
      <c r="J152" s="272"/>
      <c r="K152" s="272"/>
      <c r="L152" s="272"/>
    </row>
    <row r="153" spans="3:12">
      <c r="C153" s="272"/>
      <c r="D153" s="272"/>
      <c r="E153" s="272"/>
      <c r="F153" s="272"/>
      <c r="G153" s="272"/>
      <c r="H153" s="272"/>
      <c r="I153" s="272"/>
      <c r="J153" s="272"/>
      <c r="K153" s="272"/>
      <c r="L153" s="272"/>
    </row>
    <row r="154" spans="3:12">
      <c r="C154" s="272"/>
      <c r="D154" s="272"/>
      <c r="E154" s="272"/>
      <c r="F154" s="272"/>
      <c r="G154" s="272"/>
      <c r="H154" s="272"/>
      <c r="I154" s="272"/>
      <c r="J154" s="272"/>
      <c r="K154" s="272"/>
      <c r="L154" s="272"/>
    </row>
    <row r="155" spans="3:12">
      <c r="C155" s="272"/>
      <c r="D155" s="272"/>
      <c r="E155" s="272"/>
      <c r="F155" s="272"/>
      <c r="G155" s="272"/>
      <c r="H155" s="272"/>
      <c r="I155" s="272"/>
      <c r="J155" s="272"/>
      <c r="K155" s="272"/>
      <c r="L155" s="272"/>
    </row>
    <row r="156" spans="3:12">
      <c r="C156" s="272"/>
      <c r="D156" s="272"/>
      <c r="E156" s="272"/>
      <c r="F156" s="272"/>
      <c r="G156" s="272"/>
      <c r="H156" s="272"/>
      <c r="I156" s="272"/>
      <c r="J156" s="272"/>
      <c r="K156" s="272"/>
      <c r="L156" s="272"/>
    </row>
    <row r="157" spans="3:12">
      <c r="C157" s="272"/>
      <c r="D157" s="272"/>
      <c r="E157" s="272"/>
      <c r="F157" s="272"/>
      <c r="G157" s="272"/>
      <c r="H157" s="272"/>
      <c r="I157" s="272"/>
      <c r="J157" s="272"/>
      <c r="K157" s="272"/>
      <c r="L157" s="272"/>
    </row>
    <row r="158" spans="3:12">
      <c r="C158" s="272"/>
      <c r="D158" s="272"/>
      <c r="E158" s="272"/>
      <c r="F158" s="272"/>
      <c r="G158" s="272"/>
      <c r="H158" s="272"/>
      <c r="I158" s="272"/>
      <c r="J158" s="272"/>
      <c r="K158" s="272"/>
      <c r="L158" s="272"/>
    </row>
    <row r="159" spans="3:12">
      <c r="C159" s="272"/>
      <c r="D159" s="272"/>
      <c r="E159" s="272"/>
      <c r="F159" s="272"/>
      <c r="G159" s="272"/>
      <c r="H159" s="272"/>
      <c r="I159" s="272"/>
      <c r="J159" s="272"/>
      <c r="K159" s="272"/>
      <c r="L159" s="272"/>
    </row>
    <row r="160" spans="3:12">
      <c r="C160" s="272"/>
      <c r="D160" s="272"/>
      <c r="E160" s="272"/>
      <c r="F160" s="272"/>
      <c r="G160" s="272"/>
      <c r="H160" s="272"/>
      <c r="I160" s="272"/>
      <c r="J160" s="272"/>
      <c r="K160" s="272"/>
      <c r="L160" s="272"/>
    </row>
    <row r="161" spans="3:12">
      <c r="C161" s="272"/>
      <c r="D161" s="272"/>
      <c r="E161" s="272"/>
      <c r="F161" s="272"/>
      <c r="G161" s="272"/>
      <c r="H161" s="272"/>
      <c r="I161" s="272"/>
      <c r="J161" s="272"/>
      <c r="K161" s="272"/>
      <c r="L161" s="272"/>
    </row>
    <row r="162" spans="3:12">
      <c r="C162" s="272"/>
      <c r="D162" s="272"/>
      <c r="E162" s="272"/>
      <c r="F162" s="272"/>
      <c r="G162" s="272"/>
      <c r="H162" s="272"/>
      <c r="I162" s="272"/>
      <c r="J162" s="272"/>
      <c r="K162" s="272"/>
      <c r="L162" s="272"/>
    </row>
    <row r="163" spans="3:12">
      <c r="C163" s="272"/>
      <c r="D163" s="272"/>
      <c r="E163" s="272"/>
      <c r="F163" s="272"/>
      <c r="G163" s="272"/>
      <c r="H163" s="272"/>
      <c r="I163" s="272"/>
      <c r="J163" s="272"/>
      <c r="K163" s="272"/>
      <c r="L163" s="272"/>
    </row>
    <row r="164" spans="3:12">
      <c r="C164" s="272"/>
      <c r="D164" s="272"/>
      <c r="E164" s="272"/>
      <c r="F164" s="272"/>
      <c r="G164" s="272"/>
      <c r="H164" s="272"/>
      <c r="I164" s="272"/>
      <c r="J164" s="272"/>
      <c r="K164" s="272"/>
      <c r="L164" s="272"/>
    </row>
    <row r="165" spans="3:12">
      <c r="C165" s="272"/>
      <c r="D165" s="272"/>
      <c r="E165" s="272"/>
      <c r="F165" s="272"/>
      <c r="G165" s="272"/>
      <c r="H165" s="272"/>
      <c r="I165" s="272"/>
      <c r="J165" s="272"/>
      <c r="K165" s="272"/>
      <c r="L165" s="272"/>
    </row>
    <row r="166" spans="3:12">
      <c r="C166" s="272"/>
      <c r="D166" s="272"/>
      <c r="E166" s="272"/>
      <c r="F166" s="272"/>
      <c r="G166" s="272"/>
      <c r="H166" s="272"/>
      <c r="I166" s="272"/>
      <c r="J166" s="272"/>
      <c r="K166" s="272"/>
      <c r="L166" s="272"/>
    </row>
    <row r="167" spans="3:12">
      <c r="C167" s="272"/>
      <c r="D167" s="272"/>
      <c r="E167" s="272"/>
      <c r="F167" s="272"/>
      <c r="G167" s="272"/>
      <c r="H167" s="272"/>
      <c r="I167" s="272"/>
      <c r="J167" s="272"/>
      <c r="K167" s="272"/>
      <c r="L167" s="272"/>
    </row>
    <row r="168" spans="3:12">
      <c r="C168" s="272"/>
      <c r="D168" s="272"/>
      <c r="E168" s="272"/>
      <c r="F168" s="272"/>
      <c r="G168" s="272"/>
      <c r="H168" s="272"/>
      <c r="I168" s="272"/>
      <c r="J168" s="272"/>
      <c r="K168" s="272"/>
      <c r="L168" s="272"/>
    </row>
    <row r="169" spans="3:12">
      <c r="C169" s="272"/>
      <c r="D169" s="272"/>
      <c r="E169" s="272"/>
      <c r="F169" s="272"/>
      <c r="G169" s="272"/>
      <c r="H169" s="272"/>
      <c r="I169" s="272"/>
      <c r="J169" s="272"/>
      <c r="K169" s="272"/>
      <c r="L169" s="272"/>
    </row>
    <row r="170" spans="3:12">
      <c r="C170" s="272"/>
      <c r="D170" s="272"/>
      <c r="E170" s="272"/>
      <c r="F170" s="272"/>
      <c r="G170" s="272"/>
      <c r="H170" s="272"/>
      <c r="I170" s="272"/>
      <c r="J170" s="272"/>
      <c r="K170" s="272"/>
      <c r="L170" s="272"/>
    </row>
    <row r="171" spans="3:12">
      <c r="C171" s="272"/>
      <c r="D171" s="272"/>
      <c r="E171" s="272"/>
      <c r="F171" s="272"/>
      <c r="G171" s="272"/>
      <c r="H171" s="272"/>
      <c r="I171" s="272"/>
      <c r="J171" s="272"/>
      <c r="K171" s="272"/>
      <c r="L171" s="272"/>
    </row>
    <row r="172" spans="3:12">
      <c r="C172" s="272"/>
      <c r="D172" s="272"/>
      <c r="E172" s="272"/>
      <c r="F172" s="272"/>
      <c r="G172" s="272"/>
      <c r="H172" s="272"/>
      <c r="I172" s="272"/>
      <c r="J172" s="272"/>
      <c r="K172" s="272"/>
      <c r="L172" s="272"/>
    </row>
    <row r="173" spans="3:12">
      <c r="C173" s="272"/>
      <c r="D173" s="272"/>
      <c r="E173" s="272"/>
      <c r="F173" s="272"/>
      <c r="G173" s="272"/>
      <c r="H173" s="272"/>
      <c r="I173" s="272"/>
      <c r="J173" s="272"/>
      <c r="K173" s="272"/>
      <c r="L173" s="272"/>
    </row>
    <row r="174" spans="3:12">
      <c r="C174" s="272"/>
      <c r="D174" s="272"/>
      <c r="E174" s="272"/>
      <c r="F174" s="272"/>
      <c r="G174" s="272"/>
      <c r="H174" s="272"/>
      <c r="I174" s="272"/>
      <c r="J174" s="272"/>
      <c r="K174" s="272"/>
      <c r="L174" s="272"/>
    </row>
    <row r="175" spans="3:12">
      <c r="C175" s="272"/>
      <c r="D175" s="272"/>
      <c r="E175" s="272"/>
      <c r="F175" s="272"/>
      <c r="G175" s="272"/>
      <c r="H175" s="272"/>
      <c r="I175" s="272"/>
      <c r="J175" s="272"/>
      <c r="K175" s="272"/>
      <c r="L175" s="272"/>
    </row>
    <row r="176" spans="3:12">
      <c r="C176" s="272"/>
      <c r="D176" s="272"/>
      <c r="E176" s="272"/>
      <c r="F176" s="272"/>
      <c r="G176" s="272"/>
      <c r="H176" s="272"/>
      <c r="I176" s="272"/>
      <c r="J176" s="272"/>
      <c r="K176" s="272"/>
      <c r="L176" s="272"/>
    </row>
    <row r="177" spans="3:12">
      <c r="C177" s="272"/>
      <c r="D177" s="272"/>
      <c r="E177" s="272"/>
      <c r="F177" s="272"/>
      <c r="G177" s="272"/>
      <c r="H177" s="272"/>
      <c r="I177" s="272"/>
      <c r="J177" s="272"/>
      <c r="K177" s="272"/>
      <c r="L177" s="272"/>
    </row>
    <row r="178" spans="3:12">
      <c r="C178" s="272"/>
      <c r="D178" s="272"/>
      <c r="E178" s="272"/>
      <c r="F178" s="272"/>
      <c r="G178" s="272"/>
      <c r="H178" s="272"/>
      <c r="I178" s="272"/>
      <c r="J178" s="272"/>
      <c r="K178" s="272"/>
      <c r="L178" s="272"/>
    </row>
    <row r="179" spans="3:12">
      <c r="C179" s="272"/>
      <c r="D179" s="272"/>
      <c r="E179" s="272"/>
      <c r="F179" s="272"/>
      <c r="G179" s="272"/>
      <c r="H179" s="272"/>
      <c r="I179" s="272"/>
      <c r="J179" s="272"/>
      <c r="K179" s="272"/>
      <c r="L179" s="272"/>
    </row>
    <row r="180" spans="3:12">
      <c r="C180" s="272"/>
      <c r="D180" s="272"/>
      <c r="E180" s="272"/>
      <c r="F180" s="272"/>
      <c r="G180" s="272"/>
      <c r="H180" s="272"/>
      <c r="I180" s="272"/>
      <c r="J180" s="272"/>
      <c r="K180" s="272"/>
      <c r="L180" s="272"/>
    </row>
    <row r="181" spans="3:12">
      <c r="C181" s="272"/>
      <c r="D181" s="272"/>
      <c r="E181" s="272"/>
      <c r="F181" s="272"/>
      <c r="G181" s="272"/>
      <c r="H181" s="272"/>
      <c r="I181" s="272"/>
      <c r="J181" s="272"/>
      <c r="K181" s="272"/>
      <c r="L181" s="272"/>
    </row>
    <row r="182" spans="3:12">
      <c r="C182" s="272"/>
      <c r="D182" s="272"/>
      <c r="E182" s="272"/>
      <c r="F182" s="272"/>
      <c r="G182" s="272"/>
      <c r="H182" s="272"/>
      <c r="I182" s="272"/>
      <c r="J182" s="272"/>
      <c r="K182" s="272"/>
      <c r="L182" s="272"/>
    </row>
    <row r="183" spans="3:12">
      <c r="C183" s="272"/>
      <c r="D183" s="272"/>
      <c r="E183" s="272"/>
      <c r="F183" s="272"/>
      <c r="G183" s="272"/>
      <c r="H183" s="272"/>
      <c r="I183" s="272"/>
      <c r="J183" s="272"/>
      <c r="K183" s="272"/>
      <c r="L183" s="272"/>
    </row>
    <row r="184" spans="3:12">
      <c r="C184" s="272"/>
      <c r="D184" s="272"/>
      <c r="E184" s="272"/>
      <c r="F184" s="272"/>
      <c r="G184" s="272"/>
      <c r="H184" s="272"/>
      <c r="I184" s="272"/>
      <c r="J184" s="272"/>
      <c r="K184" s="272"/>
      <c r="L184" s="272"/>
    </row>
    <row r="185" spans="3:12">
      <c r="C185" s="272"/>
      <c r="D185" s="272"/>
      <c r="E185" s="272"/>
      <c r="F185" s="272"/>
      <c r="G185" s="272"/>
      <c r="H185" s="272"/>
      <c r="I185" s="272"/>
      <c r="J185" s="272"/>
      <c r="K185" s="272"/>
      <c r="L185" s="272"/>
    </row>
    <row r="186" spans="3:12">
      <c r="C186" s="272"/>
      <c r="D186" s="272"/>
      <c r="E186" s="272"/>
      <c r="F186" s="272"/>
      <c r="G186" s="272"/>
      <c r="H186" s="272"/>
      <c r="I186" s="272"/>
      <c r="J186" s="272"/>
      <c r="K186" s="272"/>
      <c r="L186" s="272"/>
    </row>
    <row r="187" spans="3:12">
      <c r="C187" s="272"/>
      <c r="D187" s="272"/>
      <c r="E187" s="272"/>
      <c r="F187" s="272"/>
      <c r="G187" s="272"/>
      <c r="H187" s="272"/>
      <c r="I187" s="272"/>
      <c r="J187" s="272"/>
      <c r="K187" s="272"/>
      <c r="L187" s="272"/>
    </row>
    <row r="188" spans="3:12">
      <c r="C188" s="272"/>
      <c r="D188" s="272"/>
      <c r="E188" s="272"/>
      <c r="F188" s="272"/>
      <c r="G188" s="272"/>
      <c r="H188" s="272"/>
      <c r="I188" s="272"/>
      <c r="J188" s="272"/>
      <c r="K188" s="272"/>
      <c r="L188" s="272"/>
    </row>
    <row r="189" spans="3:12">
      <c r="C189" s="272"/>
      <c r="D189" s="272"/>
      <c r="E189" s="272"/>
      <c r="F189" s="272"/>
      <c r="G189" s="272"/>
      <c r="H189" s="272"/>
      <c r="I189" s="272"/>
      <c r="J189" s="272"/>
      <c r="K189" s="272"/>
      <c r="L189" s="272"/>
    </row>
    <row r="190" spans="3:12">
      <c r="C190" s="272"/>
      <c r="D190" s="272"/>
      <c r="E190" s="272"/>
      <c r="F190" s="272"/>
      <c r="G190" s="272"/>
      <c r="H190" s="272"/>
      <c r="I190" s="272"/>
      <c r="J190" s="272"/>
      <c r="K190" s="272"/>
      <c r="L190" s="272"/>
    </row>
    <row r="191" spans="3:12">
      <c r="C191" s="272"/>
      <c r="D191" s="272"/>
      <c r="E191" s="272"/>
      <c r="F191" s="272"/>
      <c r="G191" s="272"/>
      <c r="H191" s="272"/>
      <c r="I191" s="272"/>
      <c r="J191" s="272"/>
      <c r="K191" s="272"/>
      <c r="L191" s="272"/>
    </row>
    <row r="192" spans="3:12">
      <c r="C192" s="272"/>
      <c r="D192" s="272"/>
      <c r="E192" s="272"/>
      <c r="F192" s="272"/>
      <c r="G192" s="272"/>
      <c r="H192" s="272"/>
      <c r="I192" s="272"/>
      <c r="J192" s="272"/>
      <c r="K192" s="272"/>
      <c r="L192" s="272"/>
    </row>
    <row r="193" spans="3:12">
      <c r="C193" s="272"/>
      <c r="D193" s="272"/>
      <c r="E193" s="272"/>
      <c r="F193" s="272"/>
      <c r="G193" s="272"/>
      <c r="H193" s="272"/>
      <c r="I193" s="272"/>
      <c r="J193" s="272"/>
      <c r="K193" s="272"/>
      <c r="L193" s="272"/>
    </row>
    <row r="194" spans="3:12">
      <c r="C194" s="272"/>
      <c r="D194" s="272"/>
      <c r="E194" s="272"/>
      <c r="F194" s="272"/>
      <c r="G194" s="272"/>
      <c r="H194" s="272"/>
      <c r="I194" s="272"/>
      <c r="J194" s="272"/>
      <c r="K194" s="272"/>
      <c r="L194" s="272"/>
    </row>
    <row r="195" spans="3:12">
      <c r="C195" s="272"/>
      <c r="D195" s="272"/>
      <c r="E195" s="272"/>
      <c r="F195" s="272"/>
      <c r="G195" s="272"/>
      <c r="H195" s="272"/>
      <c r="I195" s="272"/>
      <c r="J195" s="272"/>
      <c r="K195" s="272"/>
      <c r="L195" s="272"/>
    </row>
    <row r="196" spans="3:12">
      <c r="C196" s="272"/>
      <c r="D196" s="272"/>
      <c r="E196" s="272"/>
      <c r="F196" s="272"/>
      <c r="G196" s="272"/>
      <c r="H196" s="272"/>
      <c r="I196" s="272"/>
      <c r="J196" s="272"/>
      <c r="K196" s="272"/>
      <c r="L196" s="272"/>
    </row>
    <row r="197" spans="3:12">
      <c r="C197" s="272"/>
      <c r="D197" s="272"/>
      <c r="E197" s="272"/>
      <c r="F197" s="272"/>
      <c r="G197" s="272"/>
      <c r="H197" s="272"/>
      <c r="I197" s="272"/>
      <c r="J197" s="272"/>
      <c r="K197" s="272"/>
      <c r="L197" s="272"/>
    </row>
    <row r="198" spans="3:12">
      <c r="C198" s="272"/>
      <c r="D198" s="272"/>
      <c r="E198" s="272"/>
      <c r="F198" s="272"/>
      <c r="G198" s="272"/>
      <c r="H198" s="272"/>
      <c r="I198" s="272"/>
      <c r="J198" s="272"/>
      <c r="K198" s="272"/>
      <c r="L198" s="272"/>
    </row>
    <row r="199" spans="3:12">
      <c r="C199" s="272"/>
      <c r="D199" s="272"/>
      <c r="E199" s="272"/>
      <c r="F199" s="272"/>
      <c r="G199" s="272"/>
      <c r="H199" s="272"/>
      <c r="I199" s="272"/>
      <c r="J199" s="272"/>
      <c r="K199" s="272"/>
      <c r="L199" s="272"/>
    </row>
    <row r="200" spans="3:12">
      <c r="C200" s="272"/>
      <c r="D200" s="272"/>
      <c r="E200" s="272"/>
      <c r="F200" s="272"/>
      <c r="G200" s="272"/>
      <c r="H200" s="272"/>
      <c r="I200" s="272"/>
      <c r="J200" s="272"/>
      <c r="K200" s="272"/>
      <c r="L200" s="272"/>
    </row>
    <row r="201" spans="3:12">
      <c r="C201" s="272"/>
      <c r="D201" s="272"/>
      <c r="E201" s="272"/>
      <c r="F201" s="272"/>
      <c r="G201" s="272"/>
      <c r="H201" s="272"/>
      <c r="I201" s="272"/>
      <c r="J201" s="272"/>
      <c r="K201" s="272"/>
      <c r="L201" s="272"/>
    </row>
    <row r="202" spans="3:12">
      <c r="C202" s="272"/>
      <c r="D202" s="272"/>
      <c r="E202" s="272"/>
      <c r="F202" s="272"/>
      <c r="G202" s="272"/>
      <c r="H202" s="272"/>
      <c r="I202" s="272"/>
      <c r="J202" s="272"/>
      <c r="K202" s="272"/>
      <c r="L202" s="272"/>
    </row>
    <row r="203" spans="3:12">
      <c r="C203" s="272"/>
      <c r="D203" s="272"/>
      <c r="E203" s="272"/>
      <c r="F203" s="272"/>
      <c r="G203" s="272"/>
      <c r="H203" s="272"/>
      <c r="I203" s="272"/>
      <c r="J203" s="272"/>
      <c r="K203" s="272"/>
      <c r="L203" s="272"/>
    </row>
    <row r="204" spans="3:12">
      <c r="C204" s="272"/>
      <c r="D204" s="272"/>
      <c r="E204" s="272"/>
      <c r="F204" s="272"/>
      <c r="G204" s="272"/>
      <c r="H204" s="272"/>
      <c r="I204" s="272"/>
      <c r="J204" s="272"/>
      <c r="K204" s="272"/>
      <c r="L204" s="272"/>
    </row>
    <row r="205" spans="3:12">
      <c r="C205" s="272"/>
      <c r="D205" s="272"/>
      <c r="E205" s="272"/>
      <c r="F205" s="272"/>
      <c r="G205" s="272"/>
      <c r="H205" s="272"/>
      <c r="I205" s="272"/>
      <c r="J205" s="272"/>
      <c r="K205" s="272"/>
      <c r="L205" s="272"/>
    </row>
    <row r="206" spans="3:12">
      <c r="C206" s="272"/>
      <c r="D206" s="272"/>
      <c r="E206" s="272"/>
      <c r="F206" s="272"/>
      <c r="G206" s="272"/>
      <c r="H206" s="272"/>
      <c r="I206" s="272"/>
      <c r="J206" s="272"/>
      <c r="K206" s="272"/>
      <c r="L206" s="272"/>
    </row>
    <row r="207" spans="3:12">
      <c r="C207" s="272"/>
      <c r="D207" s="272"/>
      <c r="E207" s="272"/>
      <c r="F207" s="272"/>
      <c r="G207" s="272"/>
      <c r="H207" s="272"/>
      <c r="I207" s="272"/>
      <c r="J207" s="272"/>
      <c r="K207" s="272"/>
      <c r="L207" s="272"/>
    </row>
    <row r="208" spans="3:12">
      <c r="C208" s="272"/>
      <c r="D208" s="272"/>
      <c r="E208" s="272"/>
      <c r="F208" s="272"/>
      <c r="G208" s="272"/>
      <c r="H208" s="272"/>
      <c r="I208" s="272"/>
      <c r="J208" s="272"/>
      <c r="K208" s="272"/>
      <c r="L208" s="272"/>
    </row>
    <row r="209" spans="3:12">
      <c r="C209" s="272"/>
      <c r="D209" s="272"/>
      <c r="E209" s="272"/>
      <c r="F209" s="272"/>
      <c r="G209" s="272"/>
      <c r="H209" s="272"/>
      <c r="I209" s="272"/>
      <c r="J209" s="272"/>
      <c r="K209" s="272"/>
      <c r="L209" s="272"/>
    </row>
    <row r="210" spans="3:12">
      <c r="C210" s="272"/>
      <c r="D210" s="272"/>
      <c r="E210" s="272"/>
      <c r="F210" s="272"/>
      <c r="G210" s="272"/>
      <c r="H210" s="272"/>
      <c r="I210" s="272"/>
      <c r="J210" s="272"/>
      <c r="K210" s="272"/>
      <c r="L210" s="272"/>
    </row>
    <row r="211" spans="3:12">
      <c r="C211" s="272"/>
      <c r="D211" s="272"/>
      <c r="E211" s="272"/>
      <c r="F211" s="272"/>
      <c r="G211" s="272"/>
      <c r="H211" s="272"/>
      <c r="I211" s="272"/>
      <c r="J211" s="272"/>
      <c r="K211" s="272"/>
      <c r="L211" s="272"/>
    </row>
    <row r="212" spans="3:12">
      <c r="C212" s="272"/>
      <c r="D212" s="272"/>
      <c r="E212" s="272"/>
      <c r="F212" s="272"/>
      <c r="G212" s="272"/>
      <c r="H212" s="272"/>
      <c r="I212" s="272"/>
      <c r="J212" s="272"/>
      <c r="K212" s="272"/>
      <c r="L212" s="272"/>
    </row>
    <row r="213" spans="3:12">
      <c r="C213" s="272"/>
      <c r="D213" s="272"/>
      <c r="E213" s="272"/>
      <c r="F213" s="272"/>
      <c r="G213" s="272"/>
      <c r="H213" s="272"/>
      <c r="I213" s="272"/>
      <c r="J213" s="272"/>
      <c r="K213" s="272"/>
      <c r="L213" s="272"/>
    </row>
    <row r="214" spans="3:12">
      <c r="C214" s="272"/>
      <c r="D214" s="272"/>
      <c r="E214" s="272"/>
      <c r="F214" s="272"/>
      <c r="G214" s="272"/>
      <c r="H214" s="272"/>
      <c r="I214" s="272"/>
      <c r="J214" s="272"/>
      <c r="K214" s="272"/>
      <c r="L214" s="272"/>
    </row>
    <row r="215" spans="3:12">
      <c r="C215" s="272"/>
      <c r="D215" s="272"/>
      <c r="E215" s="272"/>
      <c r="F215" s="272"/>
      <c r="G215" s="272"/>
      <c r="H215" s="272"/>
      <c r="I215" s="272"/>
      <c r="J215" s="272"/>
      <c r="K215" s="272"/>
      <c r="L215" s="272"/>
    </row>
    <row r="216" spans="3:12">
      <c r="C216" s="272"/>
      <c r="D216" s="272"/>
      <c r="E216" s="272"/>
      <c r="F216" s="272"/>
      <c r="G216" s="272"/>
      <c r="H216" s="272"/>
      <c r="I216" s="272"/>
      <c r="J216" s="272"/>
      <c r="K216" s="272"/>
      <c r="L216" s="272"/>
    </row>
    <row r="217" spans="3:12">
      <c r="C217" s="272"/>
      <c r="D217" s="272"/>
      <c r="E217" s="272"/>
      <c r="F217" s="272"/>
      <c r="G217" s="272"/>
      <c r="H217" s="272"/>
      <c r="I217" s="272"/>
      <c r="J217" s="272"/>
      <c r="K217" s="272"/>
      <c r="L217" s="272"/>
    </row>
    <row r="218" spans="3:12">
      <c r="C218" s="272"/>
      <c r="D218" s="272"/>
      <c r="E218" s="272"/>
      <c r="F218" s="272"/>
      <c r="G218" s="272"/>
      <c r="H218" s="272"/>
      <c r="I218" s="272"/>
      <c r="J218" s="272"/>
      <c r="K218" s="272"/>
      <c r="L218" s="272"/>
    </row>
    <row r="219" spans="3:12">
      <c r="C219" s="272"/>
      <c r="D219" s="272"/>
      <c r="E219" s="272"/>
      <c r="F219" s="272"/>
      <c r="G219" s="272"/>
      <c r="H219" s="272"/>
      <c r="I219" s="272"/>
      <c r="J219" s="272"/>
      <c r="K219" s="272"/>
      <c r="L219" s="272"/>
    </row>
    <row r="220" spans="3:12">
      <c r="C220" s="272"/>
      <c r="D220" s="272"/>
      <c r="E220" s="272"/>
      <c r="F220" s="272"/>
      <c r="G220" s="272"/>
      <c r="H220" s="272"/>
      <c r="I220" s="272"/>
      <c r="J220" s="272"/>
      <c r="K220" s="272"/>
      <c r="L220" s="272"/>
    </row>
    <row r="221" spans="3:12">
      <c r="C221" s="272"/>
      <c r="D221" s="272"/>
      <c r="E221" s="272"/>
      <c r="F221" s="272"/>
      <c r="G221" s="272"/>
      <c r="H221" s="272"/>
      <c r="I221" s="272"/>
      <c r="J221" s="272"/>
      <c r="K221" s="272"/>
      <c r="L221" s="272"/>
    </row>
    <row r="222" spans="3:12">
      <c r="C222" s="272"/>
      <c r="D222" s="272"/>
      <c r="E222" s="272"/>
      <c r="F222" s="272"/>
      <c r="G222" s="272"/>
      <c r="H222" s="272"/>
      <c r="I222" s="272"/>
      <c r="J222" s="272"/>
      <c r="K222" s="272"/>
      <c r="L222" s="272"/>
    </row>
    <row r="223" spans="3:12">
      <c r="C223" s="272"/>
      <c r="D223" s="272"/>
      <c r="E223" s="272"/>
      <c r="F223" s="272"/>
      <c r="G223" s="272"/>
      <c r="H223" s="272"/>
      <c r="I223" s="272"/>
      <c r="J223" s="272"/>
      <c r="K223" s="272"/>
      <c r="L223" s="272"/>
    </row>
    <row r="224" spans="3:12">
      <c r="C224" s="272"/>
      <c r="D224" s="272"/>
      <c r="E224" s="272"/>
      <c r="F224" s="272"/>
      <c r="G224" s="272"/>
      <c r="H224" s="272"/>
      <c r="I224" s="272"/>
      <c r="J224" s="272"/>
      <c r="K224" s="272"/>
      <c r="L224" s="272"/>
    </row>
    <row r="225" spans="3:12">
      <c r="C225" s="272"/>
      <c r="D225" s="272"/>
      <c r="E225" s="272"/>
      <c r="F225" s="272"/>
      <c r="G225" s="272"/>
      <c r="H225" s="272"/>
      <c r="I225" s="272"/>
      <c r="J225" s="272"/>
      <c r="K225" s="272"/>
      <c r="L225" s="272"/>
    </row>
    <row r="226" spans="3:12">
      <c r="C226" s="272"/>
      <c r="D226" s="272"/>
      <c r="E226" s="272"/>
      <c r="F226" s="272"/>
      <c r="G226" s="272"/>
      <c r="H226" s="272"/>
      <c r="I226" s="272"/>
      <c r="J226" s="272"/>
      <c r="K226" s="272"/>
      <c r="L226" s="272"/>
    </row>
    <row r="227" spans="3:12">
      <c r="C227" s="272"/>
      <c r="D227" s="272"/>
      <c r="E227" s="272"/>
      <c r="F227" s="272"/>
      <c r="G227" s="272"/>
      <c r="H227" s="272"/>
      <c r="I227" s="272"/>
      <c r="J227" s="272"/>
      <c r="K227" s="272"/>
      <c r="L227" s="272"/>
    </row>
    <row r="228" spans="3:12">
      <c r="C228" s="272"/>
      <c r="D228" s="272"/>
      <c r="E228" s="272"/>
      <c r="F228" s="272"/>
      <c r="G228" s="272"/>
      <c r="H228" s="272"/>
      <c r="I228" s="272"/>
      <c r="J228" s="272"/>
      <c r="K228" s="272"/>
      <c r="L228" s="272"/>
    </row>
    <row r="229" spans="3:12">
      <c r="C229" s="272"/>
      <c r="D229" s="272"/>
      <c r="E229" s="272"/>
      <c r="F229" s="272"/>
      <c r="G229" s="272"/>
      <c r="H229" s="272"/>
      <c r="I229" s="272"/>
      <c r="J229" s="272"/>
      <c r="K229" s="272"/>
      <c r="L229" s="272"/>
    </row>
    <row r="230" spans="3:12">
      <c r="C230" s="272"/>
      <c r="D230" s="272"/>
      <c r="E230" s="272"/>
      <c r="F230" s="272"/>
      <c r="G230" s="272"/>
      <c r="H230" s="272"/>
      <c r="I230" s="272"/>
      <c r="J230" s="272"/>
      <c r="K230" s="272"/>
      <c r="L230" s="272"/>
    </row>
    <row r="231" spans="3:12">
      <c r="C231" s="272"/>
      <c r="D231" s="272"/>
      <c r="E231" s="272"/>
      <c r="F231" s="272"/>
      <c r="G231" s="272"/>
      <c r="H231" s="272"/>
      <c r="I231" s="272"/>
      <c r="J231" s="272"/>
      <c r="K231" s="272"/>
      <c r="L231" s="272"/>
    </row>
    <row r="232" spans="3:12">
      <c r="C232" s="272"/>
      <c r="D232" s="272"/>
      <c r="E232" s="272"/>
      <c r="F232" s="272"/>
      <c r="G232" s="272"/>
      <c r="H232" s="272"/>
      <c r="I232" s="272"/>
      <c r="J232" s="272"/>
      <c r="K232" s="272"/>
      <c r="L232" s="272"/>
    </row>
    <row r="233" spans="3:12">
      <c r="C233" s="272"/>
      <c r="D233" s="272"/>
      <c r="E233" s="272"/>
      <c r="F233" s="272"/>
      <c r="G233" s="272"/>
      <c r="H233" s="272"/>
      <c r="I233" s="272"/>
      <c r="J233" s="272"/>
      <c r="K233" s="272"/>
      <c r="L233" s="272"/>
    </row>
    <row r="234" spans="3:12">
      <c r="C234" s="272"/>
      <c r="D234" s="272"/>
      <c r="E234" s="272"/>
      <c r="F234" s="272"/>
      <c r="G234" s="272"/>
      <c r="H234" s="272"/>
      <c r="I234" s="272"/>
      <c r="J234" s="272"/>
      <c r="K234" s="272"/>
      <c r="L234" s="272"/>
    </row>
    <row r="235" spans="3:12">
      <c r="C235" s="272"/>
      <c r="D235" s="272"/>
      <c r="E235" s="272"/>
      <c r="F235" s="272"/>
      <c r="G235" s="272"/>
      <c r="H235" s="272"/>
      <c r="I235" s="272"/>
      <c r="J235" s="272"/>
      <c r="K235" s="272"/>
      <c r="L235" s="272"/>
    </row>
    <row r="236" spans="3:12">
      <c r="C236" s="272"/>
      <c r="D236" s="272"/>
      <c r="E236" s="272"/>
      <c r="F236" s="272"/>
      <c r="G236" s="272"/>
      <c r="H236" s="272"/>
      <c r="I236" s="272"/>
      <c r="J236" s="272"/>
      <c r="K236" s="272"/>
      <c r="L236" s="272"/>
    </row>
    <row r="237" spans="3:12">
      <c r="C237" s="272"/>
      <c r="D237" s="272"/>
      <c r="E237" s="272"/>
      <c r="F237" s="272"/>
      <c r="G237" s="272"/>
      <c r="H237" s="272"/>
      <c r="I237" s="272"/>
      <c r="J237" s="272"/>
      <c r="K237" s="272"/>
      <c r="L237" s="272"/>
    </row>
  </sheetData>
  <customSheetViews>
    <customSheetView guid="{B991F324-919F-4749-8E3C-A09B2FA7BB10}" scale="60" showPageBreaks="1" fitToPage="1" printArea="1" view="pageBreakPreview">
      <selection activeCell="F18" sqref="F18"/>
      <pageMargins left="0.7" right="0.7" top="0.75" bottom="0.75" header="0.3" footer="0.3"/>
      <printOptions horizontalCentered="1"/>
      <pageSetup scale="45" fitToHeight="0" orientation="landscape" r:id="rId1"/>
      <headerFooter alignWithMargins="0"/>
    </customSheetView>
    <customSheetView guid="{901B528B-D65D-48CA-A638-FD9B4E5BB6D4}" scale="60" showPageBreaks="1" fitToPage="1" printArea="1" view="pageBreakPreview">
      <selection activeCell="F18" sqref="F18"/>
      <pageMargins left="0.7" right="0.7" top="0.75" bottom="0.75" header="0.3" footer="0.3"/>
      <printOptions horizontalCentered="1"/>
      <pageSetup scale="45" fitToHeight="0" orientation="landscape" r:id="rId2"/>
      <headerFooter alignWithMargins="0"/>
    </customSheetView>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3"/>
      <headerFooter alignWithMargins="0"/>
    </customSheetView>
    <customSheetView guid="{0DE222E8-ADD6-4F4B-9601-960D8109381F}" scale="60" showPageBreaks="1" fitToPage="1" printArea="1" view="pageBreakPreview">
      <pageMargins left="0.7" right="0.7" top="0.75" bottom="0.75" header="0.3" footer="0.3"/>
      <printOptions horizontalCentered="1"/>
      <pageSetup scale="45" fitToHeight="0" orientation="landscape" r:id="rId4"/>
      <headerFooter alignWithMargins="0"/>
    </customSheetView>
  </customSheetViews>
  <mergeCells count="2">
    <mergeCell ref="A8:L8"/>
    <mergeCell ref="A9:L9"/>
  </mergeCells>
  <printOptions horizontalCentered="1"/>
  <pageMargins left="0.7" right="0.7" top="0.75" bottom="0.75" header="0.3" footer="0.3"/>
  <pageSetup scale="45" fitToHeight="0" orientation="landscape"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J18"/>
  <sheetViews>
    <sheetView view="pageBreakPreview" zoomScale="60" zoomScaleNormal="90" zoomScaleSheetLayoutView="80" workbookViewId="0">
      <selection activeCell="B35" sqref="B35"/>
    </sheetView>
  </sheetViews>
  <sheetFormatPr defaultColWidth="7.08984375" defaultRowHeight="13.2"/>
  <cols>
    <col min="1" max="1" width="47.81640625" style="10" customWidth="1"/>
    <col min="2" max="2" width="7.08984375" style="10" customWidth="1"/>
    <col min="3" max="3" width="2.54296875" style="10" customWidth="1"/>
    <col min="4" max="4" width="11.1796875" style="10" bestFit="1" customWidth="1"/>
    <col min="5" max="8" width="7.08984375" style="10" customWidth="1"/>
    <col min="9" max="9" width="13.453125" style="10" customWidth="1"/>
    <col min="10" max="10" width="47.81640625" style="10" customWidth="1"/>
    <col min="11" max="16384" width="7.08984375" style="10"/>
  </cols>
  <sheetData>
    <row r="1" spans="2:10" ht="16.5" customHeight="1">
      <c r="D1" s="135"/>
      <c r="G1" s="3"/>
      <c r="H1" s="1"/>
      <c r="J1" s="4" t="str">
        <f>'Attachment H-11A '!K1&amp;""&amp;", Attachment 1"</f>
        <v>Attachment H -11A, Attachment 1</v>
      </c>
    </row>
    <row r="2" spans="2:10" ht="16.5" customHeight="1">
      <c r="G2" s="3"/>
      <c r="H2" s="3"/>
      <c r="J2" s="4" t="s">
        <v>188</v>
      </c>
    </row>
    <row r="3" spans="2:10" ht="16.5" customHeight="1">
      <c r="G3" s="2"/>
      <c r="H3" s="5"/>
      <c r="J3" s="6" t="str">
        <f>'Attachment H-11A '!K4</f>
        <v>For the 12 months ended 12/31/2022</v>
      </c>
    </row>
    <row r="4" spans="2:10" ht="15.6">
      <c r="G4" s="2"/>
      <c r="H4" s="5"/>
      <c r="I4" s="6"/>
    </row>
    <row r="5" spans="2:10" ht="15.6">
      <c r="G5" s="2"/>
      <c r="H5" s="5"/>
      <c r="I5" s="6"/>
    </row>
    <row r="6" spans="2:10" ht="15.75" customHeight="1">
      <c r="B6" s="1319" t="s">
        <v>189</v>
      </c>
      <c r="C6" s="1319"/>
      <c r="D6" s="1319"/>
      <c r="E6" s="1319"/>
      <c r="F6" s="1319"/>
      <c r="G6" s="1319"/>
      <c r="H6" s="1319"/>
      <c r="I6" s="1319"/>
    </row>
    <row r="7" spans="2:10" ht="15.6">
      <c r="B7" s="9"/>
      <c r="C7" s="9"/>
      <c r="D7" s="12"/>
      <c r="E7" s="12"/>
      <c r="F7" s="11"/>
      <c r="G7" s="11" t="s">
        <v>3</v>
      </c>
      <c r="H7" s="11"/>
      <c r="I7" s="11"/>
    </row>
    <row r="8" spans="2:10" ht="15.6">
      <c r="B8" s="9"/>
      <c r="C8" s="13">
        <v>1</v>
      </c>
      <c r="D8" s="16">
        <f>'Attachment H-11A '!I206</f>
        <v>706723.6</v>
      </c>
      <c r="E8" s="13" t="s">
        <v>1065</v>
      </c>
      <c r="F8" s="13"/>
      <c r="G8" s="17"/>
      <c r="H8" s="14"/>
      <c r="I8" s="14"/>
    </row>
    <row r="9" spans="2:10" ht="15.6">
      <c r="B9" s="9"/>
      <c r="C9" s="13">
        <v>2</v>
      </c>
      <c r="D9" s="138"/>
      <c r="E9" s="18" t="s">
        <v>152</v>
      </c>
      <c r="F9" s="19"/>
      <c r="G9" s="19"/>
      <c r="H9" s="14"/>
      <c r="I9" s="14"/>
    </row>
    <row r="10" spans="2:10" ht="15.6">
      <c r="B10" s="9"/>
      <c r="C10" s="13">
        <v>3</v>
      </c>
      <c r="D10" s="20">
        <f>D8-D9</f>
        <v>706723.6</v>
      </c>
      <c r="E10" s="14" t="s">
        <v>153</v>
      </c>
      <c r="F10" s="13"/>
      <c r="G10" s="17"/>
      <c r="H10" s="14"/>
      <c r="I10" s="14"/>
    </row>
    <row r="11" spans="2:10" ht="7.5" customHeight="1">
      <c r="B11" s="9"/>
      <c r="C11" s="13"/>
      <c r="D11" s="13"/>
      <c r="E11" s="14"/>
      <c r="F11" s="14"/>
      <c r="G11" s="14"/>
      <c r="H11" s="14"/>
      <c r="I11" s="14"/>
    </row>
    <row r="12" spans="2:10" ht="15.6">
      <c r="B12" s="9"/>
      <c r="C12" s="13">
        <v>4</v>
      </c>
      <c r="D12" s="137">
        <v>53609652.665253505</v>
      </c>
      <c r="E12" s="14" t="s">
        <v>950</v>
      </c>
      <c r="F12" s="14"/>
      <c r="G12" s="14"/>
      <c r="H12" s="14"/>
      <c r="I12" s="14"/>
    </row>
    <row r="13" spans="2:10" ht="15.6">
      <c r="B13" s="21"/>
      <c r="C13" s="15">
        <v>5</v>
      </c>
      <c r="D13" s="22">
        <f>D10/D12</f>
        <v>1.3182767745444747E-2</v>
      </c>
      <c r="E13" s="14" t="s">
        <v>197</v>
      </c>
      <c r="F13" s="19"/>
      <c r="G13" s="19"/>
      <c r="H13" s="19"/>
      <c r="I13" s="19"/>
    </row>
    <row r="14" spans="2:10" ht="15.6">
      <c r="B14" s="21"/>
      <c r="C14" s="19"/>
      <c r="D14" s="19"/>
      <c r="E14" s="19"/>
      <c r="F14" s="19"/>
      <c r="G14" s="19"/>
      <c r="H14" s="19"/>
      <c r="I14" s="19"/>
    </row>
    <row r="15" spans="2:10" ht="15.6">
      <c r="B15" s="25" t="s">
        <v>154</v>
      </c>
      <c r="D15" s="21"/>
      <c r="E15" s="21"/>
      <c r="F15" s="21"/>
      <c r="G15" s="21"/>
      <c r="H15" s="21"/>
      <c r="I15" s="21"/>
    </row>
    <row r="16" spans="2:10" ht="69.75" customHeight="1">
      <c r="B16" s="41" t="s">
        <v>107</v>
      </c>
      <c r="C16" s="1316" t="s">
        <v>1162</v>
      </c>
      <c r="D16" s="1317"/>
      <c r="E16" s="1317"/>
      <c r="F16" s="1317"/>
      <c r="G16" s="1317"/>
      <c r="H16" s="1317"/>
      <c r="I16" s="1317"/>
      <c r="J16" s="135"/>
    </row>
    <row r="17" spans="2:10" ht="12" customHeight="1">
      <c r="B17" s="41"/>
      <c r="C17" s="23"/>
      <c r="D17" s="24"/>
      <c r="E17" s="24"/>
      <c r="F17" s="24"/>
      <c r="G17" s="24"/>
      <c r="H17" s="24"/>
      <c r="I17" s="24"/>
    </row>
    <row r="18" spans="2:10" ht="49.5" customHeight="1">
      <c r="B18" s="41" t="s">
        <v>108</v>
      </c>
      <c r="C18" s="1318" t="s">
        <v>1151</v>
      </c>
      <c r="D18" s="1318"/>
      <c r="E18" s="1318"/>
      <c r="F18" s="1318"/>
      <c r="G18" s="1318"/>
      <c r="H18" s="1318"/>
      <c r="I18" s="1318"/>
      <c r="J18" s="135"/>
    </row>
  </sheetData>
  <customSheetViews>
    <customSheetView guid="{B991F324-919F-4749-8E3C-A09B2FA7BB10}" scale="60" showPageBreaks="1" printArea="1" view="pageBreakPreview">
      <selection activeCell="D12" sqref="D12"/>
      <pageMargins left="0.7" right="0.7" top="0.75" bottom="0.75" header="0.3" footer="0.3"/>
      <printOptions horizontalCentered="1"/>
      <pageSetup scale="45" fitToWidth="0" fitToHeight="0" orientation="portrait" r:id="rId1"/>
      <headerFooter alignWithMargins="0"/>
    </customSheetView>
    <customSheetView guid="{901B528B-D65D-48CA-A638-FD9B4E5BB6D4}" scale="60" showPageBreaks="1" printArea="1" view="pageBreakPreview">
      <selection activeCell="D12" sqref="D12"/>
      <pageMargins left="0.7" right="0.7" top="0.75" bottom="0.75" header="0.3" footer="0.3"/>
      <printOptions horizontalCentered="1"/>
      <pageSetup scale="45" fitToWidth="0" fitToHeight="0" orientation="portrait" r:id="rId2"/>
      <headerFooter alignWithMargins="0"/>
    </customSheetView>
    <customSheetView guid="{E1861F40-EBD5-44AE-868B-FDE0ED504D72}" showPageBreaks="1" printArea="1" view="pageBreakPreview">
      <selection activeCell="H4" sqref="H4"/>
      <pageMargins left="0.75" right="0.75" top="1" bottom="1" header="0.5" footer="0.5"/>
      <printOptions horizontalCentered="1"/>
      <pageSetup scale="76" orientation="portrait" r:id="rId3"/>
      <headerFooter alignWithMargins="0"/>
    </customSheetView>
    <customSheetView guid="{0DE222E8-ADD6-4F4B-9601-960D8109381F}" scale="80" showPageBreaks="1" printArea="1" view="pageBreakPreview">
      <pageMargins left="0.7" right="0.7" top="0.75" bottom="0.75" header="0.3" footer="0.3"/>
      <printOptions horizontalCentered="1"/>
      <pageSetup scale="45" fitToWidth="0" fitToHeight="0" orientation="portrait" r:id="rId4"/>
      <headerFooter alignWithMargins="0"/>
    </customSheetView>
  </customSheetViews>
  <mergeCells count="3">
    <mergeCell ref="C16:I16"/>
    <mergeCell ref="C18:I18"/>
    <mergeCell ref="B6:I6"/>
  </mergeCells>
  <phoneticPr fontId="51" type="noConversion"/>
  <printOptions horizontalCentered="1"/>
  <pageMargins left="0.7" right="0.7" top="0.75" bottom="0.75" header="0.3" footer="0.3"/>
  <pageSetup scale="45" fitToWidth="0" fitToHeight="0" orientation="portrait" r:id="rId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J55"/>
  <sheetViews>
    <sheetView view="pageBreakPreview" zoomScale="60" zoomScaleNormal="100" workbookViewId="0">
      <selection activeCell="B35" sqref="B35"/>
    </sheetView>
  </sheetViews>
  <sheetFormatPr defaultColWidth="8.90625" defaultRowHeight="20.100000000000001" customHeight="1"/>
  <cols>
    <col min="1" max="1" width="4.36328125" style="81" customWidth="1"/>
    <col min="2" max="2" width="24.81640625" style="83" customWidth="1"/>
    <col min="3" max="3" width="9.6328125" style="83" bestFit="1" customWidth="1"/>
    <col min="4" max="4" width="25.54296875" style="81" customWidth="1"/>
    <col min="5" max="9" width="15.81640625" style="81" customWidth="1"/>
    <col min="10" max="10" width="18.81640625" style="81" customWidth="1"/>
    <col min="11" max="16384" width="8.90625" style="81"/>
  </cols>
  <sheetData>
    <row r="1" spans="1:10" ht="16.5" customHeight="1">
      <c r="B1" s="80"/>
      <c r="C1" s="80"/>
      <c r="J1" s="82" t="str">
        <f>'Attachment H-11A '!K1&amp;""&amp;", Attachment 13"</f>
        <v>Attachment H -11A, Attachment 13</v>
      </c>
    </row>
    <row r="2" spans="1:10" ht="16.5" customHeight="1">
      <c r="B2" s="80"/>
      <c r="C2" s="80"/>
      <c r="D2" s="134"/>
      <c r="J2" s="82" t="s">
        <v>188</v>
      </c>
    </row>
    <row r="3" spans="1:10" ht="16.5" customHeight="1">
      <c r="B3" s="80"/>
      <c r="C3" s="80"/>
      <c r="J3" s="82" t="str">
        <f>'Attachment H-11A '!K4</f>
        <v>For the 12 months ended 12/31/2022</v>
      </c>
    </row>
    <row r="4" spans="1:10" ht="20.100000000000001" customHeight="1">
      <c r="B4" s="80"/>
      <c r="C4" s="80"/>
    </row>
    <row r="5" spans="1:10" ht="20.100000000000001" customHeight="1">
      <c r="B5" s="1370" t="s">
        <v>568</v>
      </c>
      <c r="C5" s="1370"/>
      <c r="D5" s="1370"/>
      <c r="E5" s="1370"/>
      <c r="F5" s="1370"/>
      <c r="G5" s="1370"/>
      <c r="H5" s="1370"/>
      <c r="I5" s="1370"/>
    </row>
    <row r="6" spans="1:10" ht="20.100000000000001" customHeight="1">
      <c r="B6" s="1370"/>
      <c r="C6" s="1370"/>
      <c r="D6" s="1370"/>
      <c r="E6" s="1370"/>
      <c r="F6" s="1370"/>
      <c r="G6" s="1370"/>
      <c r="H6" s="1370"/>
      <c r="I6" s="1370"/>
    </row>
    <row r="7" spans="1:10" ht="20.100000000000001" customHeight="1" thickBot="1"/>
    <row r="8" spans="1:10" s="113" customFormat="1" ht="98.25" customHeight="1">
      <c r="B8" s="527" t="s">
        <v>1204</v>
      </c>
      <c r="C8" s="115"/>
      <c r="D8" s="527" t="s">
        <v>739</v>
      </c>
      <c r="E8" s="115"/>
      <c r="F8" s="114" t="s">
        <v>278</v>
      </c>
      <c r="H8" s="112"/>
      <c r="I8" s="112"/>
    </row>
    <row r="9" spans="1:10" ht="20.100000000000001" customHeight="1">
      <c r="B9" s="86"/>
      <c r="C9" s="84"/>
      <c r="D9" s="86"/>
      <c r="E9" s="84"/>
      <c r="F9" s="87"/>
      <c r="H9" s="85"/>
      <c r="I9" s="85"/>
    </row>
    <row r="10" spans="1:10" ht="20.100000000000001" customHeight="1" thickBot="1">
      <c r="A10" s="389">
        <v>1</v>
      </c>
      <c r="B10" s="546">
        <v>0</v>
      </c>
      <c r="C10" s="90" t="str">
        <f>"-"</f>
        <v>-</v>
      </c>
      <c r="D10" s="546">
        <f>'Attachment 13b - PJM Billings'!L20</f>
        <v>0</v>
      </c>
      <c r="E10" s="90" t="str">
        <f>"="</f>
        <v>=</v>
      </c>
      <c r="F10" s="91">
        <f>IF(B10=0,0,D10-B10)</f>
        <v>0</v>
      </c>
      <c r="H10" s="85"/>
      <c r="I10" s="85"/>
    </row>
    <row r="11" spans="1:10" ht="20.100000000000001" customHeight="1" thickBot="1">
      <c r="A11" s="389"/>
      <c r="B11" s="92"/>
      <c r="C11" s="93"/>
      <c r="D11" s="92"/>
      <c r="E11" s="93"/>
      <c r="F11" s="92"/>
      <c r="G11" s="94"/>
      <c r="H11" s="94"/>
      <c r="I11" s="94"/>
    </row>
    <row r="12" spans="1:10" ht="20.100000000000001" customHeight="1">
      <c r="A12" s="389"/>
      <c r="B12" s="95"/>
      <c r="C12" s="88"/>
      <c r="D12" s="89"/>
      <c r="E12" s="88"/>
      <c r="F12" s="89"/>
      <c r="G12" s="85"/>
      <c r="H12" s="85"/>
      <c r="I12" s="85"/>
    </row>
    <row r="13" spans="1:10" ht="31.2">
      <c r="A13" s="389"/>
      <c r="B13" s="1371"/>
      <c r="C13" s="1371"/>
      <c r="D13" s="97" t="s">
        <v>279</v>
      </c>
      <c r="E13" s="97" t="s">
        <v>280</v>
      </c>
      <c r="F13" s="90" t="s">
        <v>281</v>
      </c>
      <c r="G13" s="98" t="s">
        <v>282</v>
      </c>
      <c r="H13" s="97" t="s">
        <v>283</v>
      </c>
      <c r="I13" s="97" t="s">
        <v>805</v>
      </c>
    </row>
    <row r="14" spans="1:10" ht="20.100000000000001" customHeight="1">
      <c r="A14" s="389">
        <v>2</v>
      </c>
      <c r="B14" s="117" t="s">
        <v>639</v>
      </c>
      <c r="C14" s="88"/>
      <c r="D14" s="85"/>
      <c r="E14" s="670">
        <v>0</v>
      </c>
      <c r="F14" s="89"/>
      <c r="G14" s="85"/>
      <c r="H14" s="85"/>
      <c r="I14" s="85"/>
      <c r="J14" s="134"/>
    </row>
    <row r="15" spans="1:10" ht="20.100000000000001" customHeight="1">
      <c r="A15" s="389"/>
      <c r="B15" s="96"/>
      <c r="C15" s="88"/>
      <c r="D15" s="85"/>
      <c r="E15" s="99"/>
      <c r="F15" s="89"/>
      <c r="G15" s="85"/>
      <c r="H15" s="85"/>
      <c r="I15" s="85"/>
    </row>
    <row r="16" spans="1:10" ht="20.100000000000001" customHeight="1">
      <c r="A16" s="389"/>
      <c r="B16" s="965" t="s">
        <v>738</v>
      </c>
      <c r="C16" s="966"/>
      <c r="D16" s="967"/>
      <c r="E16" s="670"/>
      <c r="F16" s="968"/>
      <c r="G16" s="968"/>
      <c r="H16" s="967"/>
      <c r="I16" s="85"/>
    </row>
    <row r="17" spans="1:9" ht="20.100000000000001" customHeight="1">
      <c r="A17" s="389"/>
      <c r="B17" s="100" t="s">
        <v>3</v>
      </c>
      <c r="C17" s="88"/>
      <c r="D17" s="88"/>
      <c r="E17" s="88" t="s">
        <v>3</v>
      </c>
      <c r="F17" s="85"/>
      <c r="G17" s="85"/>
      <c r="H17" s="85"/>
      <c r="I17" s="85"/>
    </row>
    <row r="18" spans="1:9" ht="20.100000000000001" customHeight="1">
      <c r="A18" s="389"/>
      <c r="B18" s="116" t="s">
        <v>285</v>
      </c>
      <c r="C18" s="88"/>
      <c r="D18" s="88"/>
      <c r="E18" s="85"/>
      <c r="F18" s="85"/>
      <c r="G18" s="90" t="s">
        <v>286</v>
      </c>
      <c r="H18" s="88"/>
      <c r="I18" s="88"/>
    </row>
    <row r="19" spans="1:9" ht="20.100000000000001" customHeight="1">
      <c r="A19" s="389">
        <v>3</v>
      </c>
      <c r="B19" s="84" t="s">
        <v>201</v>
      </c>
      <c r="C19" s="528" t="s">
        <v>891</v>
      </c>
      <c r="D19" s="101">
        <f>+F10/12</f>
        <v>0</v>
      </c>
      <c r="E19" s="102">
        <f>+E14</f>
        <v>0</v>
      </c>
      <c r="F19" s="103"/>
      <c r="G19" s="101">
        <f>E19*D19*-1</f>
        <v>0</v>
      </c>
      <c r="H19" s="101"/>
      <c r="I19" s="101">
        <f t="shared" ref="I19:I30" si="0">(-G19+D19)*-1</f>
        <v>0</v>
      </c>
    </row>
    <row r="20" spans="1:9" ht="20.100000000000001" customHeight="1">
      <c r="A20" s="389">
        <v>4</v>
      </c>
      <c r="B20" s="84" t="s">
        <v>202</v>
      </c>
      <c r="C20" s="84" t="str">
        <f>C19</f>
        <v>Year 2019</v>
      </c>
      <c r="D20" s="101">
        <f>-I19</f>
        <v>0</v>
      </c>
      <c r="E20" s="102">
        <f>+E19</f>
        <v>0</v>
      </c>
      <c r="F20" s="104"/>
      <c r="G20" s="101">
        <f t="shared" ref="G20:G30" si="1">E20*D20*-1</f>
        <v>0</v>
      </c>
      <c r="H20" s="101"/>
      <c r="I20" s="101">
        <f t="shared" si="0"/>
        <v>0</v>
      </c>
    </row>
    <row r="21" spans="1:9" ht="20.100000000000001" customHeight="1">
      <c r="A21" s="389">
        <v>5</v>
      </c>
      <c r="B21" s="84" t="s">
        <v>203</v>
      </c>
      <c r="C21" s="84" t="str">
        <f>C20</f>
        <v>Year 2019</v>
      </c>
      <c r="D21" s="101">
        <f t="shared" ref="D21:D30" si="2">-I20</f>
        <v>0</v>
      </c>
      <c r="E21" s="102">
        <f t="shared" ref="E21:E30" si="3">+E20</f>
        <v>0</v>
      </c>
      <c r="F21" s="104"/>
      <c r="G21" s="101">
        <f t="shared" si="1"/>
        <v>0</v>
      </c>
      <c r="H21" s="101"/>
      <c r="I21" s="101">
        <f t="shared" si="0"/>
        <v>0</v>
      </c>
    </row>
    <row r="22" spans="1:9" ht="20.100000000000001" customHeight="1">
      <c r="A22" s="389">
        <v>6</v>
      </c>
      <c r="B22" s="84" t="s">
        <v>204</v>
      </c>
      <c r="C22" s="84" t="str">
        <f t="shared" ref="C22:C29" si="4">C21</f>
        <v>Year 2019</v>
      </c>
      <c r="D22" s="101">
        <f t="shared" si="2"/>
        <v>0</v>
      </c>
      <c r="E22" s="102">
        <f t="shared" si="3"/>
        <v>0</v>
      </c>
      <c r="F22" s="104"/>
      <c r="G22" s="101">
        <f t="shared" si="1"/>
        <v>0</v>
      </c>
      <c r="H22" s="101"/>
      <c r="I22" s="101">
        <f t="shared" si="0"/>
        <v>0</v>
      </c>
    </row>
    <row r="23" spans="1:9" ht="20.100000000000001" customHeight="1">
      <c r="A23" s="389">
        <v>7</v>
      </c>
      <c r="B23" s="84" t="s">
        <v>205</v>
      </c>
      <c r="C23" s="84" t="str">
        <f t="shared" si="4"/>
        <v>Year 2019</v>
      </c>
      <c r="D23" s="101">
        <f t="shared" si="2"/>
        <v>0</v>
      </c>
      <c r="E23" s="102">
        <f t="shared" si="3"/>
        <v>0</v>
      </c>
      <c r="F23" s="104"/>
      <c r="G23" s="101">
        <f t="shared" si="1"/>
        <v>0</v>
      </c>
      <c r="H23" s="101"/>
      <c r="I23" s="101">
        <f t="shared" si="0"/>
        <v>0</v>
      </c>
    </row>
    <row r="24" spans="1:9" ht="20.100000000000001" customHeight="1">
      <c r="A24" s="389">
        <v>8</v>
      </c>
      <c r="B24" s="84" t="s">
        <v>215</v>
      </c>
      <c r="C24" s="84" t="str">
        <f t="shared" si="4"/>
        <v>Year 2019</v>
      </c>
      <c r="D24" s="101">
        <f t="shared" si="2"/>
        <v>0</v>
      </c>
      <c r="E24" s="102">
        <f t="shared" si="3"/>
        <v>0</v>
      </c>
      <c r="F24" s="104"/>
      <c r="G24" s="101">
        <f t="shared" si="1"/>
        <v>0</v>
      </c>
      <c r="H24" s="101"/>
      <c r="I24" s="101">
        <f t="shared" si="0"/>
        <v>0</v>
      </c>
    </row>
    <row r="25" spans="1:9" ht="20.100000000000001" customHeight="1">
      <c r="A25" s="389">
        <v>9</v>
      </c>
      <c r="B25" s="84" t="s">
        <v>206</v>
      </c>
      <c r="C25" s="84" t="str">
        <f t="shared" si="4"/>
        <v>Year 2019</v>
      </c>
      <c r="D25" s="101">
        <f t="shared" si="2"/>
        <v>0</v>
      </c>
      <c r="E25" s="102">
        <f t="shared" si="3"/>
        <v>0</v>
      </c>
      <c r="F25" s="104"/>
      <c r="G25" s="101">
        <f t="shared" si="1"/>
        <v>0</v>
      </c>
      <c r="H25" s="101"/>
      <c r="I25" s="101">
        <f t="shared" si="0"/>
        <v>0</v>
      </c>
    </row>
    <row r="26" spans="1:9" ht="20.100000000000001" customHeight="1">
      <c r="A26" s="389">
        <v>10</v>
      </c>
      <c r="B26" s="84" t="s">
        <v>207</v>
      </c>
      <c r="C26" s="84" t="str">
        <f t="shared" si="4"/>
        <v>Year 2019</v>
      </c>
      <c r="D26" s="101">
        <f t="shared" si="2"/>
        <v>0</v>
      </c>
      <c r="E26" s="102">
        <f t="shared" si="3"/>
        <v>0</v>
      </c>
      <c r="F26" s="104"/>
      <c r="G26" s="101">
        <f t="shared" si="1"/>
        <v>0</v>
      </c>
      <c r="H26" s="101"/>
      <c r="I26" s="101">
        <f t="shared" si="0"/>
        <v>0</v>
      </c>
    </row>
    <row r="27" spans="1:9" ht="20.100000000000001" customHeight="1">
      <c r="A27" s="389">
        <v>11</v>
      </c>
      <c r="B27" s="84" t="s">
        <v>208</v>
      </c>
      <c r="C27" s="84" t="str">
        <f t="shared" si="4"/>
        <v>Year 2019</v>
      </c>
      <c r="D27" s="101">
        <f t="shared" si="2"/>
        <v>0</v>
      </c>
      <c r="E27" s="102">
        <f t="shared" si="3"/>
        <v>0</v>
      </c>
      <c r="F27" s="104"/>
      <c r="G27" s="101">
        <f t="shared" si="1"/>
        <v>0</v>
      </c>
      <c r="H27" s="101"/>
      <c r="I27" s="101">
        <f t="shared" si="0"/>
        <v>0</v>
      </c>
    </row>
    <row r="28" spans="1:9" ht="20.100000000000001" customHeight="1">
      <c r="A28" s="389">
        <v>12</v>
      </c>
      <c r="B28" s="84" t="s">
        <v>210</v>
      </c>
      <c r="C28" s="84" t="str">
        <f>C27</f>
        <v>Year 2019</v>
      </c>
      <c r="D28" s="101">
        <f t="shared" si="2"/>
        <v>0</v>
      </c>
      <c r="E28" s="102">
        <f t="shared" si="3"/>
        <v>0</v>
      </c>
      <c r="F28" s="104"/>
      <c r="G28" s="101">
        <f t="shared" si="1"/>
        <v>0</v>
      </c>
      <c r="H28" s="101"/>
      <c r="I28" s="101">
        <f t="shared" si="0"/>
        <v>0</v>
      </c>
    </row>
    <row r="29" spans="1:9" ht="20.100000000000001" customHeight="1">
      <c r="A29" s="389">
        <v>13</v>
      </c>
      <c r="B29" s="84" t="s">
        <v>209</v>
      </c>
      <c r="C29" s="84" t="str">
        <f t="shared" si="4"/>
        <v>Year 2019</v>
      </c>
      <c r="D29" s="101">
        <f t="shared" si="2"/>
        <v>0</v>
      </c>
      <c r="E29" s="102">
        <f t="shared" si="3"/>
        <v>0</v>
      </c>
      <c r="F29" s="104"/>
      <c r="G29" s="101">
        <f t="shared" si="1"/>
        <v>0</v>
      </c>
      <c r="H29" s="101"/>
      <c r="I29" s="101">
        <f t="shared" si="0"/>
        <v>0</v>
      </c>
    </row>
    <row r="30" spans="1:9" ht="20.100000000000001" customHeight="1">
      <c r="A30" s="389">
        <v>14</v>
      </c>
      <c r="B30" s="84" t="s">
        <v>200</v>
      </c>
      <c r="C30" s="84" t="str">
        <f>C29</f>
        <v>Year 2019</v>
      </c>
      <c r="D30" s="101">
        <f t="shared" si="2"/>
        <v>0</v>
      </c>
      <c r="E30" s="102">
        <f t="shared" si="3"/>
        <v>0</v>
      </c>
      <c r="F30" s="104"/>
      <c r="G30" s="101">
        <f t="shared" si="1"/>
        <v>0</v>
      </c>
      <c r="H30" s="101"/>
      <c r="I30" s="101">
        <f t="shared" si="0"/>
        <v>0</v>
      </c>
    </row>
    <row r="31" spans="1:9" ht="20.100000000000001" customHeight="1">
      <c r="A31" s="389"/>
      <c r="B31" s="84"/>
      <c r="C31" s="84"/>
      <c r="D31" s="101"/>
      <c r="E31" s="102"/>
      <c r="F31" s="104"/>
      <c r="G31" s="101">
        <f>SUM(G19:G30)</f>
        <v>0</v>
      </c>
      <c r="H31" s="101"/>
      <c r="I31" s="106">
        <f>SUM(I19:I30)</f>
        <v>0</v>
      </c>
    </row>
    <row r="32" spans="1:9" ht="20.100000000000001" customHeight="1">
      <c r="A32" s="389"/>
      <c r="B32" s="84"/>
      <c r="C32" s="84"/>
      <c r="D32" s="101"/>
      <c r="E32" s="102"/>
      <c r="F32" s="103"/>
      <c r="G32" s="101"/>
      <c r="H32" s="101" t="s">
        <v>3</v>
      </c>
      <c r="I32" s="107"/>
    </row>
    <row r="33" spans="1:9" ht="20.100000000000001" customHeight="1">
      <c r="A33" s="389"/>
      <c r="B33" s="84"/>
      <c r="C33" s="84"/>
      <c r="D33" s="89"/>
      <c r="E33" s="102"/>
      <c r="F33" s="1268"/>
      <c r="G33" s="108" t="s">
        <v>812</v>
      </c>
      <c r="H33" s="101"/>
      <c r="I33" s="101"/>
    </row>
    <row r="34" spans="1:9" ht="20.100000000000001" customHeight="1">
      <c r="A34" s="389">
        <f>A30+1</f>
        <v>15</v>
      </c>
      <c r="B34" s="84" t="s">
        <v>287</v>
      </c>
      <c r="C34" s="528" t="s">
        <v>890</v>
      </c>
      <c r="D34" s="89">
        <f>I31</f>
        <v>0</v>
      </c>
      <c r="E34" s="102">
        <f>+E30</f>
        <v>0</v>
      </c>
      <c r="F34" s="103">
        <v>12</v>
      </c>
      <c r="G34" s="101">
        <f>D34*(1+E14)^(1*12)-D34</f>
        <v>0</v>
      </c>
      <c r="H34" s="101"/>
      <c r="I34" s="106">
        <f>+D34+G34</f>
        <v>0</v>
      </c>
    </row>
    <row r="35" spans="1:9" ht="20.100000000000001" customHeight="1">
      <c r="A35" s="389"/>
      <c r="B35" s="84"/>
      <c r="C35" s="84"/>
      <c r="D35" s="89"/>
      <c r="E35" s="102"/>
      <c r="F35" s="84"/>
      <c r="G35" s="101"/>
      <c r="H35" s="101"/>
      <c r="I35" s="101"/>
    </row>
    <row r="36" spans="1:9" ht="20.100000000000001" customHeight="1">
      <c r="A36" s="389"/>
      <c r="B36" s="109" t="s">
        <v>288</v>
      </c>
      <c r="C36" s="84"/>
      <c r="D36" s="101"/>
      <c r="E36" s="102"/>
      <c r="F36" s="84"/>
      <c r="G36" s="108" t="s">
        <v>286</v>
      </c>
      <c r="H36" s="101"/>
      <c r="I36" s="101"/>
    </row>
    <row r="37" spans="1:9" ht="20.100000000000001" customHeight="1">
      <c r="A37" s="389">
        <f>A34+1</f>
        <v>16</v>
      </c>
      <c r="B37" s="84" t="s">
        <v>201</v>
      </c>
      <c r="C37" s="528" t="s">
        <v>889</v>
      </c>
      <c r="D37" s="110">
        <f>-I34</f>
        <v>0</v>
      </c>
      <c r="E37" s="102">
        <f>+E30</f>
        <v>0</v>
      </c>
      <c r="F37" s="84"/>
      <c r="G37" s="101">
        <f t="shared" ref="G37:G48" si="5" xml:space="preserve"> -E37*D37</f>
        <v>0</v>
      </c>
      <c r="H37" s="101">
        <f>PMT(E37,12,I$34)</f>
        <v>0</v>
      </c>
      <c r="I37" s="101">
        <f t="shared" ref="I37:I48" si="6">(+D37+D37*E37-H37)*-1</f>
        <v>0</v>
      </c>
    </row>
    <row r="38" spans="1:9" ht="20.100000000000001" customHeight="1">
      <c r="A38" s="389">
        <f>A37+1</f>
        <v>17</v>
      </c>
      <c r="B38" s="84" t="s">
        <v>202</v>
      </c>
      <c r="C38" s="84" t="str">
        <f>+C37</f>
        <v>Year 2021</v>
      </c>
      <c r="D38" s="89">
        <f>-I37</f>
        <v>0</v>
      </c>
      <c r="E38" s="102">
        <f>+E37</f>
        <v>0</v>
      </c>
      <c r="F38" s="84"/>
      <c r="G38" s="101">
        <f t="shared" si="5"/>
        <v>0</v>
      </c>
      <c r="H38" s="101">
        <f>H37</f>
        <v>0</v>
      </c>
      <c r="I38" s="101">
        <f t="shared" si="6"/>
        <v>0</v>
      </c>
    </row>
    <row r="39" spans="1:9" ht="20.100000000000001" customHeight="1">
      <c r="A39" s="389">
        <f t="shared" ref="A39:A48" si="7">A38+1</f>
        <v>18</v>
      </c>
      <c r="B39" s="84" t="s">
        <v>203</v>
      </c>
      <c r="C39" s="84" t="str">
        <f>+C38</f>
        <v>Year 2021</v>
      </c>
      <c r="D39" s="89">
        <f t="shared" ref="D39:D48" si="8">-I38</f>
        <v>0</v>
      </c>
      <c r="E39" s="102">
        <f t="shared" ref="E39:E48" si="9">+E38</f>
        <v>0</v>
      </c>
      <c r="F39" s="84"/>
      <c r="G39" s="101">
        <f t="shared" si="5"/>
        <v>0</v>
      </c>
      <c r="H39" s="101">
        <f t="shared" ref="H39:H48" si="10">H38</f>
        <v>0</v>
      </c>
      <c r="I39" s="101">
        <f t="shared" si="6"/>
        <v>0</v>
      </c>
    </row>
    <row r="40" spans="1:9" ht="20.100000000000001" customHeight="1">
      <c r="A40" s="389">
        <f t="shared" si="7"/>
        <v>19</v>
      </c>
      <c r="B40" s="84" t="s">
        <v>204</v>
      </c>
      <c r="C40" s="84" t="str">
        <f>+C39</f>
        <v>Year 2021</v>
      </c>
      <c r="D40" s="89">
        <f t="shared" si="8"/>
        <v>0</v>
      </c>
      <c r="E40" s="102">
        <f t="shared" si="9"/>
        <v>0</v>
      </c>
      <c r="F40" s="84"/>
      <c r="G40" s="101">
        <f t="shared" si="5"/>
        <v>0</v>
      </c>
      <c r="H40" s="101">
        <f t="shared" si="10"/>
        <v>0</v>
      </c>
      <c r="I40" s="101">
        <f t="shared" si="6"/>
        <v>0</v>
      </c>
    </row>
    <row r="41" spans="1:9" ht="20.100000000000001" customHeight="1">
      <c r="A41" s="389">
        <f t="shared" si="7"/>
        <v>20</v>
      </c>
      <c r="B41" s="84" t="s">
        <v>205</v>
      </c>
      <c r="C41" s="84" t="str">
        <f>+C40</f>
        <v>Year 2021</v>
      </c>
      <c r="D41" s="89">
        <f t="shared" si="8"/>
        <v>0</v>
      </c>
      <c r="E41" s="102">
        <f t="shared" si="9"/>
        <v>0</v>
      </c>
      <c r="F41" s="84"/>
      <c r="G41" s="101">
        <f t="shared" si="5"/>
        <v>0</v>
      </c>
      <c r="H41" s="101">
        <f t="shared" si="10"/>
        <v>0</v>
      </c>
      <c r="I41" s="101">
        <f t="shared" si="6"/>
        <v>0</v>
      </c>
    </row>
    <row r="42" spans="1:9" ht="20.100000000000001" customHeight="1">
      <c r="A42" s="389">
        <f t="shared" si="7"/>
        <v>21</v>
      </c>
      <c r="B42" s="84" t="s">
        <v>215</v>
      </c>
      <c r="C42" s="84" t="str">
        <f>C41</f>
        <v>Year 2021</v>
      </c>
      <c r="D42" s="89">
        <f t="shared" si="8"/>
        <v>0</v>
      </c>
      <c r="E42" s="102">
        <f t="shared" si="9"/>
        <v>0</v>
      </c>
      <c r="F42" s="84"/>
      <c r="G42" s="101">
        <f t="shared" si="5"/>
        <v>0</v>
      </c>
      <c r="H42" s="101">
        <f t="shared" si="10"/>
        <v>0</v>
      </c>
      <c r="I42" s="101">
        <f t="shared" si="6"/>
        <v>0</v>
      </c>
    </row>
    <row r="43" spans="1:9" ht="20.100000000000001" customHeight="1">
      <c r="A43" s="389">
        <f t="shared" si="7"/>
        <v>22</v>
      </c>
      <c r="B43" s="84" t="s">
        <v>206</v>
      </c>
      <c r="C43" s="84" t="str">
        <f t="shared" ref="C43:C48" si="11">+C42</f>
        <v>Year 2021</v>
      </c>
      <c r="D43" s="89">
        <f t="shared" si="8"/>
        <v>0</v>
      </c>
      <c r="E43" s="102">
        <f t="shared" si="9"/>
        <v>0</v>
      </c>
      <c r="F43" s="84"/>
      <c r="G43" s="101">
        <f t="shared" si="5"/>
        <v>0</v>
      </c>
      <c r="H43" s="101">
        <f t="shared" si="10"/>
        <v>0</v>
      </c>
      <c r="I43" s="101">
        <f t="shared" si="6"/>
        <v>0</v>
      </c>
    </row>
    <row r="44" spans="1:9" ht="20.100000000000001" customHeight="1">
      <c r="A44" s="389">
        <f t="shared" si="7"/>
        <v>23</v>
      </c>
      <c r="B44" s="84" t="s">
        <v>207</v>
      </c>
      <c r="C44" s="84" t="str">
        <f t="shared" si="11"/>
        <v>Year 2021</v>
      </c>
      <c r="D44" s="89">
        <f t="shared" si="8"/>
        <v>0</v>
      </c>
      <c r="E44" s="102">
        <f t="shared" si="9"/>
        <v>0</v>
      </c>
      <c r="F44" s="84"/>
      <c r="G44" s="101">
        <f t="shared" si="5"/>
        <v>0</v>
      </c>
      <c r="H44" s="101">
        <f t="shared" si="10"/>
        <v>0</v>
      </c>
      <c r="I44" s="101">
        <f t="shared" si="6"/>
        <v>0</v>
      </c>
    </row>
    <row r="45" spans="1:9" ht="20.100000000000001" customHeight="1">
      <c r="A45" s="389">
        <f t="shared" si="7"/>
        <v>24</v>
      </c>
      <c r="B45" s="84" t="s">
        <v>208</v>
      </c>
      <c r="C45" s="84" t="str">
        <f t="shared" si="11"/>
        <v>Year 2021</v>
      </c>
      <c r="D45" s="89">
        <f t="shared" si="8"/>
        <v>0</v>
      </c>
      <c r="E45" s="102">
        <f t="shared" si="9"/>
        <v>0</v>
      </c>
      <c r="F45" s="84"/>
      <c r="G45" s="101">
        <f t="shared" si="5"/>
        <v>0</v>
      </c>
      <c r="H45" s="101">
        <f t="shared" si="10"/>
        <v>0</v>
      </c>
      <c r="I45" s="101">
        <f t="shared" si="6"/>
        <v>0</v>
      </c>
    </row>
    <row r="46" spans="1:9" ht="20.100000000000001" customHeight="1">
      <c r="A46" s="389">
        <f t="shared" si="7"/>
        <v>25</v>
      </c>
      <c r="B46" s="84" t="s">
        <v>210</v>
      </c>
      <c r="C46" s="84" t="str">
        <f t="shared" si="11"/>
        <v>Year 2021</v>
      </c>
      <c r="D46" s="89">
        <f t="shared" si="8"/>
        <v>0</v>
      </c>
      <c r="E46" s="102">
        <f t="shared" si="9"/>
        <v>0</v>
      </c>
      <c r="F46" s="84"/>
      <c r="G46" s="101">
        <f t="shared" si="5"/>
        <v>0</v>
      </c>
      <c r="H46" s="101">
        <f t="shared" si="10"/>
        <v>0</v>
      </c>
      <c r="I46" s="101">
        <f t="shared" si="6"/>
        <v>0</v>
      </c>
    </row>
    <row r="47" spans="1:9" ht="20.100000000000001" customHeight="1">
      <c r="A47" s="389">
        <f t="shared" si="7"/>
        <v>26</v>
      </c>
      <c r="B47" s="84" t="s">
        <v>209</v>
      </c>
      <c r="C47" s="84" t="str">
        <f t="shared" si="11"/>
        <v>Year 2021</v>
      </c>
      <c r="D47" s="89">
        <f t="shared" si="8"/>
        <v>0</v>
      </c>
      <c r="E47" s="102">
        <f t="shared" si="9"/>
        <v>0</v>
      </c>
      <c r="F47" s="84"/>
      <c r="G47" s="101">
        <f t="shared" si="5"/>
        <v>0</v>
      </c>
      <c r="H47" s="101">
        <f t="shared" si="10"/>
        <v>0</v>
      </c>
      <c r="I47" s="101">
        <f t="shared" si="6"/>
        <v>0</v>
      </c>
    </row>
    <row r="48" spans="1:9" ht="20.100000000000001" customHeight="1">
      <c r="A48" s="389">
        <f t="shared" si="7"/>
        <v>27</v>
      </c>
      <c r="B48" s="84" t="s">
        <v>200</v>
      </c>
      <c r="C48" s="84" t="str">
        <f t="shared" si="11"/>
        <v>Year 2021</v>
      </c>
      <c r="D48" s="89">
        <f t="shared" si="8"/>
        <v>0</v>
      </c>
      <c r="E48" s="102">
        <f t="shared" si="9"/>
        <v>0</v>
      </c>
      <c r="F48" s="84"/>
      <c r="G48" s="105">
        <f t="shared" si="5"/>
        <v>0</v>
      </c>
      <c r="H48" s="101">
        <f t="shared" si="10"/>
        <v>0</v>
      </c>
      <c r="I48" s="101">
        <f t="shared" si="6"/>
        <v>0</v>
      </c>
    </row>
    <row r="49" spans="1:10" ht="20.100000000000001" customHeight="1">
      <c r="A49" s="389"/>
      <c r="B49" s="84"/>
      <c r="C49" s="84"/>
      <c r="D49" s="89"/>
      <c r="E49" s="102"/>
      <c r="F49" s="84"/>
      <c r="G49" s="101">
        <f>SUM(G37:G48)</f>
        <v>0</v>
      </c>
      <c r="H49" s="101"/>
      <c r="I49" s="101"/>
    </row>
    <row r="50" spans="1:10" ht="20.100000000000001" customHeight="1">
      <c r="A50" s="389"/>
      <c r="B50" s="107"/>
      <c r="C50" s="107"/>
      <c r="D50" s="107"/>
      <c r="E50" s="107"/>
      <c r="F50" s="107"/>
      <c r="G50" s="107"/>
      <c r="H50" s="107"/>
      <c r="I50" s="107"/>
    </row>
    <row r="51" spans="1:10" ht="20.100000000000001" customHeight="1">
      <c r="A51" s="389">
        <v>28</v>
      </c>
      <c r="B51" s="84" t="s">
        <v>291</v>
      </c>
      <c r="C51" s="107"/>
      <c r="D51" s="107"/>
      <c r="E51" s="107"/>
      <c r="F51" s="107"/>
      <c r="G51" s="107"/>
      <c r="H51" s="111">
        <f>SUM(H37:H48)</f>
        <v>0</v>
      </c>
      <c r="I51" s="107"/>
    </row>
    <row r="52" spans="1:10" ht="20.100000000000001" customHeight="1">
      <c r="A52" s="389">
        <v>29</v>
      </c>
      <c r="B52" s="84" t="s">
        <v>289</v>
      </c>
      <c r="C52" s="107"/>
      <c r="D52" s="107"/>
      <c r="E52" s="107"/>
      <c r="F52" s="107"/>
      <c r="G52" s="107"/>
      <c r="H52" s="111">
        <f>+F10</f>
        <v>0</v>
      </c>
      <c r="I52" s="107"/>
    </row>
    <row r="53" spans="1:10" ht="20.100000000000001" customHeight="1">
      <c r="A53" s="389">
        <v>30</v>
      </c>
      <c r="B53" s="84" t="s">
        <v>290</v>
      </c>
      <c r="C53" s="107"/>
      <c r="D53" s="107"/>
      <c r="E53" s="107"/>
      <c r="F53" s="107"/>
      <c r="G53" s="107"/>
      <c r="H53" s="111">
        <f>(H51-H52)</f>
        <v>0</v>
      </c>
      <c r="I53" s="107"/>
    </row>
    <row r="54" spans="1:10" ht="20.100000000000001" customHeight="1">
      <c r="A54" s="389"/>
      <c r="B54" s="84"/>
      <c r="C54" s="107"/>
      <c r="D54" s="107"/>
      <c r="E54" s="107"/>
      <c r="F54" s="107"/>
      <c r="G54" s="107"/>
      <c r="H54" s="111"/>
      <c r="I54" s="107"/>
    </row>
    <row r="55" spans="1:10" ht="33" customHeight="1">
      <c r="A55" s="671" t="s">
        <v>225</v>
      </c>
      <c r="B55" s="1372" t="s">
        <v>1051</v>
      </c>
      <c r="C55" s="1372"/>
      <c r="D55" s="1372"/>
      <c r="E55" s="1372"/>
      <c r="F55" s="1372"/>
      <c r="G55" s="1372"/>
      <c r="H55" s="1372"/>
      <c r="I55" s="1372"/>
      <c r="J55" s="1372"/>
    </row>
  </sheetData>
  <customSheetViews>
    <customSheetView guid="{B991F324-919F-4749-8E3C-A09B2FA7BB10}" scale="60" showPageBreaks="1" printArea="1" view="pageBreakPreview">
      <selection activeCell="G20" sqref="G20"/>
      <pageMargins left="0.7" right="0.7" top="0.75" bottom="0.75" header="0.3" footer="0.3"/>
      <printOptions horizontalCentered="1"/>
      <pageSetup scale="45" fitToWidth="0" fitToHeight="0" orientation="portrait" r:id="rId1"/>
      <headerFooter alignWithMargins="0"/>
    </customSheetView>
    <customSheetView guid="{901B528B-D65D-48CA-A638-FD9B4E5BB6D4}" scale="60" showPageBreaks="1" printArea="1" view="pageBreakPreview">
      <selection activeCell="G20" sqref="G20"/>
      <pageMargins left="0.7" right="0.7" top="0.75" bottom="0.75" header="0.3" footer="0.3"/>
      <printOptions horizontalCentered="1"/>
      <pageSetup scale="45" fitToWidth="0" fitToHeight="0" orientation="portrait" r:id="rId2"/>
      <headerFooter alignWithMargins="0"/>
    </customSheetView>
    <customSheetView guid="{0DE222E8-ADD6-4F4B-9601-960D8109381F}" scale="60" showPageBreaks="1" printArea="1" view="pageBreakPreview">
      <pageMargins left="0.7" right="0.7" top="0.75" bottom="0.75" header="0.3" footer="0.3"/>
      <printOptions horizontalCentered="1"/>
      <pageSetup scale="45" fitToWidth="0" fitToHeight="0" orientation="portrait" r:id="rId3"/>
      <headerFooter alignWithMargins="0"/>
    </customSheetView>
  </customSheetViews>
  <mergeCells count="4">
    <mergeCell ref="B5:I5"/>
    <mergeCell ref="B6:I6"/>
    <mergeCell ref="B13:C13"/>
    <mergeCell ref="B55:J55"/>
  </mergeCells>
  <printOptions horizontalCentered="1"/>
  <pageMargins left="0.7" right="0.7" top="0.75" bottom="0.75" header="0.3" footer="0.3"/>
  <pageSetup scale="45" fitToWidth="0" fitToHeight="0" orientation="portrait" r:id="rId4"/>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55"/>
  <sheetViews>
    <sheetView view="pageBreakPreview" zoomScale="60" zoomScaleNormal="100" workbookViewId="0">
      <selection activeCell="B35" sqref="B35"/>
    </sheetView>
  </sheetViews>
  <sheetFormatPr defaultColWidth="8.90625" defaultRowHeight="20.100000000000001" customHeight="1"/>
  <cols>
    <col min="1" max="1" width="4.36328125" style="81" customWidth="1"/>
    <col min="2" max="2" width="24.81640625" style="83" customWidth="1"/>
    <col min="3" max="3" width="9.6328125" style="83" bestFit="1" customWidth="1"/>
    <col min="4" max="4" width="25.54296875" style="81" customWidth="1"/>
    <col min="5" max="9" width="15.81640625" style="81" customWidth="1"/>
    <col min="10" max="10" width="18.81640625" style="81" customWidth="1"/>
    <col min="11" max="16384" width="8.90625" style="81"/>
  </cols>
  <sheetData>
    <row r="1" spans="1:10" ht="16.5" customHeight="1">
      <c r="B1" s="80"/>
      <c r="C1" s="80"/>
      <c r="J1" s="82" t="str">
        <f>'Attachment H-11A '!K1&amp;""&amp;", Attachment 13a"</f>
        <v>Attachment H -11A, Attachment 13a</v>
      </c>
    </row>
    <row r="2" spans="1:10" ht="16.5" customHeight="1">
      <c r="B2" s="80"/>
      <c r="C2" s="80"/>
      <c r="D2" s="134"/>
      <c r="J2" s="82" t="s">
        <v>188</v>
      </c>
    </row>
    <row r="3" spans="1:10" ht="16.5" customHeight="1">
      <c r="B3" s="80"/>
      <c r="C3" s="80"/>
      <c r="J3" s="82" t="str">
        <f>'Attachment H-11A '!K4</f>
        <v>For the 12 months ended 12/31/2022</v>
      </c>
    </row>
    <row r="4" spans="1:10" ht="20.100000000000001" customHeight="1">
      <c r="B4" s="80"/>
      <c r="C4" s="80"/>
    </row>
    <row r="5" spans="1:10" ht="20.100000000000001" customHeight="1">
      <c r="B5" s="1370" t="s">
        <v>608</v>
      </c>
      <c r="C5" s="1370"/>
      <c r="D5" s="1370"/>
      <c r="E5" s="1370"/>
      <c r="F5" s="1370"/>
      <c r="G5" s="1370"/>
      <c r="H5" s="1370"/>
      <c r="I5" s="1370"/>
    </row>
    <row r="6" spans="1:10" ht="20.100000000000001" customHeight="1">
      <c r="B6" s="1370"/>
      <c r="C6" s="1370"/>
      <c r="D6" s="1370"/>
      <c r="E6" s="1370"/>
      <c r="F6" s="1370"/>
      <c r="G6" s="1370"/>
      <c r="H6" s="1370"/>
      <c r="I6" s="1370"/>
    </row>
    <row r="7" spans="1:10" ht="20.100000000000001" customHeight="1" thickBot="1"/>
    <row r="8" spans="1:10" s="113" customFormat="1" ht="98.25" customHeight="1">
      <c r="B8" s="527" t="s">
        <v>1205</v>
      </c>
      <c r="C8" s="115"/>
      <c r="D8" s="527" t="s">
        <v>740</v>
      </c>
      <c r="E8" s="115"/>
      <c r="F8" s="114" t="s">
        <v>278</v>
      </c>
      <c r="H8" s="112"/>
      <c r="I8" s="112"/>
    </row>
    <row r="9" spans="1:10" ht="20.100000000000001" customHeight="1">
      <c r="B9" s="86"/>
      <c r="C9" s="84"/>
      <c r="D9" s="86"/>
      <c r="E9" s="84"/>
      <c r="F9" s="87"/>
      <c r="H9" s="85"/>
      <c r="I9" s="85"/>
    </row>
    <row r="10" spans="1:10" ht="20.100000000000001" customHeight="1" thickBot="1">
      <c r="A10" s="389">
        <v>1</v>
      </c>
      <c r="B10" s="526">
        <f>'Attachment 12 - TEC True-up'!I34</f>
        <v>0</v>
      </c>
      <c r="C10" s="90" t="str">
        <f>"-"</f>
        <v>-</v>
      </c>
      <c r="D10" s="526">
        <f>'Attachment 12 - TEC True-up'!E15</f>
        <v>0</v>
      </c>
      <c r="E10" s="90" t="str">
        <f>"="</f>
        <v>=</v>
      </c>
      <c r="F10" s="91">
        <f>IF(B10=0,0,D10-B10)</f>
        <v>0</v>
      </c>
      <c r="H10" s="85"/>
      <c r="I10" s="85"/>
    </row>
    <row r="11" spans="1:10" ht="20.100000000000001" customHeight="1" thickBot="1">
      <c r="A11" s="389"/>
      <c r="B11" s="92"/>
      <c r="C11" s="93"/>
      <c r="D11" s="92"/>
      <c r="E11" s="93"/>
      <c r="F11" s="92"/>
      <c r="G11" s="94"/>
      <c r="H11" s="94"/>
      <c r="I11" s="94"/>
    </row>
    <row r="12" spans="1:10" ht="20.100000000000001" customHeight="1">
      <c r="A12" s="389"/>
      <c r="B12" s="95"/>
      <c r="C12" s="88"/>
      <c r="D12" s="89"/>
      <c r="E12" s="88"/>
      <c r="F12" s="89"/>
      <c r="G12" s="85"/>
      <c r="H12" s="85"/>
      <c r="I12" s="85"/>
    </row>
    <row r="13" spans="1:10" ht="31.2">
      <c r="A13" s="389"/>
      <c r="B13" s="1371"/>
      <c r="C13" s="1371"/>
      <c r="D13" s="97" t="s">
        <v>279</v>
      </c>
      <c r="E13" s="97" t="s">
        <v>280</v>
      </c>
      <c r="F13" s="90" t="s">
        <v>281</v>
      </c>
      <c r="G13" s="98" t="s">
        <v>282</v>
      </c>
      <c r="H13" s="97" t="s">
        <v>283</v>
      </c>
      <c r="I13" s="97" t="s">
        <v>284</v>
      </c>
    </row>
    <row r="14" spans="1:10" ht="20.100000000000001" customHeight="1">
      <c r="A14" s="389">
        <v>2</v>
      </c>
      <c r="B14" s="117" t="s">
        <v>639</v>
      </c>
      <c r="C14" s="88"/>
      <c r="D14" s="85"/>
      <c r="E14" s="670">
        <v>0</v>
      </c>
      <c r="F14" s="89"/>
      <c r="G14" s="85"/>
      <c r="H14" s="85"/>
      <c r="I14" s="85"/>
      <c r="J14" s="134"/>
    </row>
    <row r="15" spans="1:10" ht="20.100000000000001" customHeight="1">
      <c r="A15" s="389"/>
      <c r="B15" s="96"/>
      <c r="C15" s="88"/>
      <c r="D15" s="85"/>
      <c r="E15" s="99"/>
      <c r="F15" s="89"/>
      <c r="G15" s="85"/>
      <c r="H15" s="85"/>
      <c r="I15" s="85"/>
    </row>
    <row r="16" spans="1:10" ht="20.100000000000001" customHeight="1">
      <c r="A16" s="389"/>
      <c r="B16" s="965" t="s">
        <v>738</v>
      </c>
      <c r="C16" s="966"/>
      <c r="D16" s="967"/>
      <c r="E16" s="670"/>
      <c r="F16" s="968"/>
      <c r="G16" s="968"/>
      <c r="H16" s="967"/>
      <c r="I16" s="85"/>
    </row>
    <row r="17" spans="1:9" ht="20.100000000000001" customHeight="1">
      <c r="A17" s="389"/>
      <c r="B17" s="100" t="s">
        <v>3</v>
      </c>
      <c r="C17" s="88"/>
      <c r="D17" s="88"/>
      <c r="E17" s="88" t="s">
        <v>3</v>
      </c>
      <c r="F17" s="85"/>
      <c r="G17" s="85"/>
      <c r="H17" s="85"/>
      <c r="I17" s="85"/>
    </row>
    <row r="18" spans="1:9" ht="20.100000000000001" customHeight="1">
      <c r="A18" s="389"/>
      <c r="B18" s="116" t="s">
        <v>285</v>
      </c>
      <c r="C18" s="88"/>
      <c r="D18" s="88"/>
      <c r="E18" s="85"/>
      <c r="F18" s="85"/>
      <c r="G18" s="90" t="s">
        <v>286</v>
      </c>
      <c r="H18" s="88"/>
      <c r="I18" s="88"/>
    </row>
    <row r="19" spans="1:9" ht="20.100000000000001" customHeight="1">
      <c r="A19" s="389">
        <v>3</v>
      </c>
      <c r="B19" s="84" t="s">
        <v>201</v>
      </c>
      <c r="C19" s="528" t="s">
        <v>891</v>
      </c>
      <c r="D19" s="101">
        <f>+F10/12</f>
        <v>0</v>
      </c>
      <c r="E19" s="102">
        <f>+E14</f>
        <v>0</v>
      </c>
      <c r="F19" s="103"/>
      <c r="G19" s="101">
        <f>E19*D19*-1</f>
        <v>0</v>
      </c>
      <c r="H19" s="101"/>
      <c r="I19" s="101">
        <f t="shared" ref="I19:I30" si="0">(-G19+D19)*-1</f>
        <v>0</v>
      </c>
    </row>
    <row r="20" spans="1:9" ht="20.100000000000001" customHeight="1">
      <c r="A20" s="389">
        <v>4</v>
      </c>
      <c r="B20" s="84" t="s">
        <v>202</v>
      </c>
      <c r="C20" s="84" t="str">
        <f>C19</f>
        <v>Year 2019</v>
      </c>
      <c r="D20" s="101">
        <f>-I19</f>
        <v>0</v>
      </c>
      <c r="E20" s="102">
        <f>+E19</f>
        <v>0</v>
      </c>
      <c r="F20" s="104"/>
      <c r="G20" s="101">
        <f t="shared" ref="G20:G30" si="1">E20*D20*-1</f>
        <v>0</v>
      </c>
      <c r="H20" s="101"/>
      <c r="I20" s="101">
        <f t="shared" si="0"/>
        <v>0</v>
      </c>
    </row>
    <row r="21" spans="1:9" ht="20.100000000000001" customHeight="1">
      <c r="A21" s="389">
        <v>5</v>
      </c>
      <c r="B21" s="84" t="s">
        <v>203</v>
      </c>
      <c r="C21" s="84" t="str">
        <f>C20</f>
        <v>Year 2019</v>
      </c>
      <c r="D21" s="101">
        <f t="shared" ref="D21:D30" si="2">-I20</f>
        <v>0</v>
      </c>
      <c r="E21" s="102">
        <f t="shared" ref="E21:E30" si="3">+E20</f>
        <v>0</v>
      </c>
      <c r="F21" s="104"/>
      <c r="G21" s="101">
        <f t="shared" si="1"/>
        <v>0</v>
      </c>
      <c r="H21" s="101"/>
      <c r="I21" s="101">
        <f t="shared" si="0"/>
        <v>0</v>
      </c>
    </row>
    <row r="22" spans="1:9" ht="20.100000000000001" customHeight="1">
      <c r="A22" s="389">
        <v>6</v>
      </c>
      <c r="B22" s="84" t="s">
        <v>204</v>
      </c>
      <c r="C22" s="84" t="str">
        <f t="shared" ref="C22:C29" si="4">C21</f>
        <v>Year 2019</v>
      </c>
      <c r="D22" s="101">
        <f t="shared" si="2"/>
        <v>0</v>
      </c>
      <c r="E22" s="102">
        <f t="shared" si="3"/>
        <v>0</v>
      </c>
      <c r="F22" s="104"/>
      <c r="G22" s="101">
        <f t="shared" si="1"/>
        <v>0</v>
      </c>
      <c r="H22" s="101"/>
      <c r="I22" s="101">
        <f t="shared" si="0"/>
        <v>0</v>
      </c>
    </row>
    <row r="23" spans="1:9" ht="20.100000000000001" customHeight="1">
      <c r="A23" s="389">
        <v>7</v>
      </c>
      <c r="B23" s="84" t="s">
        <v>205</v>
      </c>
      <c r="C23" s="84" t="str">
        <f t="shared" si="4"/>
        <v>Year 2019</v>
      </c>
      <c r="D23" s="101">
        <f t="shared" si="2"/>
        <v>0</v>
      </c>
      <c r="E23" s="102">
        <f t="shared" si="3"/>
        <v>0</v>
      </c>
      <c r="F23" s="104"/>
      <c r="G23" s="101">
        <f t="shared" si="1"/>
        <v>0</v>
      </c>
      <c r="H23" s="101"/>
      <c r="I23" s="101">
        <f t="shared" si="0"/>
        <v>0</v>
      </c>
    </row>
    <row r="24" spans="1:9" ht="20.100000000000001" customHeight="1">
      <c r="A24" s="389">
        <v>8</v>
      </c>
      <c r="B24" s="84" t="s">
        <v>215</v>
      </c>
      <c r="C24" s="84" t="str">
        <f t="shared" si="4"/>
        <v>Year 2019</v>
      </c>
      <c r="D24" s="101">
        <f t="shared" si="2"/>
        <v>0</v>
      </c>
      <c r="E24" s="102">
        <f t="shared" si="3"/>
        <v>0</v>
      </c>
      <c r="F24" s="104"/>
      <c r="G24" s="101">
        <f t="shared" si="1"/>
        <v>0</v>
      </c>
      <c r="H24" s="101"/>
      <c r="I24" s="101">
        <f t="shared" si="0"/>
        <v>0</v>
      </c>
    </row>
    <row r="25" spans="1:9" ht="20.100000000000001" customHeight="1">
      <c r="A25" s="389">
        <v>9</v>
      </c>
      <c r="B25" s="84" t="s">
        <v>206</v>
      </c>
      <c r="C25" s="84" t="str">
        <f t="shared" si="4"/>
        <v>Year 2019</v>
      </c>
      <c r="D25" s="101">
        <f t="shared" si="2"/>
        <v>0</v>
      </c>
      <c r="E25" s="102">
        <f t="shared" si="3"/>
        <v>0</v>
      </c>
      <c r="F25" s="104"/>
      <c r="G25" s="101">
        <f t="shared" si="1"/>
        <v>0</v>
      </c>
      <c r="H25" s="101"/>
      <c r="I25" s="101">
        <f t="shared" si="0"/>
        <v>0</v>
      </c>
    </row>
    <row r="26" spans="1:9" ht="20.100000000000001" customHeight="1">
      <c r="A26" s="389">
        <v>10</v>
      </c>
      <c r="B26" s="84" t="s">
        <v>207</v>
      </c>
      <c r="C26" s="84" t="str">
        <f t="shared" si="4"/>
        <v>Year 2019</v>
      </c>
      <c r="D26" s="101">
        <f t="shared" si="2"/>
        <v>0</v>
      </c>
      <c r="E26" s="102">
        <f t="shared" si="3"/>
        <v>0</v>
      </c>
      <c r="F26" s="104"/>
      <c r="G26" s="101">
        <f t="shared" si="1"/>
        <v>0</v>
      </c>
      <c r="H26" s="101"/>
      <c r="I26" s="101">
        <f t="shared" si="0"/>
        <v>0</v>
      </c>
    </row>
    <row r="27" spans="1:9" ht="20.100000000000001" customHeight="1">
      <c r="A27" s="389">
        <v>11</v>
      </c>
      <c r="B27" s="84" t="s">
        <v>208</v>
      </c>
      <c r="C27" s="84" t="str">
        <f t="shared" si="4"/>
        <v>Year 2019</v>
      </c>
      <c r="D27" s="101">
        <f t="shared" si="2"/>
        <v>0</v>
      </c>
      <c r="E27" s="102">
        <f t="shared" si="3"/>
        <v>0</v>
      </c>
      <c r="F27" s="104"/>
      <c r="G27" s="101">
        <f t="shared" si="1"/>
        <v>0</v>
      </c>
      <c r="H27" s="101"/>
      <c r="I27" s="101">
        <f t="shared" si="0"/>
        <v>0</v>
      </c>
    </row>
    <row r="28" spans="1:9" ht="20.100000000000001" customHeight="1">
      <c r="A28" s="389">
        <v>12</v>
      </c>
      <c r="B28" s="84" t="s">
        <v>210</v>
      </c>
      <c r="C28" s="84" t="str">
        <f>C27</f>
        <v>Year 2019</v>
      </c>
      <c r="D28" s="101">
        <f t="shared" si="2"/>
        <v>0</v>
      </c>
      <c r="E28" s="102">
        <f t="shared" si="3"/>
        <v>0</v>
      </c>
      <c r="F28" s="104"/>
      <c r="G28" s="101">
        <f t="shared" si="1"/>
        <v>0</v>
      </c>
      <c r="H28" s="101"/>
      <c r="I28" s="101">
        <f t="shared" si="0"/>
        <v>0</v>
      </c>
    </row>
    <row r="29" spans="1:9" ht="20.100000000000001" customHeight="1">
      <c r="A29" s="389">
        <v>13</v>
      </c>
      <c r="B29" s="84" t="s">
        <v>209</v>
      </c>
      <c r="C29" s="84" t="str">
        <f t="shared" si="4"/>
        <v>Year 2019</v>
      </c>
      <c r="D29" s="101">
        <f t="shared" si="2"/>
        <v>0</v>
      </c>
      <c r="E29" s="102">
        <f t="shared" si="3"/>
        <v>0</v>
      </c>
      <c r="F29" s="104"/>
      <c r="G29" s="101">
        <f t="shared" si="1"/>
        <v>0</v>
      </c>
      <c r="H29" s="101"/>
      <c r="I29" s="101">
        <f t="shared" si="0"/>
        <v>0</v>
      </c>
    </row>
    <row r="30" spans="1:9" ht="20.100000000000001" customHeight="1">
      <c r="A30" s="389">
        <v>14</v>
      </c>
      <c r="B30" s="84" t="s">
        <v>200</v>
      </c>
      <c r="C30" s="84" t="str">
        <f>C29</f>
        <v>Year 2019</v>
      </c>
      <c r="D30" s="101">
        <f t="shared" si="2"/>
        <v>0</v>
      </c>
      <c r="E30" s="102">
        <f t="shared" si="3"/>
        <v>0</v>
      </c>
      <c r="F30" s="104"/>
      <c r="G30" s="101">
        <f t="shared" si="1"/>
        <v>0</v>
      </c>
      <c r="H30" s="101"/>
      <c r="I30" s="101">
        <f t="shared" si="0"/>
        <v>0</v>
      </c>
    </row>
    <row r="31" spans="1:9" ht="20.100000000000001" customHeight="1">
      <c r="A31" s="389"/>
      <c r="B31" s="84"/>
      <c r="C31" s="84"/>
      <c r="D31" s="101"/>
      <c r="E31" s="102"/>
      <c r="F31" s="104"/>
      <c r="G31" s="101">
        <f>SUM(G19:G30)</f>
        <v>0</v>
      </c>
      <c r="H31" s="101"/>
      <c r="I31" s="106">
        <f>SUM(I19:I30)</f>
        <v>0</v>
      </c>
    </row>
    <row r="32" spans="1:9" ht="20.100000000000001" customHeight="1">
      <c r="A32" s="389"/>
      <c r="B32" s="84"/>
      <c r="C32" s="84"/>
      <c r="D32" s="101"/>
      <c r="E32" s="102"/>
      <c r="F32" s="103"/>
      <c r="G32" s="101"/>
      <c r="H32" s="101" t="s">
        <v>3</v>
      </c>
      <c r="I32" s="107"/>
    </row>
    <row r="33" spans="1:9" ht="20.100000000000001" customHeight="1">
      <c r="A33" s="389"/>
      <c r="B33" s="84"/>
      <c r="C33" s="84"/>
      <c r="D33" s="89"/>
      <c r="E33" s="102"/>
      <c r="F33" s="103"/>
      <c r="G33" s="108" t="s">
        <v>812</v>
      </c>
      <c r="H33" s="101"/>
      <c r="I33" s="101"/>
    </row>
    <row r="34" spans="1:9" ht="20.100000000000001" customHeight="1">
      <c r="A34" s="389">
        <f>A30+1</f>
        <v>15</v>
      </c>
      <c r="B34" s="84" t="s">
        <v>287</v>
      </c>
      <c r="C34" s="528" t="s">
        <v>890</v>
      </c>
      <c r="D34" s="89">
        <f>I31</f>
        <v>0</v>
      </c>
      <c r="E34" s="102">
        <f>+E30</f>
        <v>0</v>
      </c>
      <c r="F34" s="103">
        <v>12</v>
      </c>
      <c r="G34" s="101">
        <f>D34*(1+E14)^(1*12)-D34</f>
        <v>0</v>
      </c>
      <c r="H34" s="101"/>
      <c r="I34" s="106">
        <f>+D34+G34</f>
        <v>0</v>
      </c>
    </row>
    <row r="35" spans="1:9" ht="20.100000000000001" customHeight="1">
      <c r="A35" s="389"/>
      <c r="B35" s="84"/>
      <c r="C35" s="84"/>
      <c r="D35" s="89"/>
      <c r="E35" s="102"/>
      <c r="F35" s="84"/>
      <c r="G35" s="101"/>
      <c r="H35" s="101"/>
      <c r="I35" s="101"/>
    </row>
    <row r="36" spans="1:9" ht="20.100000000000001" customHeight="1">
      <c r="A36" s="389"/>
      <c r="B36" s="109" t="s">
        <v>288</v>
      </c>
      <c r="C36" s="84"/>
      <c r="D36" s="101"/>
      <c r="E36" s="102"/>
      <c r="F36" s="84"/>
      <c r="G36" s="108" t="s">
        <v>286</v>
      </c>
      <c r="H36" s="101"/>
      <c r="I36" s="101"/>
    </row>
    <row r="37" spans="1:9" ht="20.100000000000001" customHeight="1">
      <c r="A37" s="389">
        <f>A34+1</f>
        <v>16</v>
      </c>
      <c r="B37" s="84" t="s">
        <v>201</v>
      </c>
      <c r="C37" s="528" t="s">
        <v>889</v>
      </c>
      <c r="D37" s="110">
        <f>-I34</f>
        <v>0</v>
      </c>
      <c r="E37" s="102">
        <f>+E30</f>
        <v>0</v>
      </c>
      <c r="F37" s="84"/>
      <c r="G37" s="101">
        <f t="shared" ref="G37:G48" si="5" xml:space="preserve"> -E37*D37</f>
        <v>0</v>
      </c>
      <c r="H37" s="101">
        <f>PMT(E37,12,I$34)</f>
        <v>0</v>
      </c>
      <c r="I37" s="101">
        <f t="shared" ref="I37:I48" si="6">(+D37+D37*E37-H37)*-1</f>
        <v>0</v>
      </c>
    </row>
    <row r="38" spans="1:9" ht="20.100000000000001" customHeight="1">
      <c r="A38" s="389">
        <f>A37+1</f>
        <v>17</v>
      </c>
      <c r="B38" s="84" t="s">
        <v>202</v>
      </c>
      <c r="C38" s="84" t="str">
        <f>+C37</f>
        <v>Year 2021</v>
      </c>
      <c r="D38" s="89">
        <f>-I37</f>
        <v>0</v>
      </c>
      <c r="E38" s="102">
        <f>+E37</f>
        <v>0</v>
      </c>
      <c r="F38" s="84"/>
      <c r="G38" s="101">
        <f t="shared" si="5"/>
        <v>0</v>
      </c>
      <c r="H38" s="101">
        <f>H37</f>
        <v>0</v>
      </c>
      <c r="I38" s="101">
        <f t="shared" si="6"/>
        <v>0</v>
      </c>
    </row>
    <row r="39" spans="1:9" ht="20.100000000000001" customHeight="1">
      <c r="A39" s="389">
        <f t="shared" ref="A39:A48" si="7">A38+1</f>
        <v>18</v>
      </c>
      <c r="B39" s="84" t="s">
        <v>203</v>
      </c>
      <c r="C39" s="84" t="str">
        <f>+C38</f>
        <v>Year 2021</v>
      </c>
      <c r="D39" s="89">
        <f t="shared" ref="D39:D48" si="8">-I38</f>
        <v>0</v>
      </c>
      <c r="E39" s="102">
        <f t="shared" ref="E39:E48" si="9">+E38</f>
        <v>0</v>
      </c>
      <c r="F39" s="84"/>
      <c r="G39" s="101">
        <f t="shared" si="5"/>
        <v>0</v>
      </c>
      <c r="H39" s="101">
        <f t="shared" ref="H39:H48" si="10">H38</f>
        <v>0</v>
      </c>
      <c r="I39" s="101">
        <f t="shared" si="6"/>
        <v>0</v>
      </c>
    </row>
    <row r="40" spans="1:9" ht="20.100000000000001" customHeight="1">
      <c r="A40" s="389">
        <f t="shared" si="7"/>
        <v>19</v>
      </c>
      <c r="B40" s="84" t="s">
        <v>204</v>
      </c>
      <c r="C40" s="84" t="str">
        <f>+C39</f>
        <v>Year 2021</v>
      </c>
      <c r="D40" s="89">
        <f t="shared" si="8"/>
        <v>0</v>
      </c>
      <c r="E40" s="102">
        <f t="shared" si="9"/>
        <v>0</v>
      </c>
      <c r="F40" s="84"/>
      <c r="G40" s="101">
        <f t="shared" si="5"/>
        <v>0</v>
      </c>
      <c r="H40" s="101">
        <f t="shared" si="10"/>
        <v>0</v>
      </c>
      <c r="I40" s="101">
        <f t="shared" si="6"/>
        <v>0</v>
      </c>
    </row>
    <row r="41" spans="1:9" ht="20.100000000000001" customHeight="1">
      <c r="A41" s="389">
        <f t="shared" si="7"/>
        <v>20</v>
      </c>
      <c r="B41" s="84" t="s">
        <v>205</v>
      </c>
      <c r="C41" s="84" t="str">
        <f>+C40</f>
        <v>Year 2021</v>
      </c>
      <c r="D41" s="89">
        <f t="shared" si="8"/>
        <v>0</v>
      </c>
      <c r="E41" s="102">
        <f t="shared" si="9"/>
        <v>0</v>
      </c>
      <c r="F41" s="84"/>
      <c r="G41" s="101">
        <f t="shared" si="5"/>
        <v>0</v>
      </c>
      <c r="H41" s="101">
        <f t="shared" si="10"/>
        <v>0</v>
      </c>
      <c r="I41" s="101">
        <f t="shared" si="6"/>
        <v>0</v>
      </c>
    </row>
    <row r="42" spans="1:9" ht="20.100000000000001" customHeight="1">
      <c r="A42" s="389">
        <f t="shared" si="7"/>
        <v>21</v>
      </c>
      <c r="B42" s="84" t="s">
        <v>215</v>
      </c>
      <c r="C42" s="84" t="str">
        <f>C41</f>
        <v>Year 2021</v>
      </c>
      <c r="D42" s="89">
        <f t="shared" si="8"/>
        <v>0</v>
      </c>
      <c r="E42" s="102">
        <f t="shared" si="9"/>
        <v>0</v>
      </c>
      <c r="F42" s="84"/>
      <c r="G42" s="101">
        <f t="shared" si="5"/>
        <v>0</v>
      </c>
      <c r="H42" s="101">
        <f t="shared" si="10"/>
        <v>0</v>
      </c>
      <c r="I42" s="101">
        <f t="shared" si="6"/>
        <v>0</v>
      </c>
    </row>
    <row r="43" spans="1:9" ht="20.100000000000001" customHeight="1">
      <c r="A43" s="389">
        <f t="shared" si="7"/>
        <v>22</v>
      </c>
      <c r="B43" s="84" t="s">
        <v>206</v>
      </c>
      <c r="C43" s="84" t="str">
        <f t="shared" ref="C43:C48" si="11">+C42</f>
        <v>Year 2021</v>
      </c>
      <c r="D43" s="89">
        <f t="shared" si="8"/>
        <v>0</v>
      </c>
      <c r="E43" s="102">
        <f t="shared" si="9"/>
        <v>0</v>
      </c>
      <c r="F43" s="84"/>
      <c r="G43" s="101">
        <f t="shared" si="5"/>
        <v>0</v>
      </c>
      <c r="H43" s="101">
        <f t="shared" si="10"/>
        <v>0</v>
      </c>
      <c r="I43" s="101">
        <f t="shared" si="6"/>
        <v>0</v>
      </c>
    </row>
    <row r="44" spans="1:9" ht="20.100000000000001" customHeight="1">
      <c r="A44" s="389">
        <f t="shared" si="7"/>
        <v>23</v>
      </c>
      <c r="B44" s="84" t="s">
        <v>207</v>
      </c>
      <c r="C44" s="84" t="str">
        <f t="shared" si="11"/>
        <v>Year 2021</v>
      </c>
      <c r="D44" s="89">
        <f t="shared" si="8"/>
        <v>0</v>
      </c>
      <c r="E44" s="102">
        <f t="shared" si="9"/>
        <v>0</v>
      </c>
      <c r="F44" s="84"/>
      <c r="G44" s="101">
        <f t="shared" si="5"/>
        <v>0</v>
      </c>
      <c r="H44" s="101">
        <f t="shared" si="10"/>
        <v>0</v>
      </c>
      <c r="I44" s="101">
        <f t="shared" si="6"/>
        <v>0</v>
      </c>
    </row>
    <row r="45" spans="1:9" ht="20.100000000000001" customHeight="1">
      <c r="A45" s="389">
        <f t="shared" si="7"/>
        <v>24</v>
      </c>
      <c r="B45" s="84" t="s">
        <v>208</v>
      </c>
      <c r="C45" s="84" t="str">
        <f t="shared" si="11"/>
        <v>Year 2021</v>
      </c>
      <c r="D45" s="89">
        <f t="shared" si="8"/>
        <v>0</v>
      </c>
      <c r="E45" s="102">
        <f t="shared" si="9"/>
        <v>0</v>
      </c>
      <c r="F45" s="84"/>
      <c r="G45" s="101">
        <f t="shared" si="5"/>
        <v>0</v>
      </c>
      <c r="H45" s="101">
        <f t="shared" si="10"/>
        <v>0</v>
      </c>
      <c r="I45" s="101">
        <f t="shared" si="6"/>
        <v>0</v>
      </c>
    </row>
    <row r="46" spans="1:9" ht="20.100000000000001" customHeight="1">
      <c r="A46" s="389">
        <f t="shared" si="7"/>
        <v>25</v>
      </c>
      <c r="B46" s="84" t="s">
        <v>210</v>
      </c>
      <c r="C46" s="84" t="str">
        <f t="shared" si="11"/>
        <v>Year 2021</v>
      </c>
      <c r="D46" s="89">
        <f t="shared" si="8"/>
        <v>0</v>
      </c>
      <c r="E46" s="102">
        <f t="shared" si="9"/>
        <v>0</v>
      </c>
      <c r="F46" s="84"/>
      <c r="G46" s="101">
        <f t="shared" si="5"/>
        <v>0</v>
      </c>
      <c r="H46" s="101">
        <f t="shared" si="10"/>
        <v>0</v>
      </c>
      <c r="I46" s="101">
        <f t="shared" si="6"/>
        <v>0</v>
      </c>
    </row>
    <row r="47" spans="1:9" ht="20.100000000000001" customHeight="1">
      <c r="A47" s="389">
        <f t="shared" si="7"/>
        <v>26</v>
      </c>
      <c r="B47" s="84" t="s">
        <v>209</v>
      </c>
      <c r="C47" s="84" t="str">
        <f t="shared" si="11"/>
        <v>Year 2021</v>
      </c>
      <c r="D47" s="89">
        <f t="shared" si="8"/>
        <v>0</v>
      </c>
      <c r="E47" s="102">
        <f t="shared" si="9"/>
        <v>0</v>
      </c>
      <c r="F47" s="84"/>
      <c r="G47" s="101">
        <f t="shared" si="5"/>
        <v>0</v>
      </c>
      <c r="H47" s="101">
        <f t="shared" si="10"/>
        <v>0</v>
      </c>
      <c r="I47" s="101">
        <f t="shared" si="6"/>
        <v>0</v>
      </c>
    </row>
    <row r="48" spans="1:9" ht="20.100000000000001" customHeight="1">
      <c r="A48" s="389">
        <f t="shared" si="7"/>
        <v>27</v>
      </c>
      <c r="B48" s="84" t="s">
        <v>200</v>
      </c>
      <c r="C48" s="84" t="str">
        <f t="shared" si="11"/>
        <v>Year 2021</v>
      </c>
      <c r="D48" s="89">
        <f t="shared" si="8"/>
        <v>0</v>
      </c>
      <c r="E48" s="102">
        <f t="shared" si="9"/>
        <v>0</v>
      </c>
      <c r="F48" s="84"/>
      <c r="G48" s="105">
        <f t="shared" si="5"/>
        <v>0</v>
      </c>
      <c r="H48" s="101">
        <f t="shared" si="10"/>
        <v>0</v>
      </c>
      <c r="I48" s="101">
        <f t="shared" si="6"/>
        <v>0</v>
      </c>
    </row>
    <row r="49" spans="1:10" ht="20.100000000000001" customHeight="1">
      <c r="A49" s="389"/>
      <c r="B49" s="84"/>
      <c r="C49" s="84"/>
      <c r="D49" s="89"/>
      <c r="E49" s="102"/>
      <c r="F49" s="84"/>
      <c r="G49" s="101">
        <f>SUM(G37:G48)</f>
        <v>0</v>
      </c>
      <c r="H49" s="101"/>
      <c r="I49" s="101"/>
    </row>
    <row r="50" spans="1:10" ht="20.100000000000001" customHeight="1">
      <c r="A50" s="389"/>
      <c r="B50" s="107"/>
      <c r="C50" s="107"/>
      <c r="D50" s="107"/>
      <c r="E50" s="107"/>
      <c r="F50" s="107"/>
      <c r="G50" s="107"/>
      <c r="H50" s="107"/>
      <c r="I50" s="107"/>
    </row>
    <row r="51" spans="1:10" ht="20.100000000000001" customHeight="1">
      <c r="A51" s="389">
        <v>28</v>
      </c>
      <c r="B51" s="84" t="s">
        <v>291</v>
      </c>
      <c r="C51" s="107"/>
      <c r="D51" s="107"/>
      <c r="E51" s="107"/>
      <c r="F51" s="107"/>
      <c r="G51" s="107"/>
      <c r="H51" s="111">
        <f>SUM(H37:H48)</f>
        <v>0</v>
      </c>
      <c r="I51" s="107"/>
    </row>
    <row r="52" spans="1:10" ht="20.100000000000001" customHeight="1">
      <c r="A52" s="389">
        <v>29</v>
      </c>
      <c r="B52" s="84" t="s">
        <v>289</v>
      </c>
      <c r="C52" s="107"/>
      <c r="D52" s="107"/>
      <c r="E52" s="107"/>
      <c r="F52" s="107"/>
      <c r="G52" s="107"/>
      <c r="H52" s="111">
        <f>+F10</f>
        <v>0</v>
      </c>
      <c r="I52" s="107"/>
    </row>
    <row r="53" spans="1:10" ht="20.100000000000001" customHeight="1">
      <c r="A53" s="389">
        <v>30</v>
      </c>
      <c r="B53" s="84" t="s">
        <v>290</v>
      </c>
      <c r="C53" s="107"/>
      <c r="D53" s="107"/>
      <c r="E53" s="107"/>
      <c r="F53" s="107"/>
      <c r="G53" s="107"/>
      <c r="H53" s="111">
        <f>(H51-H52)</f>
        <v>0</v>
      </c>
      <c r="I53" s="107"/>
    </row>
    <row r="54" spans="1:10" ht="20.100000000000001" customHeight="1">
      <c r="A54" s="389"/>
      <c r="B54" s="84"/>
      <c r="C54" s="107"/>
      <c r="D54" s="107"/>
      <c r="E54" s="107"/>
      <c r="F54" s="107"/>
      <c r="G54" s="107"/>
      <c r="H54" s="111"/>
      <c r="I54" s="107"/>
    </row>
    <row r="55" spans="1:10" ht="34.5" customHeight="1">
      <c r="A55" s="671" t="s">
        <v>225</v>
      </c>
      <c r="B55" s="1372" t="s">
        <v>1051</v>
      </c>
      <c r="C55" s="1372"/>
      <c r="D55" s="1372"/>
      <c r="E55" s="1372"/>
      <c r="F55" s="1372"/>
      <c r="G55" s="1372"/>
      <c r="H55" s="1372"/>
      <c r="I55" s="1372"/>
      <c r="J55" s="1372"/>
    </row>
  </sheetData>
  <customSheetViews>
    <customSheetView guid="{B991F324-919F-4749-8E3C-A09B2FA7BB10}" scale="60" showPageBreaks="1" printArea="1" view="pageBreakPreview">
      <selection activeCell="E30" sqref="E30"/>
      <pageMargins left="0.7" right="0.7" top="0.75" bottom="0.75" header="0.3" footer="0.3"/>
      <printOptions horizontalCentered="1"/>
      <pageSetup scale="45" fitToWidth="0" fitToHeight="0" orientation="portrait" r:id="rId1"/>
      <headerFooter alignWithMargins="0"/>
    </customSheetView>
    <customSheetView guid="{901B528B-D65D-48CA-A638-FD9B4E5BB6D4}" scale="60" showPageBreaks="1" printArea="1" view="pageBreakPreview">
      <selection activeCell="E30" sqref="E30"/>
      <pageMargins left="0.7" right="0.7" top="0.75" bottom="0.75" header="0.3" footer="0.3"/>
      <printOptions horizontalCentered="1"/>
      <pageSetup scale="45" fitToWidth="0" fitToHeight="0" orientation="portrait" r:id="rId2"/>
      <headerFooter alignWithMargins="0"/>
    </customSheetView>
    <customSheetView guid="{0DE222E8-ADD6-4F4B-9601-960D8109381F}" scale="60" showPageBreaks="1" printArea="1" view="pageBreakPreview">
      <pageMargins left="0.7" right="0.7" top="0.75" bottom="0.75" header="0.3" footer="0.3"/>
      <printOptions horizontalCentered="1"/>
      <pageSetup scale="45" fitToWidth="0" fitToHeight="0" orientation="portrait" r:id="rId3"/>
      <headerFooter alignWithMargins="0"/>
    </customSheetView>
  </customSheetViews>
  <mergeCells count="4">
    <mergeCell ref="B5:I5"/>
    <mergeCell ref="B6:I6"/>
    <mergeCell ref="B13:C13"/>
    <mergeCell ref="B55:J55"/>
  </mergeCells>
  <printOptions horizontalCentered="1"/>
  <pageMargins left="0.7" right="0.7" top="0.75" bottom="0.75" header="0.3" footer="0.3"/>
  <pageSetup scale="45" fitToWidth="0" fitToHeight="0" orientation="portrait" r:id="rId4"/>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855CE-0880-43AA-8019-A76AA9DD1C6A}">
  <dimension ref="B1:Y107"/>
  <sheetViews>
    <sheetView view="pageBreakPreview" zoomScale="60" zoomScaleNormal="80" workbookViewId="0">
      <selection activeCell="B35" sqref="B35"/>
    </sheetView>
  </sheetViews>
  <sheetFormatPr defaultColWidth="8.90625" defaultRowHeight="15.6"/>
  <cols>
    <col min="1" max="1" width="1.453125" style="1013" customWidth="1"/>
    <col min="2" max="2" width="4.1796875" style="978" bestFit="1" customWidth="1"/>
    <col min="3" max="3" width="1.453125" style="1013" customWidth="1"/>
    <col min="4" max="4" width="8.90625" style="1014"/>
    <col min="5" max="5" width="1.453125" style="1013" customWidth="1"/>
    <col min="6" max="6" width="24.36328125" style="924" bestFit="1" customWidth="1"/>
    <col min="7" max="7" width="1.453125" style="1013" customWidth="1"/>
    <col min="8" max="8" width="12.1796875" style="924" bestFit="1" customWidth="1"/>
    <col min="9" max="9" width="1.453125" style="1013" customWidth="1"/>
    <col min="10" max="10" width="12.1796875" style="924" bestFit="1" customWidth="1"/>
    <col min="11" max="11" width="1.453125" style="1013" customWidth="1"/>
    <col min="12" max="12" width="12.1796875" style="924" bestFit="1" customWidth="1"/>
    <col min="13" max="16384" width="8.90625" style="1013"/>
  </cols>
  <sheetData>
    <row r="1" spans="2:24">
      <c r="I1" s="1145"/>
      <c r="J1" s="58"/>
      <c r="K1" s="58"/>
      <c r="L1" s="6" t="str">
        <f>'Attachment H-11A '!K1&amp;""&amp;", Attachment 13b"</f>
        <v>Attachment H -11A, Attachment 13b</v>
      </c>
    </row>
    <row r="2" spans="2:24">
      <c r="I2" s="1145"/>
      <c r="J2" s="58"/>
      <c r="K2" s="58"/>
      <c r="L2" s="6" t="s">
        <v>188</v>
      </c>
    </row>
    <row r="3" spans="2:24">
      <c r="I3" s="1145"/>
      <c r="J3" s="58"/>
      <c r="K3" s="58"/>
      <c r="L3" s="6" t="str">
        <f>'Attachment H-11A '!K4</f>
        <v>For the 12 months ended 12/31/2022</v>
      </c>
    </row>
    <row r="5" spans="2:24">
      <c r="D5" s="1015" t="s">
        <v>806</v>
      </c>
      <c r="E5" s="1016"/>
      <c r="F5" s="1015" t="str">
        <f>"("&amp;CHAR(CODE(MID(D5,2,1))+1)&amp;")"</f>
        <v>(B)</v>
      </c>
      <c r="H5" s="1015" t="str">
        <f t="shared" ref="H5" si="0">"("&amp;CHAR(CODE(MID(F5,2,1))+1)&amp;")"</f>
        <v>(C)</v>
      </c>
      <c r="J5" s="1015" t="str">
        <f t="shared" ref="J5" si="1">"("&amp;CHAR(CODE(MID(H5,2,1))+1)&amp;")"</f>
        <v>(D)</v>
      </c>
      <c r="L5" s="1015" t="str">
        <f>"("&amp;CHAR(CODE(MID(J5,2,1))+1)&amp;")"</f>
        <v>(E)</v>
      </c>
    </row>
    <row r="6" spans="2:24">
      <c r="F6" s="1255" t="s">
        <v>807</v>
      </c>
      <c r="G6" s="1256"/>
      <c r="H6" s="1017"/>
      <c r="I6" s="1017"/>
      <c r="J6" s="1017"/>
    </row>
    <row r="7" spans="2:24">
      <c r="B7" s="1018" t="s">
        <v>5</v>
      </c>
      <c r="D7" s="1019" t="s">
        <v>808</v>
      </c>
      <c r="F7" s="1257" t="s">
        <v>964</v>
      </c>
      <c r="G7" s="1258" t="s">
        <v>809</v>
      </c>
      <c r="H7" s="1018" t="s">
        <v>966</v>
      </c>
      <c r="I7" s="1258" t="s">
        <v>809</v>
      </c>
      <c r="J7" s="1018" t="s">
        <v>810</v>
      </c>
      <c r="K7" s="1020" t="s">
        <v>81</v>
      </c>
      <c r="L7" s="1019" t="s">
        <v>10</v>
      </c>
      <c r="N7" s="1021"/>
    </row>
    <row r="8" spans="2:24">
      <c r="B8" s="978">
        <v>1</v>
      </c>
      <c r="D8" s="1014" t="s">
        <v>201</v>
      </c>
      <c r="F8" s="922">
        <v>0</v>
      </c>
      <c r="H8" s="907"/>
      <c r="J8" s="907"/>
      <c r="L8" s="907">
        <f>F8-H8-J8</f>
        <v>0</v>
      </c>
      <c r="N8" s="1022"/>
      <c r="O8" s="1022"/>
      <c r="P8" s="1022"/>
      <c r="Q8" s="1022"/>
      <c r="R8" s="1022"/>
      <c r="S8" s="1022"/>
      <c r="T8" s="1022"/>
      <c r="U8" s="1022"/>
      <c r="V8" s="1022"/>
      <c r="W8" s="1022"/>
      <c r="X8" s="1022"/>
    </row>
    <row r="9" spans="2:24">
      <c r="B9" s="978">
        <f>MAX($B$8:B8)+1</f>
        <v>2</v>
      </c>
      <c r="D9" s="1014" t="s">
        <v>202</v>
      </c>
      <c r="F9" s="922">
        <v>0</v>
      </c>
      <c r="H9" s="907"/>
      <c r="J9" s="907"/>
      <c r="L9" s="907">
        <f t="shared" ref="L9:L19" si="2">F9-H9-J9</f>
        <v>0</v>
      </c>
    </row>
    <row r="10" spans="2:24">
      <c r="B10" s="978">
        <f>MAX($B$8:B9)+1</f>
        <v>3</v>
      </c>
      <c r="D10" s="1014" t="s">
        <v>203</v>
      </c>
      <c r="F10" s="922">
        <v>0</v>
      </c>
      <c r="H10" s="907"/>
      <c r="J10" s="907"/>
      <c r="L10" s="907">
        <f t="shared" si="2"/>
        <v>0</v>
      </c>
    </row>
    <row r="11" spans="2:24">
      <c r="B11" s="978">
        <f>MAX($B$8:B10)+1</f>
        <v>4</v>
      </c>
      <c r="D11" s="1014" t="s">
        <v>204</v>
      </c>
      <c r="F11" s="922">
        <v>0</v>
      </c>
      <c r="H11" s="907"/>
      <c r="J11" s="907"/>
      <c r="L11" s="907">
        <f t="shared" si="2"/>
        <v>0</v>
      </c>
    </row>
    <row r="12" spans="2:24">
      <c r="B12" s="978">
        <f>MAX($B$8:B11)+1</f>
        <v>5</v>
      </c>
      <c r="D12" s="1014" t="s">
        <v>205</v>
      </c>
      <c r="F12" s="922">
        <v>0</v>
      </c>
      <c r="H12" s="907"/>
      <c r="J12" s="907"/>
      <c r="L12" s="907">
        <f t="shared" si="2"/>
        <v>0</v>
      </c>
    </row>
    <row r="13" spans="2:24">
      <c r="B13" s="978">
        <f>MAX($B$8:B12)+1</f>
        <v>6</v>
      </c>
      <c r="D13" s="1014" t="s">
        <v>215</v>
      </c>
      <c r="F13" s="922">
        <v>0</v>
      </c>
      <c r="H13" s="907"/>
      <c r="J13" s="907"/>
      <c r="L13" s="907">
        <f t="shared" si="2"/>
        <v>0</v>
      </c>
    </row>
    <row r="14" spans="2:24">
      <c r="B14" s="978">
        <f>MAX($B$8:B13)+1</f>
        <v>7</v>
      </c>
      <c r="D14" s="1014" t="s">
        <v>206</v>
      </c>
      <c r="F14" s="922">
        <v>0</v>
      </c>
      <c r="H14" s="907"/>
      <c r="J14" s="907"/>
      <c r="L14" s="907">
        <f t="shared" si="2"/>
        <v>0</v>
      </c>
    </row>
    <row r="15" spans="2:24">
      <c r="B15" s="978">
        <f>MAX($B$8:B14)+1</f>
        <v>8</v>
      </c>
      <c r="D15" s="1014" t="s">
        <v>207</v>
      </c>
      <c r="F15" s="922">
        <v>0</v>
      </c>
      <c r="H15" s="907"/>
      <c r="J15" s="907"/>
      <c r="L15" s="907">
        <f t="shared" si="2"/>
        <v>0</v>
      </c>
    </row>
    <row r="16" spans="2:24">
      <c r="B16" s="978">
        <f>MAX($B$8:B15)+1</f>
        <v>9</v>
      </c>
      <c r="D16" s="1014" t="s">
        <v>208</v>
      </c>
      <c r="F16" s="922">
        <v>0</v>
      </c>
      <c r="H16" s="907"/>
      <c r="J16" s="907"/>
      <c r="L16" s="907">
        <f t="shared" si="2"/>
        <v>0</v>
      </c>
    </row>
    <row r="17" spans="2:12">
      <c r="B17" s="978">
        <f>MAX($B$8:B16)+1</f>
        <v>10</v>
      </c>
      <c r="D17" s="1014" t="s">
        <v>210</v>
      </c>
      <c r="F17" s="922">
        <v>0</v>
      </c>
      <c r="H17" s="907"/>
      <c r="J17" s="907"/>
      <c r="L17" s="907">
        <f>F17-H17-J17</f>
        <v>0</v>
      </c>
    </row>
    <row r="18" spans="2:12">
      <c r="B18" s="978">
        <f>MAX($B$8:B17)+1</f>
        <v>11</v>
      </c>
      <c r="D18" s="1014" t="s">
        <v>209</v>
      </c>
      <c r="F18" s="922">
        <v>0</v>
      </c>
      <c r="H18" s="907"/>
      <c r="J18" s="907"/>
      <c r="L18" s="907">
        <f t="shared" si="2"/>
        <v>0</v>
      </c>
    </row>
    <row r="19" spans="2:12">
      <c r="B19" s="978">
        <f>MAX($B$8:B18)+1</f>
        <v>12</v>
      </c>
      <c r="D19" s="1014" t="s">
        <v>200</v>
      </c>
      <c r="F19" s="922">
        <v>0</v>
      </c>
      <c r="H19" s="930"/>
      <c r="J19" s="930"/>
      <c r="L19" s="907">
        <f t="shared" si="2"/>
        <v>0</v>
      </c>
    </row>
    <row r="20" spans="2:12">
      <c r="B20" s="978">
        <f>MAX($B$8:B19)+1</f>
        <v>13</v>
      </c>
      <c r="D20" s="1014" t="s">
        <v>10</v>
      </c>
      <c r="F20" s="1023">
        <f>SUM(F8:F19)</f>
        <v>0</v>
      </c>
      <c r="H20" s="922">
        <v>0</v>
      </c>
      <c r="J20" s="922">
        <v>0</v>
      </c>
      <c r="L20" s="1023">
        <f>F20-H20-J20</f>
        <v>0</v>
      </c>
    </row>
    <row r="22" spans="2:12">
      <c r="D22" s="1015"/>
      <c r="E22" s="1016"/>
      <c r="F22" s="1015"/>
      <c r="H22" s="1015"/>
      <c r="J22" s="1015"/>
      <c r="L22" s="1015"/>
    </row>
    <row r="23" spans="2:12">
      <c r="F23" s="1255" t="s">
        <v>807</v>
      </c>
      <c r="G23" s="1256"/>
      <c r="H23" s="1017"/>
      <c r="I23" s="1017"/>
      <c r="J23" s="1017"/>
    </row>
    <row r="24" spans="2:12">
      <c r="B24" s="1024"/>
      <c r="D24" s="1019" t="s">
        <v>808</v>
      </c>
      <c r="F24" s="1257" t="s">
        <v>965</v>
      </c>
      <c r="G24" s="1258" t="s">
        <v>809</v>
      </c>
      <c r="H24" s="1018" t="s">
        <v>966</v>
      </c>
      <c r="I24" s="1258" t="s">
        <v>809</v>
      </c>
      <c r="J24" s="1018" t="s">
        <v>810</v>
      </c>
      <c r="K24" s="1020" t="s">
        <v>81</v>
      </c>
      <c r="L24" s="1019" t="s">
        <v>10</v>
      </c>
    </row>
    <row r="25" spans="2:12">
      <c r="B25" s="978">
        <f>B20+1</f>
        <v>14</v>
      </c>
      <c r="D25" s="1014" t="s">
        <v>201</v>
      </c>
      <c r="F25" s="922">
        <v>0</v>
      </c>
      <c r="H25" s="907"/>
      <c r="J25" s="907"/>
      <c r="L25" s="907">
        <f>F25-H25-J25</f>
        <v>0</v>
      </c>
    </row>
    <row r="26" spans="2:12">
      <c r="B26" s="978">
        <f>B25+1</f>
        <v>15</v>
      </c>
      <c r="D26" s="1014" t="s">
        <v>202</v>
      </c>
      <c r="F26" s="922">
        <v>0</v>
      </c>
      <c r="H26" s="907"/>
      <c r="J26" s="907"/>
      <c r="L26" s="907">
        <f t="shared" ref="L26:L36" si="3">F26-H26-J26</f>
        <v>0</v>
      </c>
    </row>
    <row r="27" spans="2:12">
      <c r="B27" s="978">
        <f t="shared" ref="B27:B37" si="4">B26+1</f>
        <v>16</v>
      </c>
      <c r="D27" s="1014" t="s">
        <v>203</v>
      </c>
      <c r="F27" s="922">
        <v>0</v>
      </c>
      <c r="H27" s="907"/>
      <c r="J27" s="907"/>
      <c r="L27" s="907">
        <f t="shared" si="3"/>
        <v>0</v>
      </c>
    </row>
    <row r="28" spans="2:12">
      <c r="B28" s="978">
        <f t="shared" si="4"/>
        <v>17</v>
      </c>
      <c r="D28" s="1014" t="s">
        <v>204</v>
      </c>
      <c r="F28" s="922">
        <v>0</v>
      </c>
      <c r="H28" s="907"/>
      <c r="J28" s="907"/>
      <c r="L28" s="907">
        <f t="shared" si="3"/>
        <v>0</v>
      </c>
    </row>
    <row r="29" spans="2:12">
      <c r="B29" s="978">
        <f t="shared" si="4"/>
        <v>18</v>
      </c>
      <c r="D29" s="1014" t="s">
        <v>205</v>
      </c>
      <c r="F29" s="922">
        <v>0</v>
      </c>
      <c r="H29" s="907"/>
      <c r="J29" s="907"/>
      <c r="L29" s="907">
        <f>F29-H29-J29</f>
        <v>0</v>
      </c>
    </row>
    <row r="30" spans="2:12">
      <c r="B30" s="978">
        <f t="shared" si="4"/>
        <v>19</v>
      </c>
      <c r="D30" s="1014" t="s">
        <v>215</v>
      </c>
      <c r="F30" s="922">
        <v>0</v>
      </c>
      <c r="H30" s="907"/>
      <c r="J30" s="907"/>
      <c r="L30" s="907">
        <f t="shared" si="3"/>
        <v>0</v>
      </c>
    </row>
    <row r="31" spans="2:12">
      <c r="B31" s="978">
        <f t="shared" si="4"/>
        <v>20</v>
      </c>
      <c r="D31" s="1014" t="s">
        <v>206</v>
      </c>
      <c r="F31" s="922">
        <v>0</v>
      </c>
      <c r="H31" s="907"/>
      <c r="J31" s="907"/>
      <c r="L31" s="907">
        <f t="shared" si="3"/>
        <v>0</v>
      </c>
    </row>
    <row r="32" spans="2:12">
      <c r="B32" s="978">
        <f t="shared" si="4"/>
        <v>21</v>
      </c>
      <c r="D32" s="1014" t="s">
        <v>207</v>
      </c>
      <c r="F32" s="922">
        <v>0</v>
      </c>
      <c r="H32" s="907"/>
      <c r="J32" s="907"/>
      <c r="L32" s="907">
        <f t="shared" si="3"/>
        <v>0</v>
      </c>
    </row>
    <row r="33" spans="2:25">
      <c r="B33" s="978">
        <f t="shared" si="4"/>
        <v>22</v>
      </c>
      <c r="D33" s="1014" t="s">
        <v>208</v>
      </c>
      <c r="F33" s="922">
        <v>0</v>
      </c>
      <c r="H33" s="907"/>
      <c r="J33" s="907"/>
      <c r="L33" s="907">
        <f t="shared" si="3"/>
        <v>0</v>
      </c>
    </row>
    <row r="34" spans="2:25">
      <c r="B34" s="978">
        <f t="shared" si="4"/>
        <v>23</v>
      </c>
      <c r="D34" s="1014" t="s">
        <v>210</v>
      </c>
      <c r="F34" s="922">
        <v>0</v>
      </c>
      <c r="H34" s="907"/>
      <c r="J34" s="907"/>
      <c r="L34" s="907">
        <f t="shared" si="3"/>
        <v>0</v>
      </c>
    </row>
    <row r="35" spans="2:25">
      <c r="B35" s="978">
        <f t="shared" si="4"/>
        <v>24</v>
      </c>
      <c r="D35" s="1014" t="s">
        <v>209</v>
      </c>
      <c r="F35" s="922">
        <v>0</v>
      </c>
      <c r="H35" s="907"/>
      <c r="J35" s="907"/>
      <c r="L35" s="907">
        <f t="shared" si="3"/>
        <v>0</v>
      </c>
    </row>
    <row r="36" spans="2:25">
      <c r="B36" s="978">
        <f t="shared" si="4"/>
        <v>25</v>
      </c>
      <c r="D36" s="1014" t="s">
        <v>200</v>
      </c>
      <c r="F36" s="922">
        <v>0</v>
      </c>
      <c r="H36" s="930"/>
      <c r="J36" s="930"/>
      <c r="L36" s="907">
        <f t="shared" si="3"/>
        <v>0</v>
      </c>
    </row>
    <row r="37" spans="2:25">
      <c r="B37" s="978">
        <f t="shared" si="4"/>
        <v>26</v>
      </c>
      <c r="D37" s="1014" t="s">
        <v>10</v>
      </c>
      <c r="F37" s="1023">
        <f>SUM(F25:F36)</f>
        <v>0</v>
      </c>
      <c r="H37" s="922">
        <v>0</v>
      </c>
      <c r="J37" s="922">
        <v>0</v>
      </c>
      <c r="L37" s="1023">
        <f>F37-H37-J37</f>
        <v>0</v>
      </c>
    </row>
    <row r="38" spans="2:25">
      <c r="F38" s="929"/>
      <c r="H38" s="907"/>
      <c r="J38" s="907"/>
      <c r="L38" s="929"/>
    </row>
    <row r="39" spans="2:25">
      <c r="F39" s="929"/>
      <c r="H39" s="907"/>
      <c r="J39" s="907"/>
      <c r="L39" s="929"/>
    </row>
    <row r="40" spans="2:25" ht="15.6" customHeight="1">
      <c r="D40" s="1025" t="s">
        <v>196</v>
      </c>
      <c r="F40" s="1026"/>
      <c r="H40" s="1027"/>
      <c r="I40" s="1027"/>
      <c r="J40" s="1027"/>
    </row>
    <row r="41" spans="2:25" ht="15.6" customHeight="1">
      <c r="D41" s="1025"/>
      <c r="F41" s="1026"/>
      <c r="H41" s="1027"/>
      <c r="I41" s="1027"/>
      <c r="J41" s="1027"/>
    </row>
    <row r="42" spans="2:25" ht="15.6" customHeight="1">
      <c r="D42" s="1259" t="s">
        <v>970</v>
      </c>
      <c r="E42" s="1145"/>
      <c r="F42" s="1260"/>
      <c r="G42" s="1145"/>
      <c r="H42" s="1027"/>
      <c r="I42" s="1027"/>
      <c r="J42" s="1027"/>
      <c r="K42" s="1145"/>
      <c r="L42" s="907"/>
    </row>
    <row r="43" spans="2:25" ht="15.6" customHeight="1">
      <c r="D43" s="1373" t="s">
        <v>1165</v>
      </c>
      <c r="E43" s="1374"/>
      <c r="F43" s="1374"/>
      <c r="G43" s="1374"/>
      <c r="H43" s="1374"/>
      <c r="I43" s="1374"/>
      <c r="J43" s="1374"/>
      <c r="K43" s="1374"/>
      <c r="L43" s="1374"/>
    </row>
    <row r="44" spans="2:25">
      <c r="D44" s="1374"/>
      <c r="E44" s="1374"/>
      <c r="F44" s="1374"/>
      <c r="G44" s="1374"/>
      <c r="H44" s="1374"/>
      <c r="I44" s="1374"/>
      <c r="J44" s="1374"/>
      <c r="K44" s="1374"/>
      <c r="L44" s="1374"/>
    </row>
    <row r="45" spans="2:25">
      <c r="D45" s="1374"/>
      <c r="E45" s="1374"/>
      <c r="F45" s="1374"/>
      <c r="G45" s="1374"/>
      <c r="H45" s="1374"/>
      <c r="I45" s="1374"/>
      <c r="J45" s="1374"/>
      <c r="K45" s="1374"/>
      <c r="L45" s="1374"/>
      <c r="N45" s="1021"/>
    </row>
    <row r="46" spans="2:25">
      <c r="D46" s="1374"/>
      <c r="E46" s="1374"/>
      <c r="F46" s="1374"/>
      <c r="G46" s="1374"/>
      <c r="H46" s="1374"/>
      <c r="I46" s="1374"/>
      <c r="J46" s="1374"/>
      <c r="K46" s="1374"/>
      <c r="L46" s="1374"/>
      <c r="N46" s="1022"/>
      <c r="O46" s="1022"/>
      <c r="P46" s="1022"/>
      <c r="Q46" s="1022"/>
      <c r="R46" s="1022"/>
      <c r="S46" s="1022"/>
      <c r="T46" s="1022"/>
      <c r="U46" s="1022"/>
      <c r="V46" s="1022"/>
      <c r="W46" s="1022"/>
      <c r="X46" s="1022"/>
      <c r="Y46" s="1022"/>
    </row>
    <row r="47" spans="2:25">
      <c r="F47" s="1026"/>
      <c r="H47" s="1027"/>
      <c r="I47" s="1027"/>
      <c r="J47" s="1027"/>
      <c r="N47" s="1022"/>
      <c r="O47" s="1022"/>
      <c r="P47" s="1022"/>
      <c r="Q47" s="1022"/>
      <c r="R47" s="1022"/>
      <c r="S47" s="1022"/>
      <c r="T47" s="1022"/>
      <c r="U47" s="1022"/>
      <c r="V47" s="1022"/>
      <c r="W47" s="1022"/>
      <c r="X47" s="1022"/>
      <c r="Y47" s="1022"/>
    </row>
    <row r="48" spans="2:25">
      <c r="F48" s="1026"/>
      <c r="H48" s="1027"/>
      <c r="I48" s="1027"/>
      <c r="J48" s="1027"/>
    </row>
    <row r="49" spans="2:12">
      <c r="F49" s="1026"/>
      <c r="H49" s="1027"/>
      <c r="I49" s="1027"/>
      <c r="J49" s="1027"/>
    </row>
    <row r="50" spans="2:12">
      <c r="F50" s="1026"/>
      <c r="H50" s="1027"/>
      <c r="I50" s="1027"/>
      <c r="J50" s="1027"/>
    </row>
    <row r="51" spans="2:12">
      <c r="B51" s="1013"/>
      <c r="D51" s="1013"/>
      <c r="F51" s="1026"/>
      <c r="H51" s="1027"/>
      <c r="I51" s="1027"/>
      <c r="J51" s="1027"/>
      <c r="L51" s="1013"/>
    </row>
    <row r="52" spans="2:12">
      <c r="B52" s="1013"/>
      <c r="D52" s="1013"/>
      <c r="F52" s="1026"/>
      <c r="L52" s="1013"/>
    </row>
    <row r="53" spans="2:12">
      <c r="B53" s="1013"/>
      <c r="D53" s="1013"/>
      <c r="F53" s="863"/>
      <c r="L53" s="1013"/>
    </row>
    <row r="54" spans="2:12">
      <c r="B54" s="1013"/>
      <c r="D54" s="1013"/>
      <c r="F54" s="863"/>
      <c r="L54" s="1013"/>
    </row>
    <row r="55" spans="2:12">
      <c r="B55" s="1013"/>
      <c r="D55" s="1013"/>
      <c r="F55" s="863"/>
      <c r="L55" s="1013"/>
    </row>
    <row r="56" spans="2:12">
      <c r="B56" s="1013"/>
      <c r="D56" s="1013"/>
      <c r="F56" s="863"/>
      <c r="L56" s="1013"/>
    </row>
    <row r="57" spans="2:12">
      <c r="B57" s="1013"/>
      <c r="D57" s="1013"/>
      <c r="F57" s="863"/>
      <c r="L57" s="1013"/>
    </row>
    <row r="58" spans="2:12">
      <c r="B58" s="1013"/>
      <c r="D58" s="1013"/>
      <c r="F58" s="863"/>
      <c r="L58" s="1013"/>
    </row>
    <row r="59" spans="2:12">
      <c r="B59" s="1013"/>
      <c r="D59" s="1013"/>
      <c r="F59" s="863"/>
      <c r="L59" s="1013"/>
    </row>
    <row r="60" spans="2:12">
      <c r="B60" s="1013"/>
      <c r="D60" s="1013"/>
      <c r="F60" s="863"/>
      <c r="L60" s="1013"/>
    </row>
    <row r="61" spans="2:12">
      <c r="B61" s="1013"/>
      <c r="D61" s="1013"/>
      <c r="F61" s="863"/>
      <c r="L61" s="1013"/>
    </row>
    <row r="62" spans="2:12">
      <c r="B62" s="1013"/>
      <c r="D62" s="1013"/>
      <c r="F62" s="863"/>
      <c r="L62" s="1013"/>
    </row>
    <row r="63" spans="2:12">
      <c r="B63" s="1013"/>
      <c r="D63" s="1013"/>
      <c r="F63" s="863"/>
      <c r="L63" s="1013"/>
    </row>
    <row r="64" spans="2:12">
      <c r="B64" s="1013"/>
      <c r="D64" s="1013"/>
      <c r="F64" s="863"/>
      <c r="L64" s="1013"/>
    </row>
    <row r="65" spans="2:12">
      <c r="B65" s="1013"/>
      <c r="D65" s="1013"/>
      <c r="F65" s="863"/>
      <c r="L65" s="1013"/>
    </row>
    <row r="66" spans="2:12">
      <c r="B66" s="1013"/>
      <c r="D66" s="1013"/>
      <c r="F66" s="863"/>
      <c r="L66" s="1013"/>
    </row>
    <row r="67" spans="2:12" s="1013" customFormat="1">
      <c r="F67" s="863"/>
    </row>
    <row r="68" spans="2:12" s="1013" customFormat="1">
      <c r="F68" s="863"/>
    </row>
    <row r="69" spans="2:12" s="1013" customFormat="1">
      <c r="F69" s="863"/>
    </row>
    <row r="70" spans="2:12" s="1013" customFormat="1">
      <c r="F70" s="863"/>
    </row>
    <row r="71" spans="2:12" s="1013" customFormat="1">
      <c r="F71" s="863"/>
    </row>
    <row r="72" spans="2:12" s="1013" customFormat="1">
      <c r="F72" s="863"/>
    </row>
    <row r="73" spans="2:12" s="1013" customFormat="1">
      <c r="F73" s="863"/>
    </row>
    <row r="74" spans="2:12" s="1013" customFormat="1">
      <c r="F74" s="863"/>
    </row>
    <row r="75" spans="2:12" s="1013" customFormat="1">
      <c r="F75" s="863"/>
    </row>
    <row r="76" spans="2:12" s="1013" customFormat="1">
      <c r="F76" s="863"/>
    </row>
    <row r="77" spans="2:12" s="1013" customFormat="1">
      <c r="F77" s="863"/>
    </row>
    <row r="78" spans="2:12" s="1013" customFormat="1">
      <c r="F78" s="863"/>
    </row>
    <row r="79" spans="2:12" s="1013" customFormat="1">
      <c r="F79" s="863"/>
    </row>
    <row r="80" spans="2:12" s="1013" customFormat="1">
      <c r="F80" s="863"/>
    </row>
    <row r="81" spans="6:6" s="1013" customFormat="1">
      <c r="F81" s="863"/>
    </row>
    <row r="82" spans="6:6" s="1013" customFormat="1">
      <c r="F82" s="863"/>
    </row>
    <row r="83" spans="6:6" s="1013" customFormat="1">
      <c r="F83" s="863"/>
    </row>
    <row r="84" spans="6:6" s="1013" customFormat="1">
      <c r="F84" s="863"/>
    </row>
    <row r="85" spans="6:6" s="1013" customFormat="1">
      <c r="F85" s="863"/>
    </row>
    <row r="86" spans="6:6" s="1013" customFormat="1">
      <c r="F86" s="863"/>
    </row>
    <row r="87" spans="6:6" s="1013" customFormat="1">
      <c r="F87" s="863"/>
    </row>
    <row r="88" spans="6:6" s="1013" customFormat="1">
      <c r="F88" s="863"/>
    </row>
    <row r="89" spans="6:6" s="1013" customFormat="1">
      <c r="F89" s="863"/>
    </row>
    <row r="90" spans="6:6" s="1013" customFormat="1">
      <c r="F90" s="863"/>
    </row>
    <row r="91" spans="6:6" s="1013" customFormat="1">
      <c r="F91" s="863"/>
    </row>
    <row r="92" spans="6:6" s="1013" customFormat="1">
      <c r="F92" s="863"/>
    </row>
    <row r="93" spans="6:6" s="1013" customFormat="1">
      <c r="F93" s="863"/>
    </row>
    <row r="94" spans="6:6" s="1013" customFormat="1">
      <c r="F94" s="1028"/>
    </row>
    <row r="95" spans="6:6" s="1013" customFormat="1">
      <c r="F95" s="1028"/>
    </row>
    <row r="96" spans="6:6" s="1013" customFormat="1">
      <c r="F96" s="1028"/>
    </row>
    <row r="97" spans="6:6" s="1013" customFormat="1">
      <c r="F97" s="1028"/>
    </row>
    <row r="98" spans="6:6" s="1013" customFormat="1">
      <c r="F98" s="1028"/>
    </row>
    <row r="99" spans="6:6" s="1013" customFormat="1">
      <c r="F99" s="1028"/>
    </row>
    <row r="100" spans="6:6" s="1013" customFormat="1">
      <c r="F100" s="1028"/>
    </row>
    <row r="101" spans="6:6" s="1013" customFormat="1">
      <c r="F101" s="1028"/>
    </row>
    <row r="102" spans="6:6" s="1013" customFormat="1">
      <c r="F102" s="1028"/>
    </row>
    <row r="103" spans="6:6" s="1013" customFormat="1">
      <c r="F103" s="1028"/>
    </row>
    <row r="104" spans="6:6" s="1013" customFormat="1">
      <c r="F104" s="1028"/>
    </row>
    <row r="105" spans="6:6" s="1013" customFormat="1">
      <c r="F105" s="1028"/>
    </row>
    <row r="106" spans="6:6" s="1013" customFormat="1">
      <c r="F106" s="1028"/>
    </row>
    <row r="107" spans="6:6" s="1013" customFormat="1">
      <c r="F107" s="1028"/>
    </row>
  </sheetData>
  <customSheetViews>
    <customSheetView guid="{B991F324-919F-4749-8E3C-A09B2FA7BB10}" scale="60" showPageBreaks="1" view="pageBreakPreview">
      <selection activeCell="M13" sqref="M13"/>
      <pageMargins left="0.7" right="0.7" top="0.75" bottom="0.75" header="0.3" footer="0.3"/>
      <pageSetup scale="94" orientation="portrait" r:id="rId1"/>
    </customSheetView>
    <customSheetView guid="{901B528B-D65D-48CA-A638-FD9B4E5BB6D4}" scale="60" showPageBreaks="1" view="pageBreakPreview">
      <selection activeCell="M13" sqref="M13"/>
      <pageMargins left="0.7" right="0.7" top="0.75" bottom="0.75" header="0.3" footer="0.3"/>
      <pageSetup scale="94" orientation="portrait" r:id="rId2"/>
    </customSheetView>
    <customSheetView guid="{0DE222E8-ADD6-4F4B-9601-960D8109381F}" scale="60" showPageBreaks="1" view="pageBreakPreview">
      <pageMargins left="0.7" right="0.7" top="0.75" bottom="0.75" header="0.3" footer="0.3"/>
      <pageSetup scale="91" orientation="portrait" r:id="rId3"/>
    </customSheetView>
  </customSheetViews>
  <mergeCells count="1">
    <mergeCell ref="D43:L46"/>
  </mergeCells>
  <pageMargins left="0.7" right="0.7" top="0.75" bottom="0.75" header="0.3" footer="0.3"/>
  <pageSetup scale="91" orientation="portrait"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K35"/>
  <sheetViews>
    <sheetView view="pageBreakPreview" zoomScale="60" zoomScaleNormal="90" workbookViewId="0">
      <selection activeCell="B35" sqref="B35"/>
    </sheetView>
  </sheetViews>
  <sheetFormatPr defaultColWidth="8.90625" defaultRowHeight="20.100000000000001" customHeight="1"/>
  <cols>
    <col min="1" max="1" width="2.81640625" style="898" customWidth="1"/>
    <col min="2" max="2" width="12.81640625" style="43" customWidth="1"/>
    <col min="3" max="3" width="8.90625" style="43"/>
    <col min="4" max="4" width="2.81640625" style="43" customWidth="1"/>
    <col min="5" max="5" width="16.1796875" style="898" customWidth="1"/>
    <col min="6" max="6" width="16.54296875" style="898" customWidth="1"/>
    <col min="7" max="7" width="15.453125" style="898" customWidth="1"/>
    <col min="8" max="11" width="12.81640625" style="43" customWidth="1"/>
    <col min="12" max="16384" width="8.90625" style="43"/>
  </cols>
  <sheetData>
    <row r="1" spans="1:11" ht="20.100000000000001" customHeight="1">
      <c r="B1" s="969"/>
      <c r="C1" s="969"/>
      <c r="K1" s="82" t="str">
        <f>'Attachment H-11A '!K1&amp;""&amp;", Attachment 14"</f>
        <v>Attachment H -11A, Attachment 14</v>
      </c>
    </row>
    <row r="2" spans="1:11" ht="20.100000000000001" customHeight="1">
      <c r="B2" s="969"/>
      <c r="C2" s="969"/>
      <c r="K2" s="82" t="s">
        <v>188</v>
      </c>
    </row>
    <row r="3" spans="1:11" ht="20.100000000000001" customHeight="1">
      <c r="B3" s="969"/>
      <c r="C3" s="969"/>
      <c r="G3" s="515" t="s">
        <v>564</v>
      </c>
      <c r="K3" s="6" t="str">
        <f>'Attachment H-11A '!K4</f>
        <v>For the 12 months ended 12/31/2022</v>
      </c>
    </row>
    <row r="4" spans="1:11" ht="20.100000000000001" customHeight="1">
      <c r="A4" s="52"/>
      <c r="B4" s="969"/>
      <c r="C4" s="969"/>
    </row>
    <row r="5" spans="1:11" ht="20.100000000000001" customHeight="1">
      <c r="B5" s="969"/>
      <c r="C5" s="969"/>
      <c r="E5" s="898" t="s">
        <v>508</v>
      </c>
      <c r="F5" s="898" t="s">
        <v>509</v>
      </c>
      <c r="G5" s="898" t="s">
        <v>510</v>
      </c>
      <c r="H5" s="898" t="s">
        <v>511</v>
      </c>
      <c r="I5" s="898" t="s">
        <v>512</v>
      </c>
      <c r="K5" s="898" t="s">
        <v>513</v>
      </c>
    </row>
    <row r="6" spans="1:11" ht="20.100000000000001" customHeight="1">
      <c r="B6" s="969"/>
      <c r="C6" s="969"/>
      <c r="E6" s="515" t="s">
        <v>679</v>
      </c>
      <c r="F6" s="515" t="s">
        <v>680</v>
      </c>
      <c r="G6" s="515" t="s">
        <v>681</v>
      </c>
      <c r="I6" s="515" t="s">
        <v>10</v>
      </c>
    </row>
    <row r="7" spans="1:11" ht="20.100000000000001" customHeight="1">
      <c r="E7" s="515" t="s">
        <v>682</v>
      </c>
      <c r="F7" s="515" t="s">
        <v>683</v>
      </c>
      <c r="G7" s="515" t="s">
        <v>684</v>
      </c>
    </row>
    <row r="8" spans="1:11" ht="20.100000000000001" customHeight="1">
      <c r="D8" s="47" t="s">
        <v>225</v>
      </c>
      <c r="E8" s="50" t="s">
        <v>685</v>
      </c>
      <c r="F8" s="50" t="s">
        <v>686</v>
      </c>
      <c r="G8" s="50" t="s">
        <v>737</v>
      </c>
    </row>
    <row r="9" spans="1:11" ht="20.100000000000001" customHeight="1">
      <c r="A9" s="53">
        <v>1</v>
      </c>
      <c r="B9" s="56" t="s">
        <v>237</v>
      </c>
      <c r="C9" s="46">
        <f>(MID(K3:K3,31,10)-1)</f>
        <v>2021</v>
      </c>
      <c r="E9" s="119"/>
      <c r="F9" s="119"/>
      <c r="G9" s="119">
        <v>2702815.2700000005</v>
      </c>
      <c r="H9" s="120"/>
      <c r="I9" s="120">
        <f>SUM(E9:G9)</f>
        <v>2702815.2700000005</v>
      </c>
    </row>
    <row r="10" spans="1:11" ht="20.100000000000001" customHeight="1">
      <c r="A10" s="53">
        <v>2</v>
      </c>
      <c r="B10" s="56" t="s">
        <v>237</v>
      </c>
      <c r="C10" s="45">
        <f>C9+1</f>
        <v>2022</v>
      </c>
      <c r="E10" s="119"/>
      <c r="F10" s="119"/>
      <c r="G10" s="119">
        <v>2702815.2700000005</v>
      </c>
      <c r="H10" s="120"/>
      <c r="I10" s="120">
        <f>SUM(E10:G10)</f>
        <v>2702815.2700000005</v>
      </c>
    </row>
    <row r="11" spans="1:11" ht="20.100000000000001" customHeight="1">
      <c r="E11" s="121"/>
      <c r="F11" s="121"/>
      <c r="G11" s="121"/>
      <c r="H11" s="120"/>
      <c r="I11" s="120"/>
    </row>
    <row r="12" spans="1:11" ht="20.100000000000001" customHeight="1">
      <c r="A12" s="53">
        <v>3</v>
      </c>
      <c r="B12" s="43" t="s">
        <v>236</v>
      </c>
      <c r="E12" s="121">
        <f>(E9/2)+(E10/2)</f>
        <v>0</v>
      </c>
      <c r="F12" s="121">
        <f>(F9/2)+(F10/2)</f>
        <v>0</v>
      </c>
      <c r="G12" s="121">
        <f>(G9/2)+(G10/2)</f>
        <v>2702815.2700000005</v>
      </c>
      <c r="H12" s="121"/>
      <c r="I12" s="121">
        <f>(I9/2)+(I10/2)</f>
        <v>2702815.2700000005</v>
      </c>
    </row>
    <row r="14" spans="1:11" ht="20.100000000000001" customHeight="1">
      <c r="A14" s="899"/>
      <c r="D14" s="54"/>
      <c r="E14" s="1375" t="s">
        <v>687</v>
      </c>
      <c r="F14" s="1375"/>
      <c r="G14" s="1375"/>
      <c r="H14" s="1375"/>
      <c r="I14" s="1375"/>
      <c r="K14" s="515" t="s">
        <v>10</v>
      </c>
    </row>
    <row r="15" spans="1:11" ht="20.100000000000001" customHeight="1">
      <c r="A15" s="899"/>
      <c r="C15" s="900" t="s">
        <v>688</v>
      </c>
      <c r="D15" s="54"/>
      <c r="E15" s="901">
        <v>228.1</v>
      </c>
      <c r="F15" s="901">
        <v>228.2</v>
      </c>
      <c r="G15" s="901">
        <v>228.3</v>
      </c>
      <c r="H15" s="901">
        <v>228.4</v>
      </c>
      <c r="I15" s="902">
        <v>242</v>
      </c>
    </row>
    <row r="16" spans="1:11" ht="20.100000000000001" customHeight="1">
      <c r="A16" s="899"/>
      <c r="D16" s="47" t="s">
        <v>593</v>
      </c>
      <c r="E16" s="50" t="s">
        <v>689</v>
      </c>
      <c r="F16" s="50" t="s">
        <v>690</v>
      </c>
      <c r="G16" s="50" t="s">
        <v>691</v>
      </c>
      <c r="H16" s="50" t="s">
        <v>692</v>
      </c>
      <c r="I16" s="50" t="s">
        <v>693</v>
      </c>
    </row>
    <row r="17" spans="1:11" ht="20.100000000000001" customHeight="1">
      <c r="A17" s="899">
        <v>4</v>
      </c>
      <c r="B17" s="56" t="s">
        <v>237</v>
      </c>
      <c r="C17" s="903">
        <f>C9</f>
        <v>2021</v>
      </c>
      <c r="E17" s="119"/>
      <c r="F17" s="119"/>
      <c r="G17" s="119"/>
      <c r="H17" s="904"/>
      <c r="I17" s="904"/>
      <c r="J17" s="120"/>
      <c r="K17" s="120">
        <f>SUM(E17:I17)</f>
        <v>0</v>
      </c>
    </row>
    <row r="18" spans="1:11" ht="20.100000000000001" customHeight="1">
      <c r="A18" s="899">
        <v>5</v>
      </c>
      <c r="B18" s="56" t="s">
        <v>237</v>
      </c>
      <c r="C18" s="905">
        <f>C17+1</f>
        <v>2022</v>
      </c>
      <c r="E18" s="119"/>
      <c r="F18" s="119"/>
      <c r="G18" s="119"/>
      <c r="H18" s="904"/>
      <c r="I18" s="904"/>
      <c r="J18" s="120"/>
      <c r="K18" s="120">
        <f>SUM(E18:I18)</f>
        <v>0</v>
      </c>
    </row>
    <row r="19" spans="1:11" ht="20.100000000000001" customHeight="1">
      <c r="A19" s="899"/>
      <c r="B19" s="56"/>
      <c r="C19" s="905"/>
      <c r="E19" s="121"/>
      <c r="F19" s="121"/>
      <c r="G19" s="121"/>
      <c r="H19" s="120"/>
      <c r="I19" s="120"/>
      <c r="J19" s="120"/>
      <c r="K19" s="120"/>
    </row>
    <row r="20" spans="1:11" ht="20.100000000000001" customHeight="1">
      <c r="A20" s="899">
        <v>6</v>
      </c>
      <c r="B20" s="43" t="s">
        <v>236</v>
      </c>
      <c r="C20" s="905"/>
      <c r="E20" s="121">
        <f>(E17/2)+(E18/2)</f>
        <v>0</v>
      </c>
      <c r="F20" s="121">
        <f>(F17/2)+(F18/2)</f>
        <v>0</v>
      </c>
      <c r="G20" s="121">
        <f>(G17/2)+(G18/2)</f>
        <v>0</v>
      </c>
      <c r="H20" s="121">
        <f>(H17/2)+(H18/2)</f>
        <v>0</v>
      </c>
      <c r="I20" s="121">
        <f>(I17/2)+(I18/2)</f>
        <v>0</v>
      </c>
      <c r="J20" s="121"/>
      <c r="K20" s="121">
        <f>(K17/2)+(K18/2)</f>
        <v>0</v>
      </c>
    </row>
    <row r="21" spans="1:11" ht="20.100000000000001" customHeight="1">
      <c r="A21" s="899"/>
    </row>
    <row r="22" spans="1:11" ht="20.100000000000001" customHeight="1">
      <c r="A22" s="899"/>
      <c r="D22" s="54"/>
      <c r="E22" s="1375" t="s">
        <v>694</v>
      </c>
      <c r="F22" s="1375"/>
      <c r="G22" s="1375"/>
      <c r="H22" s="1375"/>
      <c r="I22" s="1375"/>
      <c r="K22" s="515" t="s">
        <v>10</v>
      </c>
    </row>
    <row r="23" spans="1:11" ht="20.100000000000001" customHeight="1">
      <c r="A23" s="899"/>
      <c r="C23" s="900" t="s">
        <v>688</v>
      </c>
      <c r="D23" s="54"/>
      <c r="E23" s="901">
        <v>228.1</v>
      </c>
      <c r="F23" s="901">
        <v>228.2</v>
      </c>
      <c r="G23" s="901">
        <v>228.3</v>
      </c>
      <c r="H23" s="901">
        <v>228.4</v>
      </c>
      <c r="I23" s="902">
        <v>242</v>
      </c>
    </row>
    <row r="24" spans="1:11" ht="20.100000000000001" customHeight="1">
      <c r="A24" s="899"/>
      <c r="D24" s="47" t="s">
        <v>593</v>
      </c>
      <c r="E24" s="50" t="s">
        <v>689</v>
      </c>
      <c r="F24" s="50" t="s">
        <v>690</v>
      </c>
      <c r="G24" s="50" t="s">
        <v>691</v>
      </c>
      <c r="H24" s="50" t="s">
        <v>692</v>
      </c>
      <c r="I24" s="50" t="s">
        <v>736</v>
      </c>
    </row>
    <row r="25" spans="1:11" ht="20.100000000000001" customHeight="1">
      <c r="A25" s="899">
        <v>7</v>
      </c>
      <c r="B25" s="56" t="s">
        <v>237</v>
      </c>
      <c r="C25" s="903">
        <f>C9</f>
        <v>2021</v>
      </c>
      <c r="E25" s="119"/>
      <c r="F25" s="119"/>
      <c r="G25" s="119"/>
      <c r="H25" s="904"/>
      <c r="I25" s="904"/>
      <c r="J25" s="120"/>
      <c r="K25" s="120">
        <f>SUM(E25:I25)</f>
        <v>0</v>
      </c>
    </row>
    <row r="26" spans="1:11" ht="20.100000000000001" customHeight="1">
      <c r="A26" s="899">
        <v>8</v>
      </c>
      <c r="B26" s="56" t="s">
        <v>237</v>
      </c>
      <c r="C26" s="905">
        <f>C25+1</f>
        <v>2022</v>
      </c>
      <c r="E26" s="119"/>
      <c r="F26" s="119"/>
      <c r="G26" s="119"/>
      <c r="H26" s="904"/>
      <c r="I26" s="904"/>
      <c r="J26" s="120"/>
      <c r="K26" s="120">
        <f>SUM(E26:I26)</f>
        <v>0</v>
      </c>
    </row>
    <row r="27" spans="1:11" ht="20.100000000000001" customHeight="1">
      <c r="A27" s="899"/>
      <c r="E27" s="121"/>
      <c r="F27" s="121"/>
      <c r="G27" s="121"/>
      <c r="H27" s="120"/>
      <c r="I27" s="120"/>
      <c r="J27" s="120"/>
      <c r="K27" s="120"/>
    </row>
    <row r="28" spans="1:11" ht="20.100000000000001" customHeight="1">
      <c r="A28" s="899">
        <v>9</v>
      </c>
      <c r="B28" s="43" t="s">
        <v>236</v>
      </c>
      <c r="E28" s="121">
        <f>(E25/2)+(E26/2)</f>
        <v>0</v>
      </c>
      <c r="F28" s="121">
        <f>(F25/2)+(F26/2)</f>
        <v>0</v>
      </c>
      <c r="G28" s="121">
        <f>(G25/2)+(G26/2)</f>
        <v>0</v>
      </c>
      <c r="H28" s="121">
        <f>(H25/2)+(H26/2)</f>
        <v>0</v>
      </c>
      <c r="I28" s="121">
        <f>(I25/2)+(I26/2)</f>
        <v>0</v>
      </c>
      <c r="J28" s="121"/>
      <c r="K28" s="121">
        <f>(K25/2)+(K26/2)</f>
        <v>0</v>
      </c>
    </row>
    <row r="32" spans="1:11" ht="20.100000000000001" customHeight="1">
      <c r="A32" s="43" t="s">
        <v>226</v>
      </c>
    </row>
    <row r="33" spans="1:2" ht="20.100000000000001" customHeight="1">
      <c r="A33" s="898" t="s">
        <v>225</v>
      </c>
      <c r="B33" s="43" t="s">
        <v>695</v>
      </c>
    </row>
    <row r="34" spans="1:2" ht="20.100000000000001" customHeight="1">
      <c r="A34" s="898" t="s">
        <v>239</v>
      </c>
      <c r="B34" s="43" t="s">
        <v>585</v>
      </c>
    </row>
    <row r="35" spans="1:2" ht="20.100000000000001" customHeight="1">
      <c r="A35" s="898" t="s">
        <v>297</v>
      </c>
      <c r="B35" s="43" t="s">
        <v>696</v>
      </c>
    </row>
  </sheetData>
  <customSheetViews>
    <customSheetView guid="{B991F324-919F-4749-8E3C-A09B2FA7BB10}" scale="60" showPageBreaks="1" printArea="1" view="pageBreakPreview">
      <selection activeCell="M15" sqref="M15"/>
      <pageMargins left="0.7" right="0.7" top="0.75" bottom="0.75" header="0.3" footer="0.3"/>
      <pageSetup scale="47" orientation="portrait" r:id="rId1"/>
      <headerFooter alignWithMargins="0"/>
    </customSheetView>
    <customSheetView guid="{901B528B-D65D-48CA-A638-FD9B4E5BB6D4}" scale="60" showPageBreaks="1" printArea="1" view="pageBreakPreview">
      <selection activeCell="M15" sqref="M15"/>
      <pageMargins left="0.7" right="0.7" top="0.75" bottom="0.75" header="0.3" footer="0.3"/>
      <pageSetup scale="47" orientation="portrait" r:id="rId2"/>
      <headerFooter alignWithMargins="0"/>
    </customSheetView>
    <customSheetView guid="{E1861F40-EBD5-44AE-868B-FDE0ED504D72}" scale="85">
      <selection activeCell="E9" sqref="E9"/>
      <pageMargins left="0.7" right="0.7" top="0.75" bottom="0.75" header="0.3" footer="0.3"/>
      <pageSetup scale="55" orientation="portrait" r:id="rId3"/>
    </customSheetView>
    <customSheetView guid="{0DE222E8-ADD6-4F4B-9601-960D8109381F}" scale="60" showPageBreaks="1" printArea="1" view="pageBreakPreview">
      <pageMargins left="0.7" right="0.7" top="0.75" bottom="0.75" header="0.3" footer="0.3"/>
      <pageSetup scale="47" orientation="portrait" r:id="rId4"/>
      <headerFooter alignWithMargins="0"/>
    </customSheetView>
  </customSheetViews>
  <mergeCells count="2">
    <mergeCell ref="E14:I14"/>
    <mergeCell ref="E22:I22"/>
  </mergeCells>
  <pageMargins left="0.7" right="0.7" top="0.75" bottom="0.75" header="0.3" footer="0.3"/>
  <pageSetup scale="47" orientation="portrait" r:id="rId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498AC-CEF3-4366-81F7-79C30F2C0396}">
  <dimension ref="A1:P84"/>
  <sheetViews>
    <sheetView view="pageBreakPreview" zoomScale="80" zoomScaleNormal="70" workbookViewId="0">
      <selection activeCell="B35" sqref="B35"/>
    </sheetView>
  </sheetViews>
  <sheetFormatPr defaultColWidth="6.90625" defaultRowHeight="13.8"/>
  <cols>
    <col min="1" max="1" width="7.1796875" style="1030" customWidth="1"/>
    <col min="2" max="2" width="42.36328125" style="1030" customWidth="1"/>
    <col min="3" max="3" width="6.90625" style="1030"/>
    <col min="4" max="4" width="21" style="1030" customWidth="1"/>
    <col min="5" max="6" width="15.08984375" style="1030" customWidth="1"/>
    <col min="7" max="7" width="19.54296875" style="1030" customWidth="1"/>
    <col min="8" max="8" width="15.08984375" style="1030" customWidth="1"/>
    <col min="9" max="9" width="20.36328125" style="1030" customWidth="1"/>
    <col min="10" max="10" width="15.08984375" style="1030" customWidth="1"/>
    <col min="11" max="11" width="11.36328125" style="1030" bestFit="1" customWidth="1"/>
    <col min="12" max="12" width="14.54296875" style="1030" bestFit="1" customWidth="1"/>
    <col min="13" max="13" width="9" style="1030" bestFit="1" customWidth="1"/>
    <col min="14" max="14" width="12.81640625" style="1030" bestFit="1" customWidth="1"/>
    <col min="15" max="15" width="6.90625" style="1030"/>
    <col min="16" max="16" width="11.1796875" style="1030" customWidth="1"/>
    <col min="17" max="16384" width="6.90625" style="1030"/>
  </cols>
  <sheetData>
    <row r="1" spans="1:16" ht="15.6">
      <c r="A1" s="1029"/>
      <c r="B1" s="1029"/>
      <c r="C1" s="1029"/>
      <c r="D1" s="1029"/>
      <c r="I1" s="1031"/>
      <c r="J1" s="1032" t="str">
        <f>'Attachment H-11A '!K1&amp;""&amp;", Attachment 15"</f>
        <v>Attachment H -11A, Attachment 15</v>
      </c>
    </row>
    <row r="2" spans="1:16" ht="15.6">
      <c r="A2" s="1029"/>
      <c r="B2" s="1029"/>
      <c r="C2" s="1029"/>
      <c r="D2" s="1029"/>
      <c r="I2" s="1031"/>
      <c r="J2" s="1032" t="s">
        <v>188</v>
      </c>
    </row>
    <row r="3" spans="1:16" ht="15.6">
      <c r="A3" s="1029"/>
      <c r="B3" s="1029"/>
      <c r="C3" s="1029"/>
      <c r="D3" s="1029"/>
      <c r="E3" s="1033"/>
      <c r="G3" s="1034"/>
      <c r="H3" s="1035"/>
      <c r="I3" s="1036"/>
      <c r="J3" s="1032" t="str">
        <f>'Attachment H-11A '!K4</f>
        <v>For the 12 months ended 12/31/2022</v>
      </c>
    </row>
    <row r="4" spans="1:16" ht="15.6">
      <c r="A4" s="1029"/>
      <c r="B4" s="1029"/>
      <c r="C4" s="1029"/>
      <c r="D4" s="1029"/>
      <c r="E4" s="1033"/>
      <c r="G4" s="1034"/>
      <c r="H4" s="1035"/>
      <c r="I4" s="1036"/>
      <c r="J4" s="1032"/>
    </row>
    <row r="5" spans="1:16" ht="15.6">
      <c r="B5" s="1376" t="s">
        <v>818</v>
      </c>
      <c r="C5" s="1376"/>
      <c r="D5" s="1376"/>
      <c r="E5" s="1376"/>
      <c r="F5" s="1376"/>
      <c r="G5" s="1376"/>
      <c r="H5" s="1376"/>
      <c r="I5" s="1376"/>
      <c r="J5" s="1037"/>
    </row>
    <row r="6" spans="1:16" ht="15.6">
      <c r="B6" s="1376" t="s">
        <v>819</v>
      </c>
      <c r="C6" s="1376"/>
      <c r="D6" s="1376"/>
      <c r="E6" s="1376"/>
      <c r="F6" s="1376"/>
      <c r="G6" s="1376"/>
      <c r="H6" s="1376"/>
      <c r="I6" s="1376"/>
      <c r="J6" s="1038"/>
    </row>
    <row r="7" spans="1:16">
      <c r="B7" s="1039"/>
      <c r="C7" s="1039"/>
    </row>
    <row r="8" spans="1:16">
      <c r="B8" s="1040" t="s">
        <v>643</v>
      </c>
      <c r="C8" s="1039"/>
      <c r="D8" s="1040" t="s">
        <v>644</v>
      </c>
      <c r="E8" s="1040" t="s">
        <v>645</v>
      </c>
      <c r="F8" s="1040" t="s">
        <v>646</v>
      </c>
      <c r="G8" s="1040" t="s">
        <v>647</v>
      </c>
      <c r="H8" s="1040" t="s">
        <v>648</v>
      </c>
      <c r="I8" s="1040" t="s">
        <v>820</v>
      </c>
      <c r="J8" s="1040" t="s">
        <v>821</v>
      </c>
    </row>
    <row r="9" spans="1:16">
      <c r="B9" s="1039"/>
      <c r="C9" s="1039"/>
    </row>
    <row r="10" spans="1:16" ht="117" customHeight="1">
      <c r="A10" s="1041" t="s">
        <v>179</v>
      </c>
      <c r="B10" s="1041" t="s">
        <v>649</v>
      </c>
      <c r="C10" s="1031"/>
      <c r="D10" s="1041" t="s">
        <v>822</v>
      </c>
      <c r="E10" s="1041" t="s">
        <v>823</v>
      </c>
      <c r="F10" s="1041" t="s">
        <v>824</v>
      </c>
      <c r="G10" s="1041" t="s">
        <v>715</v>
      </c>
      <c r="H10" s="1041" t="s">
        <v>825</v>
      </c>
      <c r="I10" s="1041" t="s">
        <v>826</v>
      </c>
      <c r="J10" s="1041" t="s">
        <v>652</v>
      </c>
    </row>
    <row r="11" spans="1:16" ht="15.6">
      <c r="A11" s="1042"/>
      <c r="B11" s="1043" t="s">
        <v>827</v>
      </c>
      <c r="C11" s="1031"/>
      <c r="D11" s="1042"/>
      <c r="E11" s="1042"/>
      <c r="F11" s="1042"/>
      <c r="G11" s="1042"/>
      <c r="H11" s="1042"/>
      <c r="I11" s="1042"/>
      <c r="J11" s="1042"/>
    </row>
    <row r="12" spans="1:16" ht="15.6">
      <c r="A12" s="1044">
        <v>1</v>
      </c>
      <c r="B12" s="1043" t="s">
        <v>828</v>
      </c>
      <c r="C12" s="1031"/>
      <c r="D12" s="1042"/>
      <c r="E12" s="1042"/>
      <c r="F12" s="1042"/>
      <c r="G12" s="1042"/>
      <c r="H12" s="1042"/>
      <c r="I12" s="1031"/>
      <c r="J12" s="1042"/>
    </row>
    <row r="13" spans="1:16" ht="15.6">
      <c r="A13" s="1045" t="s">
        <v>519</v>
      </c>
      <c r="B13" s="1046" t="s">
        <v>1227</v>
      </c>
      <c r="C13" s="1031"/>
      <c r="D13" s="1047">
        <v>2140.1099466254641</v>
      </c>
      <c r="E13" s="1047">
        <v>0</v>
      </c>
      <c r="F13" s="1047">
        <v>10</v>
      </c>
      <c r="G13" s="1047">
        <v>5</v>
      </c>
      <c r="H13" s="1047">
        <v>356.68499110424398</v>
      </c>
      <c r="I13" s="1048">
        <f t="shared" ref="I13:I34" si="0">(D13+E13)-H13</f>
        <v>1783.42495552122</v>
      </c>
      <c r="J13" s="1045" t="s">
        <v>124</v>
      </c>
      <c r="L13" s="1049"/>
      <c r="M13" s="1049"/>
      <c r="N13" s="1049"/>
      <c r="O13" s="1049"/>
      <c r="P13" s="1048"/>
    </row>
    <row r="14" spans="1:16" ht="15.6">
      <c r="A14" s="1045" t="s">
        <v>520</v>
      </c>
      <c r="B14" s="1046" t="s">
        <v>1228</v>
      </c>
      <c r="C14" s="1031"/>
      <c r="D14" s="1047">
        <v>20179.770491215004</v>
      </c>
      <c r="E14" s="1047">
        <v>0</v>
      </c>
      <c r="F14" s="1047">
        <v>10</v>
      </c>
      <c r="G14" s="1047">
        <v>5</v>
      </c>
      <c r="H14" s="1047">
        <v>3363.2950818691679</v>
      </c>
      <c r="I14" s="1048">
        <f t="shared" si="0"/>
        <v>16816.475409345836</v>
      </c>
      <c r="J14" s="1045" t="s">
        <v>124</v>
      </c>
      <c r="L14" s="1049"/>
      <c r="M14" s="1049"/>
      <c r="N14" s="1049"/>
      <c r="O14" s="1049"/>
      <c r="P14" s="1048"/>
    </row>
    <row r="15" spans="1:16" ht="15.6">
      <c r="A15" s="1045" t="s">
        <v>521</v>
      </c>
      <c r="B15" s="1046" t="s">
        <v>1229</v>
      </c>
      <c r="C15" s="1031"/>
      <c r="D15" s="1047">
        <v>82235.074844843475</v>
      </c>
      <c r="E15" s="1047">
        <v>0</v>
      </c>
      <c r="F15" s="1047">
        <v>10</v>
      </c>
      <c r="G15" s="1047">
        <v>5</v>
      </c>
      <c r="H15" s="1047">
        <v>13705.84580747391</v>
      </c>
      <c r="I15" s="1048">
        <f t="shared" si="0"/>
        <v>68529.229037369572</v>
      </c>
      <c r="J15" s="1045" t="s">
        <v>124</v>
      </c>
      <c r="L15" s="1049"/>
      <c r="M15" s="1049"/>
      <c r="N15" s="1049"/>
      <c r="O15" s="1049"/>
      <c r="P15" s="1048"/>
    </row>
    <row r="16" spans="1:16" ht="15.6">
      <c r="A16" s="1045" t="s">
        <v>572</v>
      </c>
      <c r="B16" s="1046" t="s">
        <v>1230</v>
      </c>
      <c r="C16" s="1031"/>
      <c r="D16" s="1047">
        <v>139564.84459914546</v>
      </c>
      <c r="E16" s="1047">
        <v>0</v>
      </c>
      <c r="F16" s="1047">
        <v>10</v>
      </c>
      <c r="G16" s="1047">
        <v>5</v>
      </c>
      <c r="H16" s="1047">
        <v>23260.807433190908</v>
      </c>
      <c r="I16" s="1048">
        <f t="shared" si="0"/>
        <v>116304.03716595456</v>
      </c>
      <c r="J16" s="1045" t="s">
        <v>124</v>
      </c>
      <c r="L16" s="1049"/>
      <c r="M16" s="1049"/>
      <c r="N16" s="1049"/>
      <c r="O16" s="1049"/>
      <c r="P16" s="1048"/>
    </row>
    <row r="17" spans="1:16" ht="15.6">
      <c r="A17" s="1045" t="s">
        <v>899</v>
      </c>
      <c r="B17" s="1046" t="s">
        <v>1231</v>
      </c>
      <c r="C17" s="1031"/>
      <c r="D17" s="1047">
        <v>1837.4091979277457</v>
      </c>
      <c r="E17" s="1047">
        <v>0</v>
      </c>
      <c r="F17" s="1047">
        <v>10</v>
      </c>
      <c r="G17" s="1047">
        <v>5</v>
      </c>
      <c r="H17" s="1047">
        <v>306.23486632129095</v>
      </c>
      <c r="I17" s="1048">
        <f t="shared" si="0"/>
        <v>1531.1743316064549</v>
      </c>
      <c r="J17" s="1045" t="s">
        <v>124</v>
      </c>
      <c r="L17" s="1049"/>
      <c r="M17" s="1049"/>
      <c r="N17" s="1049"/>
      <c r="O17" s="1049"/>
      <c r="P17" s="1048"/>
    </row>
    <row r="18" spans="1:16" ht="15.6">
      <c r="A18" s="1045" t="s">
        <v>900</v>
      </c>
      <c r="B18" s="1046" t="s">
        <v>1232</v>
      </c>
      <c r="C18" s="1031"/>
      <c r="D18" s="1047">
        <v>159442.10618968913</v>
      </c>
      <c r="E18" s="1047">
        <v>0</v>
      </c>
      <c r="F18" s="1047">
        <v>10</v>
      </c>
      <c r="G18" s="1047">
        <v>5</v>
      </c>
      <c r="H18" s="1047">
        <v>26573.684364948185</v>
      </c>
      <c r="I18" s="1048">
        <f t="shared" si="0"/>
        <v>132868.42182474094</v>
      </c>
      <c r="J18" s="1045" t="s">
        <v>124</v>
      </c>
      <c r="L18" s="1049"/>
      <c r="M18" s="1049"/>
      <c r="N18" s="1049"/>
      <c r="O18" s="1049"/>
      <c r="P18" s="1048"/>
    </row>
    <row r="19" spans="1:16" ht="15.6">
      <c r="A19" s="1045" t="s">
        <v>1233</v>
      </c>
      <c r="B19" s="1046" t="s">
        <v>1234</v>
      </c>
      <c r="C19" s="1031"/>
      <c r="D19" s="1047">
        <v>23057.498218369859</v>
      </c>
      <c r="E19" s="1047">
        <v>0</v>
      </c>
      <c r="F19" s="1047">
        <v>10</v>
      </c>
      <c r="G19" s="1047">
        <v>5</v>
      </c>
      <c r="H19" s="1047">
        <v>3842.9163697283093</v>
      </c>
      <c r="I19" s="1048">
        <f t="shared" si="0"/>
        <v>19214.581848641552</v>
      </c>
      <c r="J19" s="1045" t="s">
        <v>124</v>
      </c>
      <c r="L19" s="1049"/>
      <c r="M19" s="1049"/>
      <c r="N19" s="1049"/>
      <c r="O19" s="1049"/>
      <c r="P19" s="1048"/>
    </row>
    <row r="20" spans="1:16" ht="15.6">
      <c r="A20" s="1045" t="s">
        <v>1235</v>
      </c>
      <c r="B20" s="1046" t="s">
        <v>1236</v>
      </c>
      <c r="C20" s="1031"/>
      <c r="D20" s="1047">
        <v>-12997.975061367062</v>
      </c>
      <c r="E20" s="1047">
        <v>0</v>
      </c>
      <c r="F20" s="1047">
        <v>10</v>
      </c>
      <c r="G20" s="1047">
        <v>5</v>
      </c>
      <c r="H20" s="1047">
        <v>-2166.3291768945101</v>
      </c>
      <c r="I20" s="1048">
        <f t="shared" si="0"/>
        <v>-10831.645884472553</v>
      </c>
      <c r="J20" s="1045" t="s">
        <v>124</v>
      </c>
      <c r="L20" s="1049"/>
      <c r="M20" s="1049"/>
      <c r="N20" s="1049"/>
      <c r="O20" s="1049"/>
      <c r="P20" s="1048"/>
    </row>
    <row r="21" spans="1:16" ht="15.6">
      <c r="A21" s="1045" t="s">
        <v>1237</v>
      </c>
      <c r="B21" s="1046" t="s">
        <v>1238</v>
      </c>
      <c r="C21" s="1031"/>
      <c r="D21" s="1047">
        <v>796435.48936119478</v>
      </c>
      <c r="E21" s="1047">
        <v>0</v>
      </c>
      <c r="F21" s="1047">
        <v>10</v>
      </c>
      <c r="G21" s="1047">
        <v>5</v>
      </c>
      <c r="H21" s="1047">
        <v>132739.24822686578</v>
      </c>
      <c r="I21" s="1048">
        <f t="shared" si="0"/>
        <v>663696.241134329</v>
      </c>
      <c r="J21" s="1045" t="s">
        <v>124</v>
      </c>
      <c r="L21" s="1049"/>
      <c r="M21" s="1049"/>
      <c r="N21" s="1049"/>
      <c r="O21" s="1049"/>
      <c r="P21" s="1048"/>
    </row>
    <row r="22" spans="1:16" ht="15.6">
      <c r="A22" s="1045" t="s">
        <v>1239</v>
      </c>
      <c r="B22" s="1046" t="s">
        <v>1240</v>
      </c>
      <c r="C22" s="1031"/>
      <c r="D22" s="1047">
        <v>12789.007348070045</v>
      </c>
      <c r="E22" s="1047">
        <v>0</v>
      </c>
      <c r="F22" s="1047">
        <v>10</v>
      </c>
      <c r="G22" s="1047">
        <v>5</v>
      </c>
      <c r="H22" s="1047">
        <v>2131.5012246783408</v>
      </c>
      <c r="I22" s="1048">
        <f t="shared" si="0"/>
        <v>10657.506123391704</v>
      </c>
      <c r="J22" s="1045" t="s">
        <v>124</v>
      </c>
      <c r="L22" s="1049"/>
      <c r="M22" s="1049"/>
      <c r="N22" s="1049"/>
      <c r="O22" s="1049"/>
      <c r="P22" s="1048"/>
    </row>
    <row r="23" spans="1:16" ht="15.6">
      <c r="A23" s="1045" t="s">
        <v>1241</v>
      </c>
      <c r="B23" s="1046" t="s">
        <v>1242</v>
      </c>
      <c r="C23" s="1031"/>
      <c r="D23" s="1047">
        <v>30766.919711334955</v>
      </c>
      <c r="E23" s="1047">
        <v>0</v>
      </c>
      <c r="F23" s="1047">
        <v>10</v>
      </c>
      <c r="G23" s="1047">
        <v>5</v>
      </c>
      <c r="H23" s="1047">
        <v>5127.8199518891597</v>
      </c>
      <c r="I23" s="1048">
        <f t="shared" si="0"/>
        <v>25639.099759445795</v>
      </c>
      <c r="J23" s="1045" t="s">
        <v>124</v>
      </c>
      <c r="L23" s="1049"/>
      <c r="M23" s="1049"/>
      <c r="N23" s="1049"/>
      <c r="O23" s="1049"/>
      <c r="P23" s="1048"/>
    </row>
    <row r="24" spans="1:16" ht="15.6">
      <c r="A24" s="1045" t="s">
        <v>1243</v>
      </c>
      <c r="B24" s="1046" t="s">
        <v>1244</v>
      </c>
      <c r="C24" s="1031"/>
      <c r="D24" s="1047">
        <v>1388918.9255629571</v>
      </c>
      <c r="E24" s="1047">
        <v>0</v>
      </c>
      <c r="F24" s="1047">
        <v>10</v>
      </c>
      <c r="G24" s="1047">
        <v>5</v>
      </c>
      <c r="H24" s="1047">
        <v>231486.4875938262</v>
      </c>
      <c r="I24" s="1048">
        <f t="shared" si="0"/>
        <v>1157432.4379691309</v>
      </c>
      <c r="J24" s="1045" t="s">
        <v>124</v>
      </c>
      <c r="L24" s="1049"/>
      <c r="M24" s="1049"/>
      <c r="N24" s="1049"/>
      <c r="O24" s="1049"/>
      <c r="P24" s="1048"/>
    </row>
    <row r="25" spans="1:16" ht="15.6">
      <c r="A25" s="1045" t="s">
        <v>1245</v>
      </c>
      <c r="B25" s="1046" t="s">
        <v>1246</v>
      </c>
      <c r="C25" s="1031"/>
      <c r="D25" s="1047">
        <v>610608.76605483575</v>
      </c>
      <c r="E25" s="1047">
        <v>0</v>
      </c>
      <c r="F25" s="1047">
        <v>10</v>
      </c>
      <c r="G25" s="1047">
        <v>5</v>
      </c>
      <c r="H25" s="1047">
        <v>101768.12767580595</v>
      </c>
      <c r="I25" s="1048">
        <f t="shared" si="0"/>
        <v>508840.63837902981</v>
      </c>
      <c r="J25" s="1045" t="s">
        <v>127</v>
      </c>
      <c r="L25" s="1049"/>
      <c r="M25" s="1049"/>
      <c r="N25" s="1049"/>
      <c r="O25" s="1049"/>
      <c r="P25" s="1048"/>
    </row>
    <row r="26" spans="1:16" ht="15.6">
      <c r="A26" s="1045" t="s">
        <v>1247</v>
      </c>
      <c r="B26" s="1046" t="s">
        <v>1248</v>
      </c>
      <c r="C26" s="1031"/>
      <c r="D26" s="1047">
        <v>109423.63539283707</v>
      </c>
      <c r="E26" s="1047">
        <v>0</v>
      </c>
      <c r="F26" s="1047">
        <v>10</v>
      </c>
      <c r="G26" s="1047">
        <v>5</v>
      </c>
      <c r="H26" s="1047">
        <v>18237.272565472842</v>
      </c>
      <c r="I26" s="1048">
        <f t="shared" si="0"/>
        <v>91186.362827364224</v>
      </c>
      <c r="J26" s="1045" t="s">
        <v>124</v>
      </c>
      <c r="L26" s="1049"/>
      <c r="M26" s="1049"/>
      <c r="N26" s="1049"/>
      <c r="O26" s="1049"/>
      <c r="P26" s="1048"/>
    </row>
    <row r="27" spans="1:16" ht="15.6">
      <c r="A27" s="1045" t="s">
        <v>1249</v>
      </c>
      <c r="B27" s="1046" t="s">
        <v>1250</v>
      </c>
      <c r="C27" s="1031"/>
      <c r="D27" s="1047">
        <v>0</v>
      </c>
      <c r="E27" s="1047">
        <v>0</v>
      </c>
      <c r="F27" s="1047">
        <v>10</v>
      </c>
      <c r="G27" s="1047">
        <v>5</v>
      </c>
      <c r="H27" s="1047">
        <v>0</v>
      </c>
      <c r="I27" s="1048">
        <f t="shared" si="0"/>
        <v>0</v>
      </c>
      <c r="J27" s="1045" t="s">
        <v>124</v>
      </c>
      <c r="L27" s="1049"/>
      <c r="M27" s="1049"/>
      <c r="N27" s="1049"/>
      <c r="O27" s="1049"/>
      <c r="P27" s="1048"/>
    </row>
    <row r="28" spans="1:16" ht="15.6">
      <c r="A28" s="1045" t="s">
        <v>1251</v>
      </c>
      <c r="B28" s="1046" t="s">
        <v>1252</v>
      </c>
      <c r="C28" s="1031"/>
      <c r="D28" s="1047">
        <v>-34856.245930511002</v>
      </c>
      <c r="E28" s="1047">
        <v>0</v>
      </c>
      <c r="F28" s="1047">
        <v>10</v>
      </c>
      <c r="G28" s="1047">
        <v>5</v>
      </c>
      <c r="H28" s="1047">
        <v>-5809.374321751834</v>
      </c>
      <c r="I28" s="1048">
        <f t="shared" si="0"/>
        <v>-29046.871608759167</v>
      </c>
      <c r="J28" s="1045" t="s">
        <v>124</v>
      </c>
      <c r="L28" s="1049"/>
      <c r="M28" s="1049"/>
      <c r="N28" s="1049"/>
      <c r="O28" s="1049"/>
      <c r="P28" s="1048"/>
    </row>
    <row r="29" spans="1:16" ht="15.6">
      <c r="A29" s="1045" t="s">
        <v>1253</v>
      </c>
      <c r="B29" s="1046" t="s">
        <v>1254</v>
      </c>
      <c r="C29" s="1031"/>
      <c r="D29" s="1047">
        <v>15480.99563666072</v>
      </c>
      <c r="E29" s="1047">
        <v>0</v>
      </c>
      <c r="F29" s="1047">
        <v>10</v>
      </c>
      <c r="G29" s="1047">
        <v>5</v>
      </c>
      <c r="H29" s="1047">
        <v>2580.1659394434537</v>
      </c>
      <c r="I29" s="1048">
        <f t="shared" si="0"/>
        <v>12900.829697217267</v>
      </c>
      <c r="J29" s="1045" t="s">
        <v>124</v>
      </c>
      <c r="L29" s="1049"/>
      <c r="M29" s="1049"/>
      <c r="N29" s="1049"/>
      <c r="O29" s="1049"/>
      <c r="P29" s="1048"/>
    </row>
    <row r="30" spans="1:16" ht="15.6">
      <c r="A30" s="1045" t="s">
        <v>1255</v>
      </c>
      <c r="B30" s="1046" t="s">
        <v>1256</v>
      </c>
      <c r="C30" s="1031"/>
      <c r="D30" s="1047">
        <v>276686.62189095793</v>
      </c>
      <c r="E30" s="1047">
        <v>0</v>
      </c>
      <c r="F30" s="1047">
        <v>10</v>
      </c>
      <c r="G30" s="1047">
        <v>5</v>
      </c>
      <c r="H30" s="1047">
        <v>46114.436981826322</v>
      </c>
      <c r="I30" s="1048">
        <f t="shared" si="0"/>
        <v>230572.18490913161</v>
      </c>
      <c r="J30" s="1045" t="s">
        <v>124</v>
      </c>
      <c r="L30" s="1049"/>
      <c r="M30" s="1049"/>
      <c r="N30" s="1049"/>
      <c r="O30" s="1049"/>
      <c r="P30" s="1048"/>
    </row>
    <row r="31" spans="1:16" ht="15.6">
      <c r="A31" s="1045" t="s">
        <v>1257</v>
      </c>
      <c r="B31" s="1046" t="s">
        <v>1258</v>
      </c>
      <c r="C31" s="1031"/>
      <c r="D31" s="1047">
        <v>1232085.263345208</v>
      </c>
      <c r="E31" s="1047">
        <v>0</v>
      </c>
      <c r="F31" s="1047">
        <v>10</v>
      </c>
      <c r="G31" s="1047">
        <v>5</v>
      </c>
      <c r="H31" s="1047">
        <v>205347.54389086802</v>
      </c>
      <c r="I31" s="1048">
        <f t="shared" si="0"/>
        <v>1026737.7194543399</v>
      </c>
      <c r="J31" s="1045" t="s">
        <v>124</v>
      </c>
      <c r="L31" s="1049"/>
      <c r="M31" s="1049"/>
      <c r="N31" s="1049"/>
      <c r="O31" s="1049"/>
      <c r="P31" s="1048"/>
    </row>
    <row r="32" spans="1:16" ht="15.6">
      <c r="A32" s="1045" t="s">
        <v>1259</v>
      </c>
      <c r="B32" s="1046" t="s">
        <v>1260</v>
      </c>
      <c r="C32" s="1031"/>
      <c r="D32" s="1047">
        <v>-40155.279044607567</v>
      </c>
      <c r="E32" s="1047">
        <v>0</v>
      </c>
      <c r="F32" s="1047">
        <v>10</v>
      </c>
      <c r="G32" s="1047">
        <v>5</v>
      </c>
      <c r="H32" s="1047">
        <v>-6692.5465074345939</v>
      </c>
      <c r="I32" s="1048">
        <f t="shared" si="0"/>
        <v>-33462.732537172975</v>
      </c>
      <c r="J32" s="1045" t="s">
        <v>124</v>
      </c>
      <c r="L32" s="1049"/>
      <c r="M32" s="1049"/>
      <c r="N32" s="1049"/>
      <c r="O32" s="1049"/>
      <c r="P32" s="1048"/>
    </row>
    <row r="33" spans="1:16" ht="15.6">
      <c r="A33" s="1045" t="s">
        <v>1261</v>
      </c>
      <c r="B33" s="1046" t="s">
        <v>1262</v>
      </c>
      <c r="C33" s="1031"/>
      <c r="D33" s="1047">
        <v>11066.03244296049</v>
      </c>
      <c r="E33" s="1047">
        <v>0</v>
      </c>
      <c r="F33" s="1047">
        <v>10</v>
      </c>
      <c r="G33" s="1047">
        <v>5</v>
      </c>
      <c r="H33" s="1047">
        <v>1844.3387404934149</v>
      </c>
      <c r="I33" s="1048">
        <f t="shared" si="0"/>
        <v>9221.6937024670751</v>
      </c>
      <c r="J33" s="1045" t="s">
        <v>124</v>
      </c>
      <c r="L33" s="1049"/>
      <c r="M33" s="1049"/>
      <c r="N33" s="1049"/>
      <c r="O33" s="1049"/>
      <c r="P33" s="1048"/>
    </row>
    <row r="34" spans="1:16" ht="15.6">
      <c r="A34" s="1045" t="s">
        <v>1263</v>
      </c>
      <c r="B34" s="1046" t="s">
        <v>1264</v>
      </c>
      <c r="C34" s="1031"/>
      <c r="D34" s="1047">
        <v>-7753.3498031534773</v>
      </c>
      <c r="E34" s="1047">
        <v>0</v>
      </c>
      <c r="F34" s="1047">
        <v>10</v>
      </c>
      <c r="G34" s="1047">
        <v>5</v>
      </c>
      <c r="H34" s="1047">
        <v>-1292.2249671922466</v>
      </c>
      <c r="I34" s="1048">
        <f t="shared" si="0"/>
        <v>-6461.1248359612309</v>
      </c>
      <c r="J34" s="1045" t="s">
        <v>124</v>
      </c>
      <c r="L34" s="1049"/>
      <c r="M34" s="1049"/>
      <c r="N34" s="1049"/>
      <c r="O34" s="1049"/>
      <c r="P34" s="1048"/>
    </row>
    <row r="35" spans="1:16" ht="15.6">
      <c r="A35" s="1050"/>
      <c r="B35" s="1031"/>
      <c r="C35" s="1031"/>
      <c r="D35" s="1051"/>
      <c r="E35" s="1051"/>
      <c r="F35" s="1051"/>
      <c r="G35" s="1051"/>
      <c r="H35" s="1051"/>
      <c r="I35" s="1048"/>
      <c r="J35" s="1050"/>
      <c r="L35" s="1049"/>
      <c r="M35" s="1049"/>
      <c r="N35" s="1049"/>
      <c r="O35" s="1049"/>
      <c r="P35" s="1049"/>
    </row>
    <row r="36" spans="1:16" ht="15.6">
      <c r="A36" s="1044">
        <v>2</v>
      </c>
      <c r="B36" s="1043" t="s">
        <v>829</v>
      </c>
      <c r="C36" s="1031"/>
      <c r="D36" s="1042"/>
      <c r="E36" s="1042"/>
      <c r="F36" s="1042"/>
      <c r="G36" s="1042"/>
      <c r="H36" s="1042"/>
      <c r="I36" s="1031"/>
      <c r="J36" s="1042"/>
      <c r="L36" s="1049"/>
      <c r="M36" s="1049"/>
      <c r="N36" s="1049"/>
      <c r="O36" s="1049"/>
      <c r="P36" s="1049"/>
    </row>
    <row r="37" spans="1:16" ht="15.6">
      <c r="A37" s="1045" t="s">
        <v>482</v>
      </c>
      <c r="B37" s="1046"/>
      <c r="C37" s="1031"/>
      <c r="D37" s="1047"/>
      <c r="E37" s="1047"/>
      <c r="F37" s="1047"/>
      <c r="G37" s="1047"/>
      <c r="H37" s="1047"/>
      <c r="I37" s="1048">
        <f>(D37+E37)-H37</f>
        <v>0</v>
      </c>
      <c r="J37" s="1045"/>
      <c r="K37" s="1052"/>
      <c r="L37" s="1049"/>
      <c r="M37" s="1049"/>
      <c r="N37" s="1049"/>
      <c r="O37" s="1049"/>
      <c r="P37" s="1049"/>
    </row>
    <row r="38" spans="1:16" s="1053" customFormat="1" ht="15.6">
      <c r="A38" s="1038"/>
      <c r="B38" s="1038"/>
      <c r="C38" s="1038"/>
      <c r="D38" s="1038"/>
      <c r="E38" s="1038"/>
      <c r="F38" s="1038"/>
      <c r="G38" s="1038"/>
      <c r="H38" s="1038"/>
      <c r="I38" s="1038"/>
      <c r="J38" s="1038"/>
      <c r="L38" s="1054"/>
      <c r="M38" s="1054"/>
      <c r="N38" s="1054"/>
      <c r="O38" s="1054"/>
      <c r="P38" s="1054"/>
    </row>
    <row r="39" spans="1:16" ht="15.6">
      <c r="A39" s="1044">
        <v>3</v>
      </c>
      <c r="B39" s="1043" t="s">
        <v>830</v>
      </c>
      <c r="C39" s="1031"/>
      <c r="D39" s="1042"/>
      <c r="E39" s="1042"/>
      <c r="F39" s="1042"/>
      <c r="G39" s="1042"/>
      <c r="H39" s="1042"/>
      <c r="I39" s="1031"/>
      <c r="J39" s="1042"/>
      <c r="L39" s="1049"/>
      <c r="M39" s="1049"/>
      <c r="N39" s="1049"/>
      <c r="O39" s="1049"/>
      <c r="P39" s="1049"/>
    </row>
    <row r="40" spans="1:16" ht="15.6">
      <c r="A40" s="1045" t="s">
        <v>567</v>
      </c>
      <c r="B40" s="1046" t="s">
        <v>1265</v>
      </c>
      <c r="C40" s="1031"/>
      <c r="D40" s="1047">
        <v>16654.637546549682</v>
      </c>
      <c r="E40" s="1047">
        <v>0</v>
      </c>
      <c r="F40" s="1047">
        <v>10</v>
      </c>
      <c r="G40" s="1047">
        <v>5</v>
      </c>
      <c r="H40" s="1047">
        <v>2775.7729244249472</v>
      </c>
      <c r="I40" s="1048">
        <f t="shared" ref="I40:I50" si="1">(D40+E40)-H40</f>
        <v>13878.864622124735</v>
      </c>
      <c r="J40" s="1045" t="s">
        <v>124</v>
      </c>
      <c r="L40" s="1049"/>
      <c r="M40" s="1049"/>
      <c r="N40" s="1049"/>
      <c r="O40" s="1049"/>
      <c r="P40" s="1048"/>
    </row>
    <row r="41" spans="1:16" ht="15.6">
      <c r="A41" s="1045" t="s">
        <v>523</v>
      </c>
      <c r="B41" s="1046" t="s">
        <v>1266</v>
      </c>
      <c r="C41" s="1031"/>
      <c r="D41" s="1047">
        <v>-474.23610153962886</v>
      </c>
      <c r="E41" s="1047">
        <v>0</v>
      </c>
      <c r="F41" s="1047">
        <v>10</v>
      </c>
      <c r="G41" s="1047">
        <v>5</v>
      </c>
      <c r="H41" s="1047">
        <v>-79.039350256604791</v>
      </c>
      <c r="I41" s="1048">
        <f t="shared" ref="I41:I47" si="2">(D41+E41)-H41</f>
        <v>-395.19675128302407</v>
      </c>
      <c r="J41" s="1045" t="s">
        <v>124</v>
      </c>
      <c r="L41" s="1049"/>
      <c r="M41" s="1049"/>
      <c r="N41" s="1049"/>
      <c r="O41" s="1049"/>
      <c r="P41" s="1048"/>
    </row>
    <row r="42" spans="1:16" ht="15.6">
      <c r="A42" s="1045" t="s">
        <v>524</v>
      </c>
      <c r="B42" s="1046" t="s">
        <v>1267</v>
      </c>
      <c r="C42" s="1031"/>
      <c r="D42" s="1047">
        <v>-21680.569496295615</v>
      </c>
      <c r="E42" s="1047">
        <v>0</v>
      </c>
      <c r="F42" s="1047">
        <v>10</v>
      </c>
      <c r="G42" s="1047">
        <v>5</v>
      </c>
      <c r="H42" s="1047">
        <v>-3613.4282493826022</v>
      </c>
      <c r="I42" s="1048">
        <f t="shared" si="2"/>
        <v>-18067.141246913012</v>
      </c>
      <c r="J42" s="1045" t="s">
        <v>124</v>
      </c>
      <c r="L42" s="1049"/>
      <c r="M42" s="1049"/>
      <c r="N42" s="1049"/>
      <c r="O42" s="1049"/>
      <c r="P42" s="1048"/>
    </row>
    <row r="43" spans="1:16" ht="15.6">
      <c r="A43" s="1045" t="s">
        <v>571</v>
      </c>
      <c r="B43" s="1046" t="s">
        <v>1268</v>
      </c>
      <c r="C43" s="1031"/>
      <c r="D43" s="1047">
        <v>-12362.950762347473</v>
      </c>
      <c r="E43" s="1047">
        <v>0</v>
      </c>
      <c r="F43" s="1047">
        <v>10</v>
      </c>
      <c r="G43" s="1047">
        <v>5</v>
      </c>
      <c r="H43" s="1047">
        <v>-2060.4917937245787</v>
      </c>
      <c r="I43" s="1048">
        <f t="shared" si="2"/>
        <v>-10302.458968622894</v>
      </c>
      <c r="J43" s="1045" t="s">
        <v>124</v>
      </c>
      <c r="L43" s="1049"/>
      <c r="M43" s="1049"/>
      <c r="N43" s="1049"/>
      <c r="O43" s="1049"/>
      <c r="P43" s="1048"/>
    </row>
    <row r="44" spans="1:16" ht="15.6">
      <c r="A44" s="1045" t="s">
        <v>1269</v>
      </c>
      <c r="B44" s="1046" t="s">
        <v>1270</v>
      </c>
      <c r="C44" s="1031"/>
      <c r="D44" s="1047">
        <v>-25370.664860466637</v>
      </c>
      <c r="E44" s="1047">
        <v>0</v>
      </c>
      <c r="F44" s="1047">
        <v>10</v>
      </c>
      <c r="G44" s="1047">
        <v>5</v>
      </c>
      <c r="H44" s="1047">
        <v>-4228.4441434111068</v>
      </c>
      <c r="I44" s="1048">
        <f t="shared" si="2"/>
        <v>-21142.22071705553</v>
      </c>
      <c r="J44" s="1045" t="s">
        <v>124</v>
      </c>
      <c r="L44" s="1049"/>
      <c r="M44" s="1049"/>
      <c r="N44" s="1049"/>
      <c r="O44" s="1049"/>
      <c r="P44" s="1048"/>
    </row>
    <row r="45" spans="1:16" ht="15.6">
      <c r="A45" s="1045" t="s">
        <v>1271</v>
      </c>
      <c r="B45" s="1046" t="s">
        <v>1272</v>
      </c>
      <c r="C45" s="1031"/>
      <c r="D45" s="1047">
        <v>-601354.33619535272</v>
      </c>
      <c r="E45" s="1047">
        <v>0</v>
      </c>
      <c r="F45" s="1047">
        <v>10</v>
      </c>
      <c r="G45" s="1047">
        <v>5</v>
      </c>
      <c r="H45" s="1047">
        <v>-100225.72269922547</v>
      </c>
      <c r="I45" s="1048">
        <f t="shared" si="2"/>
        <v>-501128.61349612725</v>
      </c>
      <c r="J45" s="1045" t="s">
        <v>124</v>
      </c>
      <c r="L45" s="1049"/>
      <c r="M45" s="1049"/>
      <c r="N45" s="1049"/>
      <c r="O45" s="1049"/>
      <c r="P45" s="1048"/>
    </row>
    <row r="46" spans="1:16" ht="15.6">
      <c r="A46" s="1045" t="s">
        <v>1273</v>
      </c>
      <c r="B46" s="1046" t="s">
        <v>1274</v>
      </c>
      <c r="C46" s="1031"/>
      <c r="D46" s="1047">
        <v>34856.245930511002</v>
      </c>
      <c r="E46" s="1047">
        <v>0</v>
      </c>
      <c r="F46" s="1047">
        <v>10</v>
      </c>
      <c r="G46" s="1047">
        <v>5</v>
      </c>
      <c r="H46" s="1047">
        <v>5809.374321751834</v>
      </c>
      <c r="I46" s="1048">
        <f t="shared" si="2"/>
        <v>29046.871608759167</v>
      </c>
      <c r="J46" s="1045" t="s">
        <v>124</v>
      </c>
      <c r="L46" s="1049"/>
      <c r="M46" s="1049"/>
      <c r="N46" s="1049"/>
      <c r="O46" s="1049"/>
      <c r="P46" s="1048"/>
    </row>
    <row r="47" spans="1:16" ht="15.6">
      <c r="A47" s="1045" t="s">
        <v>1275</v>
      </c>
      <c r="B47" s="1046" t="s">
        <v>1276</v>
      </c>
      <c r="C47" s="1031"/>
      <c r="D47" s="1047">
        <v>11861.26572949511</v>
      </c>
      <c r="E47" s="1047">
        <v>0</v>
      </c>
      <c r="F47" s="1047">
        <v>10</v>
      </c>
      <c r="G47" s="1047">
        <v>5</v>
      </c>
      <c r="H47" s="1047">
        <v>1976.877621582518</v>
      </c>
      <c r="I47" s="1048">
        <f t="shared" si="2"/>
        <v>9884.3881079125913</v>
      </c>
      <c r="J47" s="1045" t="s">
        <v>124</v>
      </c>
      <c r="L47" s="1049"/>
      <c r="M47" s="1049"/>
      <c r="N47" s="1049"/>
      <c r="O47" s="1049"/>
      <c r="P47" s="1048"/>
    </row>
    <row r="48" spans="1:16" ht="15.6">
      <c r="A48" s="1045" t="s">
        <v>1277</v>
      </c>
      <c r="B48" s="1046" t="s">
        <v>1278</v>
      </c>
      <c r="C48" s="1031"/>
      <c r="D48" s="1047">
        <v>34968.990249950497</v>
      </c>
      <c r="E48" s="1047">
        <v>0</v>
      </c>
      <c r="F48" s="1047">
        <v>10</v>
      </c>
      <c r="G48" s="1047">
        <v>5</v>
      </c>
      <c r="H48" s="1047">
        <v>5828.1650416584162</v>
      </c>
      <c r="I48" s="1048">
        <f t="shared" si="1"/>
        <v>29140.825208292081</v>
      </c>
      <c r="J48" s="1045" t="s">
        <v>124</v>
      </c>
      <c r="L48" s="1049"/>
      <c r="M48" s="1049"/>
      <c r="N48" s="1049"/>
      <c r="O48" s="1049"/>
      <c r="P48" s="1048"/>
    </row>
    <row r="49" spans="1:16" ht="15.6">
      <c r="A49" s="1050"/>
      <c r="B49" s="1031"/>
      <c r="C49" s="1031"/>
      <c r="D49" s="1051"/>
      <c r="E49" s="1051"/>
      <c r="F49" s="1051"/>
      <c r="G49" s="1051"/>
      <c r="H49" s="1051"/>
      <c r="I49" s="1048"/>
      <c r="J49" s="1050"/>
      <c r="L49" s="1049"/>
      <c r="M49" s="1049"/>
      <c r="N49" s="1049"/>
      <c r="O49" s="1049"/>
      <c r="P49" s="1048"/>
    </row>
    <row r="50" spans="1:16" ht="15.6">
      <c r="A50" s="1045">
        <v>4</v>
      </c>
      <c r="B50" s="1055" t="s">
        <v>831</v>
      </c>
      <c r="C50" s="1031"/>
      <c r="D50" s="1047">
        <f>SUM(D13:D48)*('Attachment H-11A '!$D$153-1)</f>
        <v>1468345.510355355</v>
      </c>
      <c r="E50" s="1047">
        <v>0</v>
      </c>
      <c r="F50" s="1047"/>
      <c r="G50" s="1047"/>
      <c r="H50" s="1047">
        <f>SUM(H13:H48)*('Attachment H-11A '!$D$153-1)</f>
        <v>244724.25172589239</v>
      </c>
      <c r="I50" s="1048">
        <f t="shared" si="1"/>
        <v>1223621.2586294627</v>
      </c>
      <c r="J50" s="1045" t="s">
        <v>1279</v>
      </c>
      <c r="K50" s="1052"/>
      <c r="L50" s="1049"/>
      <c r="M50" s="1049"/>
      <c r="N50" s="1049"/>
      <c r="O50" s="1049"/>
      <c r="P50" s="1048"/>
    </row>
    <row r="51" spans="1:16" ht="15.6">
      <c r="A51" s="1050"/>
      <c r="B51" s="1056"/>
      <c r="C51" s="1031"/>
      <c r="D51" s="1057"/>
      <c r="E51" s="1057"/>
      <c r="F51" s="1051"/>
      <c r="G51" s="1051"/>
      <c r="H51" s="1057"/>
      <c r="I51" s="1058"/>
      <c r="J51" s="1050"/>
      <c r="L51" s="1049"/>
      <c r="M51" s="1049"/>
      <c r="N51" s="1049"/>
      <c r="O51" s="1049"/>
      <c r="P51" s="1049"/>
    </row>
    <row r="52" spans="1:16" ht="15.6">
      <c r="A52" s="1045">
        <v>5</v>
      </c>
      <c r="B52" s="1055" t="s">
        <v>832</v>
      </c>
      <c r="C52" s="1031"/>
      <c r="D52" s="1059">
        <f>SUM(D13:D51)</f>
        <v>5722399.5127910543</v>
      </c>
      <c r="E52" s="1059">
        <f>SUM(E13:E51)</f>
        <v>0</v>
      </c>
      <c r="F52" s="1060"/>
      <c r="G52" s="1060"/>
      <c r="H52" s="1059">
        <f>SUM(H13:H51)</f>
        <v>953733.25213184196</v>
      </c>
      <c r="I52" s="1059">
        <f>SUM(I13:I51)</f>
        <v>4768666.2606592113</v>
      </c>
      <c r="J52" s="1031"/>
      <c r="K52" s="1059"/>
      <c r="L52" s="1059"/>
      <c r="M52" s="1060"/>
      <c r="N52" s="1059"/>
      <c r="O52" s="1059"/>
      <c r="P52" s="1059"/>
    </row>
    <row r="53" spans="1:16" ht="15.6">
      <c r="A53" s="1031"/>
      <c r="B53" s="1056"/>
      <c r="C53" s="1031"/>
      <c r="D53" s="1060"/>
      <c r="E53" s="1059"/>
      <c r="F53" s="1060"/>
      <c r="G53" s="1060"/>
      <c r="H53" s="1059"/>
      <c r="I53" s="1031"/>
      <c r="J53" s="1031"/>
      <c r="K53" s="1049"/>
      <c r="L53" s="1049"/>
      <c r="M53" s="1049"/>
      <c r="N53" s="1049"/>
      <c r="O53" s="1049"/>
      <c r="P53" s="1049"/>
    </row>
    <row r="54" spans="1:16" ht="78">
      <c r="A54" s="1041" t="s">
        <v>179</v>
      </c>
      <c r="B54" s="1041" t="s">
        <v>649</v>
      </c>
      <c r="C54" s="1031"/>
      <c r="D54" s="1041" t="s">
        <v>833</v>
      </c>
      <c r="E54" s="1041" t="s">
        <v>823</v>
      </c>
      <c r="F54" s="1041" t="s">
        <v>824</v>
      </c>
      <c r="G54" s="1041" t="s">
        <v>715</v>
      </c>
      <c r="H54" s="1041" t="s">
        <v>825</v>
      </c>
      <c r="I54" s="1041" t="s">
        <v>826</v>
      </c>
      <c r="J54" s="1041" t="s">
        <v>652</v>
      </c>
      <c r="L54" s="1049"/>
      <c r="M54" s="1049"/>
      <c r="N54" s="1049"/>
      <c r="O54" s="1049"/>
      <c r="P54" s="1049"/>
    </row>
    <row r="55" spans="1:16" ht="15.6">
      <c r="A55" s="1042"/>
      <c r="B55" s="1043" t="s">
        <v>834</v>
      </c>
      <c r="C55" s="1031"/>
      <c r="D55" s="1042"/>
      <c r="E55" s="1042"/>
      <c r="F55" s="1042"/>
      <c r="G55" s="1042"/>
      <c r="H55" s="1042"/>
      <c r="I55" s="1042"/>
      <c r="J55" s="1042"/>
      <c r="L55" s="1049"/>
      <c r="M55" s="1049"/>
      <c r="N55" s="1049"/>
      <c r="O55" s="1049"/>
      <c r="P55" s="1049"/>
    </row>
    <row r="56" spans="1:16" ht="15.6">
      <c r="A56" s="1045">
        <f>A52+1</f>
        <v>6</v>
      </c>
      <c r="B56" s="1031" t="s">
        <v>835</v>
      </c>
      <c r="C56" s="1031"/>
      <c r="D56" s="1047">
        <v>1255034.3610764374</v>
      </c>
      <c r="E56" s="1047">
        <v>0</v>
      </c>
      <c r="F56" s="1061" t="s">
        <v>651</v>
      </c>
      <c r="G56" s="1061" t="s">
        <v>651</v>
      </c>
      <c r="H56" s="1062">
        <v>55621.36968731368</v>
      </c>
      <c r="I56" s="1048">
        <f>(D56+E56)-H56</f>
        <v>1199412.9913891237</v>
      </c>
      <c r="J56" s="1045" t="s">
        <v>1279</v>
      </c>
      <c r="L56" s="1049"/>
      <c r="M56" s="1049"/>
      <c r="N56" s="1049"/>
      <c r="O56" s="1049"/>
      <c r="P56" s="1048"/>
    </row>
    <row r="57" spans="1:16" ht="15.6">
      <c r="A57" s="1045">
        <v>7</v>
      </c>
      <c r="B57" s="1031" t="s">
        <v>836</v>
      </c>
      <c r="C57" s="1031"/>
      <c r="D57" s="1047">
        <v>-32563027.96327525</v>
      </c>
      <c r="E57" s="1047">
        <v>0</v>
      </c>
      <c r="F57" s="1061" t="s">
        <v>651</v>
      </c>
      <c r="G57" s="1061" t="s">
        <v>651</v>
      </c>
      <c r="H57" s="1062">
        <v>-987764.67003495246</v>
      </c>
      <c r="I57" s="1048">
        <f t="shared" ref="I57:I59" si="3">(D57+E57)-H57</f>
        <v>-31575263.293240298</v>
      </c>
      <c r="J57" s="1045" t="s">
        <v>1279</v>
      </c>
      <c r="L57" s="1049"/>
      <c r="M57" s="1049"/>
      <c r="N57" s="1049"/>
      <c r="O57" s="1049"/>
      <c r="P57" s="1048"/>
    </row>
    <row r="58" spans="1:16" ht="15.6">
      <c r="A58" s="1045">
        <v>8</v>
      </c>
      <c r="B58" s="1031" t="s">
        <v>837</v>
      </c>
      <c r="C58" s="1031"/>
      <c r="D58" s="1063">
        <v>0</v>
      </c>
      <c r="E58" s="1063">
        <v>0</v>
      </c>
      <c r="F58" s="1061" t="s">
        <v>651</v>
      </c>
      <c r="G58" s="1061" t="s">
        <v>651</v>
      </c>
      <c r="H58" s="1063">
        <v>0</v>
      </c>
      <c r="I58" s="1048">
        <f t="shared" si="3"/>
        <v>0</v>
      </c>
      <c r="J58" s="1045" t="s">
        <v>1279</v>
      </c>
      <c r="L58" s="1049"/>
      <c r="M58" s="1049"/>
      <c r="N58" s="1049"/>
      <c r="O58" s="1049"/>
      <c r="P58" s="1048"/>
    </row>
    <row r="59" spans="1:16" ht="15.6">
      <c r="A59" s="1045">
        <v>9</v>
      </c>
      <c r="B59" s="1031" t="s">
        <v>838</v>
      </c>
      <c r="C59" s="1031"/>
      <c r="D59" s="1064">
        <f>SUM(D56:D57)*('Attachment H-11A '!$D$153-1)</f>
        <v>-10806386.523937332</v>
      </c>
      <c r="E59" s="1064">
        <v>0</v>
      </c>
      <c r="F59" s="1061"/>
      <c r="G59" s="1061"/>
      <c r="H59" s="1064">
        <f>SUM(H56:H57)*('Attachment H-11A '!$D$153-1)</f>
        <v>-321742.13803811884</v>
      </c>
      <c r="I59" s="1058">
        <f t="shared" si="3"/>
        <v>-10484644.385899212</v>
      </c>
      <c r="J59" s="1045" t="s">
        <v>1279</v>
      </c>
      <c r="L59" s="1049"/>
      <c r="M59" s="1049"/>
      <c r="N59" s="1049"/>
      <c r="O59" s="1049"/>
      <c r="P59" s="1048"/>
    </row>
    <row r="60" spans="1:16" ht="15.6">
      <c r="A60" s="1045">
        <v>10</v>
      </c>
      <c r="B60" s="1055" t="s">
        <v>839</v>
      </c>
      <c r="C60" s="1031"/>
      <c r="D60" s="1065">
        <f>SUM(D56:D59)</f>
        <v>-42114380.126136146</v>
      </c>
      <c r="E60" s="1065">
        <f t="shared" ref="E60" si="4">SUM(E56:E59)</f>
        <v>0</v>
      </c>
      <c r="F60" s="1060"/>
      <c r="G60" s="1060"/>
      <c r="H60" s="1065">
        <f>SUM(H56:H59)</f>
        <v>-1253885.4383857576</v>
      </c>
      <c r="I60" s="1065">
        <f>SUM(I56:I59)</f>
        <v>-40860494.687750384</v>
      </c>
      <c r="J60" s="1050"/>
      <c r="K60" s="1052"/>
      <c r="L60" s="1065"/>
      <c r="M60" s="1065"/>
      <c r="N60" s="1065"/>
      <c r="O60" s="1049"/>
      <c r="P60" s="1065"/>
    </row>
    <row r="61" spans="1:16" ht="15.6">
      <c r="A61" s="1050"/>
      <c r="B61" s="1056"/>
      <c r="C61" s="1031"/>
      <c r="D61" s="1066"/>
      <c r="E61" s="1066"/>
      <c r="F61" s="1060"/>
      <c r="G61" s="1060"/>
      <c r="H61" s="1067"/>
      <c r="I61" s="1065"/>
      <c r="J61" s="1050"/>
      <c r="L61" s="1049"/>
      <c r="M61" s="1049"/>
      <c r="N61" s="1049"/>
      <c r="O61" s="1049"/>
      <c r="P61" s="1049"/>
    </row>
    <row r="62" spans="1:16" ht="15.6">
      <c r="A62" s="1045">
        <v>11</v>
      </c>
      <c r="B62" s="1056" t="s">
        <v>840</v>
      </c>
      <c r="C62" s="1031"/>
      <c r="D62" s="1060"/>
      <c r="E62" s="1060"/>
      <c r="F62" s="1060"/>
      <c r="G62" s="1060"/>
      <c r="H62" s="1047">
        <v>0</v>
      </c>
      <c r="I62" s="1031"/>
      <c r="J62" s="1050"/>
      <c r="K62" s="1052"/>
      <c r="N62" s="1059"/>
    </row>
    <row r="63" spans="1:16" ht="15.6">
      <c r="A63" s="1050"/>
      <c r="B63" s="1056"/>
      <c r="C63" s="1031"/>
      <c r="D63" s="1068"/>
      <c r="E63" s="1068"/>
      <c r="F63" s="1068"/>
      <c r="G63" s="1068"/>
      <c r="H63" s="1059"/>
      <c r="I63" s="1031"/>
      <c r="J63" s="1050"/>
      <c r="K63" s="1052"/>
      <c r="N63" s="1059"/>
    </row>
    <row r="64" spans="1:16" ht="15.6">
      <c r="A64" s="1045">
        <v>12</v>
      </c>
      <c r="B64" s="1056" t="s">
        <v>841</v>
      </c>
      <c r="C64" s="1031"/>
      <c r="D64" s="1060"/>
      <c r="E64" s="1060"/>
      <c r="F64" s="1060"/>
      <c r="G64" s="1060"/>
      <c r="H64" s="1059">
        <f>SUM(H13:H48)+SUM(H56:H58)+H62</f>
        <v>-223134.29994168924</v>
      </c>
      <c r="I64" s="1031"/>
      <c r="J64" s="1045" t="s">
        <v>1279</v>
      </c>
      <c r="K64" s="1052"/>
      <c r="N64" s="1059"/>
    </row>
    <row r="65" spans="1:12" ht="15.6">
      <c r="A65" s="1069"/>
      <c r="B65" s="1056"/>
      <c r="D65" s="1060"/>
      <c r="E65" s="1060"/>
      <c r="F65" s="1060"/>
      <c r="G65" s="1060"/>
      <c r="H65" s="1059"/>
      <c r="J65" s="1069"/>
    </row>
    <row r="66" spans="1:12">
      <c r="A66" s="1070" t="s">
        <v>226</v>
      </c>
      <c r="D66" s="1071"/>
      <c r="E66" s="1071"/>
      <c r="F66" s="1071"/>
      <c r="G66" s="1071"/>
      <c r="H66" s="1072"/>
    </row>
    <row r="67" spans="1:12" ht="96.6" customHeight="1">
      <c r="A67" s="1073" t="s">
        <v>107</v>
      </c>
      <c r="B67" s="1377" t="s">
        <v>842</v>
      </c>
      <c r="C67" s="1377"/>
      <c r="D67" s="1377"/>
      <c r="E67" s="1377"/>
      <c r="F67" s="1377"/>
      <c r="G67" s="1377"/>
      <c r="H67" s="1377"/>
      <c r="I67" s="1377"/>
      <c r="J67" s="1377"/>
      <c r="L67" s="1074"/>
    </row>
    <row r="68" spans="1:12">
      <c r="A68" s="1073" t="s">
        <v>108</v>
      </c>
      <c r="B68" s="1075" t="s">
        <v>843</v>
      </c>
      <c r="C68" s="1075"/>
      <c r="D68" s="1076"/>
      <c r="E68" s="1076"/>
      <c r="F68" s="1076"/>
      <c r="G68" s="1077"/>
      <c r="H68" s="1078"/>
      <c r="I68" s="1075"/>
      <c r="J68" s="1075"/>
    </row>
    <row r="69" spans="1:12">
      <c r="A69" s="1073" t="s">
        <v>109</v>
      </c>
      <c r="B69" s="1075" t="s">
        <v>844</v>
      </c>
      <c r="C69" s="1075"/>
      <c r="D69" s="1076"/>
      <c r="E69" s="1076"/>
      <c r="F69" s="1076"/>
      <c r="G69" s="1077"/>
      <c r="H69" s="1078"/>
      <c r="I69" s="1075"/>
      <c r="J69" s="1075"/>
    </row>
    <row r="70" spans="1:12">
      <c r="A70" s="1073" t="s">
        <v>110</v>
      </c>
      <c r="B70" s="1075" t="s">
        <v>845</v>
      </c>
      <c r="C70" s="1075"/>
      <c r="D70" s="1077"/>
      <c r="E70" s="1077"/>
      <c r="F70" s="1077"/>
      <c r="G70" s="1077"/>
      <c r="H70" s="1078"/>
      <c r="I70" s="1075"/>
      <c r="J70" s="1075"/>
    </row>
    <row r="71" spans="1:12">
      <c r="A71" s="1073"/>
      <c r="B71" s="1075" t="s">
        <v>846</v>
      </c>
      <c r="C71" s="1075" t="s">
        <v>847</v>
      </c>
      <c r="D71" s="1076"/>
      <c r="E71" s="1076"/>
      <c r="F71" s="1076"/>
      <c r="G71" s="1076"/>
      <c r="H71" s="1078"/>
      <c r="I71" s="1075"/>
      <c r="J71" s="1075"/>
    </row>
    <row r="72" spans="1:12">
      <c r="A72" s="1073"/>
      <c r="B72" s="1075" t="s">
        <v>848</v>
      </c>
      <c r="C72" s="1075"/>
      <c r="D72" s="1077"/>
      <c r="E72" s="1077"/>
      <c r="F72" s="1077"/>
      <c r="G72" s="1077"/>
      <c r="H72" s="1078"/>
      <c r="I72" s="1075"/>
      <c r="J72" s="1075"/>
    </row>
    <row r="73" spans="1:12">
      <c r="A73" s="1073" t="s">
        <v>111</v>
      </c>
      <c r="B73" s="1075" t="s">
        <v>971</v>
      </c>
      <c r="C73" s="1075"/>
      <c r="D73" s="1077"/>
      <c r="E73" s="1077"/>
      <c r="F73" s="1077"/>
      <c r="H73" s="1078"/>
      <c r="I73" s="1075"/>
      <c r="J73" s="1214"/>
    </row>
    <row r="74" spans="1:12">
      <c r="A74" s="1073" t="s">
        <v>112</v>
      </c>
      <c r="B74" s="1075" t="s">
        <v>849</v>
      </c>
      <c r="C74" s="1075"/>
      <c r="D74" s="1077"/>
      <c r="E74" s="1077"/>
      <c r="F74" s="1077"/>
      <c r="G74" s="1077"/>
      <c r="H74" s="1078"/>
      <c r="I74" s="1075"/>
      <c r="J74" s="1075"/>
    </row>
    <row r="75" spans="1:12">
      <c r="A75" s="1073" t="s">
        <v>113</v>
      </c>
      <c r="B75" s="1377" t="s">
        <v>1107</v>
      </c>
      <c r="C75" s="1377"/>
      <c r="D75" s="1377"/>
      <c r="E75" s="1377"/>
      <c r="F75" s="1377"/>
      <c r="G75" s="1377"/>
      <c r="H75" s="1377"/>
      <c r="I75" s="1377"/>
      <c r="J75" s="1377"/>
    </row>
    <row r="76" spans="1:12" ht="15.6">
      <c r="A76" s="1069"/>
      <c r="D76" s="1068"/>
      <c r="E76" s="1068"/>
      <c r="F76" s="1068"/>
      <c r="G76" s="1060"/>
      <c r="H76" s="1059"/>
    </row>
    <row r="77" spans="1:12" ht="15.6">
      <c r="A77" s="1069"/>
      <c r="D77" s="1068"/>
      <c r="E77" s="1068"/>
      <c r="F77" s="1068"/>
      <c r="G77" s="1060"/>
      <c r="H77" s="1059"/>
    </row>
    <row r="78" spans="1:12" ht="15.6">
      <c r="A78" s="1069"/>
      <c r="D78" s="1068"/>
      <c r="E78" s="1068"/>
      <c r="F78" s="1068"/>
      <c r="G78" s="1060"/>
      <c r="H78" s="1059"/>
    </row>
    <row r="79" spans="1:12" ht="15.6">
      <c r="A79" s="1079"/>
      <c r="D79" s="1060"/>
      <c r="E79" s="1060"/>
      <c r="F79" s="1060"/>
      <c r="G79" s="1060"/>
      <c r="H79" s="1059"/>
    </row>
    <row r="80" spans="1:12" ht="15.6">
      <c r="A80" s="1079"/>
      <c r="D80" s="1060"/>
      <c r="E80" s="1060"/>
      <c r="F80" s="1060"/>
      <c r="G80" s="1060"/>
      <c r="H80" s="1059"/>
    </row>
    <row r="81" spans="1:8" ht="15.6">
      <c r="A81" s="1079"/>
      <c r="D81" s="1060"/>
      <c r="E81" s="1060"/>
      <c r="F81" s="1060"/>
      <c r="G81" s="1060"/>
      <c r="H81" s="1059"/>
    </row>
    <row r="82" spans="1:8" ht="15.6">
      <c r="A82" s="1079"/>
      <c r="D82" s="1060"/>
      <c r="E82" s="1060"/>
      <c r="F82" s="1060"/>
      <c r="G82" s="1060"/>
      <c r="H82" s="1059"/>
    </row>
    <row r="83" spans="1:8" ht="15.6">
      <c r="D83" s="1060"/>
      <c r="E83" s="1060"/>
      <c r="F83" s="1060"/>
      <c r="G83" s="1060"/>
      <c r="H83" s="1059"/>
    </row>
    <row r="84" spans="1:8" ht="15.6">
      <c r="A84" s="1079"/>
      <c r="D84" s="1060"/>
      <c r="E84" s="1060"/>
      <c r="F84" s="1060"/>
    </row>
  </sheetData>
  <customSheetViews>
    <customSheetView guid="{B991F324-919F-4749-8E3C-A09B2FA7BB10}" scale="80" showPageBreaks="1" view="pageBreakPreview">
      <selection activeCell="F60" sqref="F60"/>
      <pageMargins left="0.7" right="0.7" top="0.75" bottom="0.75" header="0.3" footer="0.3"/>
      <pageSetup scale="43" orientation="portrait" r:id="rId1"/>
    </customSheetView>
    <customSheetView guid="{901B528B-D65D-48CA-A638-FD9B4E5BB6D4}" scale="80" showPageBreaks="1" view="pageBreakPreview">
      <selection activeCell="F60" sqref="F60"/>
      <pageMargins left="0.7" right="0.7" top="0.75" bottom="0.75" header="0.3" footer="0.3"/>
      <pageSetup scale="43" orientation="portrait" r:id="rId2"/>
    </customSheetView>
    <customSheetView guid="{0DE222E8-ADD6-4F4B-9601-960D8109381F}" scale="60" showPageBreaks="1" view="pageBreakPreview" topLeftCell="B1">
      <selection activeCell="B1" sqref="B1"/>
      <pageMargins left="0.7" right="0.7" top="0.75" bottom="0.75" header="0.3" footer="0.3"/>
      <pageSetup scale="40" orientation="portrait" r:id="rId3"/>
    </customSheetView>
  </customSheetViews>
  <mergeCells count="4">
    <mergeCell ref="B5:I5"/>
    <mergeCell ref="B6:I6"/>
    <mergeCell ref="B67:J67"/>
    <mergeCell ref="B75:J75"/>
  </mergeCells>
  <pageMargins left="0.7" right="0.7" top="0.75" bottom="0.75" header="0.3" footer="0.3"/>
  <pageSetup scale="42" orientation="portrait"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CDD4-99B8-4745-A088-5B53C67DB1AC}">
  <dimension ref="A2:AC52"/>
  <sheetViews>
    <sheetView view="pageBreakPreview" zoomScale="60" zoomScaleNormal="70" workbookViewId="0">
      <selection activeCell="B35" sqref="B35"/>
    </sheetView>
  </sheetViews>
  <sheetFormatPr defaultRowHeight="15"/>
  <cols>
    <col min="1" max="1" width="5.6328125" customWidth="1"/>
    <col min="2" max="2" width="0.90625" customWidth="1"/>
    <col min="3" max="3" width="15.453125" customWidth="1"/>
    <col min="4" max="4" width="9.1796875" customWidth="1"/>
    <col min="5" max="5" width="12.08984375" customWidth="1"/>
    <col min="6" max="6" width="12" customWidth="1"/>
    <col min="7" max="7" width="6" customWidth="1"/>
    <col min="8" max="8" width="12.1796875" customWidth="1"/>
    <col min="9" max="9" width="12.08984375" customWidth="1"/>
    <col min="10" max="10" width="10.1796875" customWidth="1"/>
    <col min="11" max="11" width="8.90625" customWidth="1"/>
    <col min="12" max="12" width="9.81640625" customWidth="1"/>
    <col min="13" max="13" width="11.90625" customWidth="1"/>
    <col min="14" max="14" width="9.54296875" customWidth="1"/>
    <col min="15" max="15" width="10.6328125" customWidth="1"/>
    <col min="17" max="17" width="8.81640625" customWidth="1"/>
    <col min="18" max="20" width="9" bestFit="1" customWidth="1"/>
    <col min="22" max="22" width="12.453125" customWidth="1"/>
    <col min="23" max="23" width="10" customWidth="1"/>
    <col min="24" max="24" width="12.08984375" customWidth="1"/>
    <col min="25" max="25" width="11.81640625" customWidth="1"/>
    <col min="26" max="26" width="10" customWidth="1"/>
    <col min="27" max="27" width="8.1796875" customWidth="1"/>
    <col min="28" max="28" width="9.1796875" customWidth="1"/>
    <col min="29" max="29" width="12.90625" customWidth="1"/>
  </cols>
  <sheetData>
    <row r="2" spans="1:29" ht="15.6">
      <c r="AA2" s="1162"/>
      <c r="AB2" s="1162"/>
      <c r="AC2" s="1164" t="str">
        <f>'Attachment H-11A '!K1&amp;""&amp;", Attachment 16"</f>
        <v>Attachment H -11A, Attachment 16</v>
      </c>
    </row>
    <row r="3" spans="1:29" ht="15.6">
      <c r="AA3" s="1162"/>
      <c r="AB3" s="1162"/>
      <c r="AC3" s="1164" t="s">
        <v>188</v>
      </c>
    </row>
    <row r="4" spans="1:29" ht="17.399999999999999">
      <c r="M4" s="1274" t="s">
        <v>1126</v>
      </c>
      <c r="N4" s="1274"/>
      <c r="AA4" s="1162"/>
      <c r="AB4" s="1162"/>
      <c r="AC4" s="1165" t="str">
        <f>'Attachment H-11A '!K4</f>
        <v>For the 12 months ended 12/31/2022</v>
      </c>
    </row>
    <row r="7" spans="1:29" ht="15.6">
      <c r="A7" s="1083"/>
      <c r="B7" s="1016"/>
      <c r="C7" s="1215"/>
      <c r="D7" s="1215"/>
      <c r="E7" s="1015"/>
      <c r="F7" s="1015"/>
      <c r="G7" s="1015"/>
      <c r="H7" s="1015"/>
      <c r="I7" s="1015"/>
      <c r="J7" s="1015"/>
      <c r="K7" s="1015"/>
      <c r="L7" s="1015" t="s">
        <v>806</v>
      </c>
      <c r="M7" s="1015" t="str">
        <f>"("&amp;CHAR(CODE(MID(L7,2,1))+1)&amp;")"</f>
        <v>(B)</v>
      </c>
      <c r="N7" s="1015" t="str">
        <f t="shared" ref="N7:AC7" si="0">"("&amp;CHAR(CODE(MID(M7,2,1))+1)&amp;")"</f>
        <v>(C)</v>
      </c>
      <c r="O7" s="1015" t="str">
        <f t="shared" si="0"/>
        <v>(D)</v>
      </c>
      <c r="P7" s="1015" t="str">
        <f t="shared" si="0"/>
        <v>(E)</v>
      </c>
      <c r="Q7" s="1015" t="str">
        <f t="shared" si="0"/>
        <v>(F)</v>
      </c>
      <c r="R7" s="1015" t="str">
        <f t="shared" si="0"/>
        <v>(G)</v>
      </c>
      <c r="S7" s="1015" t="str">
        <f t="shared" si="0"/>
        <v>(H)</v>
      </c>
      <c r="T7" s="1015" t="str">
        <f t="shared" si="0"/>
        <v>(I)</v>
      </c>
      <c r="U7" s="1015" t="str">
        <f t="shared" si="0"/>
        <v>(J)</v>
      </c>
      <c r="V7" s="1015" t="str">
        <f t="shared" si="0"/>
        <v>(K)</v>
      </c>
      <c r="W7" s="1015" t="str">
        <f t="shared" si="0"/>
        <v>(L)</v>
      </c>
      <c r="X7" s="1015" t="str">
        <f t="shared" si="0"/>
        <v>(M)</v>
      </c>
      <c r="Y7" s="1015" t="str">
        <f t="shared" si="0"/>
        <v>(N)</v>
      </c>
      <c r="Z7" s="1015" t="str">
        <f t="shared" si="0"/>
        <v>(O)</v>
      </c>
      <c r="AA7" s="1015" t="str">
        <f t="shared" si="0"/>
        <v>(P)</v>
      </c>
      <c r="AB7" s="1015" t="str">
        <f t="shared" si="0"/>
        <v>(Q)</v>
      </c>
      <c r="AC7" s="1015" t="str">
        <f t="shared" si="0"/>
        <v>(R)</v>
      </c>
    </row>
    <row r="8" spans="1:29" ht="29.4" customHeight="1">
      <c r="A8" s="1083"/>
      <c r="B8" s="1016"/>
      <c r="C8" s="1016"/>
      <c r="D8" s="1016"/>
      <c r="E8" s="1016"/>
      <c r="F8" s="1016"/>
      <c r="G8" s="1016"/>
      <c r="H8" s="1016"/>
      <c r="I8" s="1016"/>
      <c r="J8" s="1016"/>
      <c r="K8" s="1016"/>
      <c r="L8" s="1016"/>
      <c r="M8" s="1213">
        <f>(MID(AC4:AC4,31,10)-1)</f>
        <v>2021</v>
      </c>
      <c r="N8" s="1084">
        <f t="shared" ref="N8:Y8" si="1">$M$8+1</f>
        <v>2022</v>
      </c>
      <c r="O8" s="1084">
        <f t="shared" si="1"/>
        <v>2022</v>
      </c>
      <c r="P8" s="1084">
        <f t="shared" si="1"/>
        <v>2022</v>
      </c>
      <c r="Q8" s="1084">
        <f t="shared" si="1"/>
        <v>2022</v>
      </c>
      <c r="R8" s="1084">
        <f t="shared" si="1"/>
        <v>2022</v>
      </c>
      <c r="S8" s="1084">
        <f t="shared" si="1"/>
        <v>2022</v>
      </c>
      <c r="T8" s="1084">
        <f t="shared" si="1"/>
        <v>2022</v>
      </c>
      <c r="U8" s="1084">
        <f t="shared" si="1"/>
        <v>2022</v>
      </c>
      <c r="V8" s="1084">
        <f t="shared" si="1"/>
        <v>2022</v>
      </c>
      <c r="W8" s="1084">
        <f t="shared" si="1"/>
        <v>2022</v>
      </c>
      <c r="X8" s="1084">
        <f t="shared" si="1"/>
        <v>2022</v>
      </c>
      <c r="Y8" s="1084">
        <f t="shared" si="1"/>
        <v>2022</v>
      </c>
      <c r="Z8" s="1083"/>
      <c r="AA8" s="1147"/>
      <c r="AB8" s="1083"/>
      <c r="AC8" s="1083"/>
    </row>
    <row r="9" spans="1:29" ht="67.2" customHeight="1">
      <c r="A9" s="1085" t="s">
        <v>179</v>
      </c>
      <c r="B9" s="1148"/>
      <c r="C9" s="1089" t="s">
        <v>911</v>
      </c>
      <c r="D9" s="1089" t="s">
        <v>195</v>
      </c>
      <c r="E9" s="1089" t="s">
        <v>912</v>
      </c>
      <c r="F9" s="1089" t="s">
        <v>910</v>
      </c>
      <c r="G9" s="1089" t="s">
        <v>917</v>
      </c>
      <c r="H9" s="1089" t="s">
        <v>909</v>
      </c>
      <c r="I9" s="1089" t="s">
        <v>944</v>
      </c>
      <c r="J9" s="1089" t="s">
        <v>918</v>
      </c>
      <c r="K9" s="1089" t="s">
        <v>907</v>
      </c>
      <c r="L9" s="1089" t="s">
        <v>908</v>
      </c>
      <c r="M9" s="1090" t="s">
        <v>237</v>
      </c>
      <c r="N9" s="1090" t="s">
        <v>853</v>
      </c>
      <c r="O9" s="1090" t="s">
        <v>854</v>
      </c>
      <c r="P9" s="1090" t="s">
        <v>855</v>
      </c>
      <c r="Q9" s="1090" t="s">
        <v>856</v>
      </c>
      <c r="R9" s="1090" t="s">
        <v>857</v>
      </c>
      <c r="S9" s="1090" t="s">
        <v>858</v>
      </c>
      <c r="T9" s="1090" t="s">
        <v>859</v>
      </c>
      <c r="U9" s="1090" t="s">
        <v>860</v>
      </c>
      <c r="V9" s="1090" t="s">
        <v>861</v>
      </c>
      <c r="W9" s="1090" t="s">
        <v>862</v>
      </c>
      <c r="X9" s="1090" t="s">
        <v>863</v>
      </c>
      <c r="Y9" s="1090" t="s">
        <v>237</v>
      </c>
      <c r="Z9" s="1090" t="s">
        <v>913</v>
      </c>
      <c r="AA9" s="1149" t="s">
        <v>914</v>
      </c>
      <c r="AB9" s="1090" t="s">
        <v>915</v>
      </c>
      <c r="AC9" s="1090" t="s">
        <v>916</v>
      </c>
    </row>
    <row r="10" spans="1:29" ht="15.6">
      <c r="A10" s="1154">
        <v>1</v>
      </c>
      <c r="B10" s="1083"/>
      <c r="C10" s="1151"/>
      <c r="D10" s="1161"/>
      <c r="E10" s="1189"/>
      <c r="F10" s="1189"/>
      <c r="G10" s="1189"/>
      <c r="H10" s="1190"/>
      <c r="I10" s="1097">
        <f>IF(G10=0,0,(G10*12))</f>
        <v>0</v>
      </c>
      <c r="J10" s="1097">
        <f>IF(I10=0,F10,(F10-I10+12))</f>
        <v>0</v>
      </c>
      <c r="K10" s="1097">
        <f>IF(I10=0,0,IFERROR(E10/J10,0))</f>
        <v>0</v>
      </c>
      <c r="L10" s="1097">
        <f>K10*12</f>
        <v>0</v>
      </c>
      <c r="M10" s="1097">
        <f>E10</f>
        <v>0</v>
      </c>
      <c r="N10" s="1097">
        <f>M10-K10</f>
        <v>0</v>
      </c>
      <c r="O10" s="1097">
        <f>IF(N10-$K10&gt;=0,N10-$K10,0)</f>
        <v>0</v>
      </c>
      <c r="P10" s="1097">
        <f t="shared" ref="P10:Y11" si="2">IF(O10-$K10&gt;=0,O10-$K10,0)</f>
        <v>0</v>
      </c>
      <c r="Q10" s="1097">
        <f>IF(P10-$K10&gt;=0,P10-$K10,0)</f>
        <v>0</v>
      </c>
      <c r="R10" s="1097">
        <f t="shared" si="2"/>
        <v>0</v>
      </c>
      <c r="S10" s="1097">
        <f t="shared" si="2"/>
        <v>0</v>
      </c>
      <c r="T10" s="1097">
        <f t="shared" si="2"/>
        <v>0</v>
      </c>
      <c r="U10" s="1097">
        <f t="shared" si="2"/>
        <v>0</v>
      </c>
      <c r="V10" s="1097">
        <f t="shared" si="2"/>
        <v>0</v>
      </c>
      <c r="W10" s="1097">
        <f t="shared" si="2"/>
        <v>0</v>
      </c>
      <c r="X10" s="1097">
        <f t="shared" si="2"/>
        <v>0</v>
      </c>
      <c r="Y10" s="1097">
        <f>IF(X10-$K10&gt;=0,X10-$K10,0)</f>
        <v>0</v>
      </c>
      <c r="Z10" s="1097">
        <f>SUM(M10:Y10)/13</f>
        <v>0</v>
      </c>
      <c r="AA10" s="1153">
        <f>Z10*'Attachment H-11A '!$I$253</f>
        <v>0</v>
      </c>
      <c r="AB10" s="1097">
        <f>AA10*'Attachment H-11A '!$D$150</f>
        <v>0</v>
      </c>
      <c r="AC10" s="1199">
        <f>L10+AA10+AB10</f>
        <v>0</v>
      </c>
    </row>
    <row r="11" spans="1:29" ht="15.6">
      <c r="A11" s="1154">
        <v>1.01</v>
      </c>
      <c r="B11" s="1016"/>
      <c r="C11" s="1151"/>
      <c r="D11" s="1161"/>
      <c r="E11" s="1189"/>
      <c r="F11" s="1189"/>
      <c r="G11" s="1189"/>
      <c r="H11" s="1190"/>
      <c r="I11" s="1097">
        <f>IF(G11=0,0,(G11*12))</f>
        <v>0</v>
      </c>
      <c r="J11" s="1097">
        <f t="shared" ref="J11:J20" si="3">IF(I11=0,F11,(F11-I11+12))</f>
        <v>0</v>
      </c>
      <c r="K11" s="1097">
        <f>IF(I11=0,0,IFERROR(E11/J11,0))</f>
        <v>0</v>
      </c>
      <c r="L11" s="1097">
        <f>K11*12</f>
        <v>0</v>
      </c>
      <c r="M11" s="1097">
        <f>E11</f>
        <v>0</v>
      </c>
      <c r="N11" s="1097">
        <f>M11-K11</f>
        <v>0</v>
      </c>
      <c r="O11" s="1097">
        <f>IF(N11-$K11&gt;=0,N11-$K11,0)</f>
        <v>0</v>
      </c>
      <c r="P11" s="1097">
        <f t="shared" si="2"/>
        <v>0</v>
      </c>
      <c r="Q11" s="1097">
        <f t="shared" si="2"/>
        <v>0</v>
      </c>
      <c r="R11" s="1097">
        <f t="shared" si="2"/>
        <v>0</v>
      </c>
      <c r="S11" s="1097">
        <f t="shared" si="2"/>
        <v>0</v>
      </c>
      <c r="T11" s="1097">
        <f t="shared" si="2"/>
        <v>0</v>
      </c>
      <c r="U11" s="1097">
        <f t="shared" si="2"/>
        <v>0</v>
      </c>
      <c r="V11" s="1097">
        <f t="shared" si="2"/>
        <v>0</v>
      </c>
      <c r="W11" s="1097">
        <f t="shared" si="2"/>
        <v>0</v>
      </c>
      <c r="X11" s="1097">
        <f t="shared" si="2"/>
        <v>0</v>
      </c>
      <c r="Y11" s="1097">
        <f t="shared" si="2"/>
        <v>0</v>
      </c>
      <c r="Z11" s="1097">
        <f>SUM(M11:Y11)/13</f>
        <v>0</v>
      </c>
      <c r="AA11" s="1153">
        <f>Z11*'Attachment H-11A '!$I$253</f>
        <v>0</v>
      </c>
      <c r="AB11" s="1097">
        <f>AA11*'Attachment H-11A '!$D$150</f>
        <v>0</v>
      </c>
      <c r="AC11" s="1097">
        <f>L11+AA11+AB11</f>
        <v>0</v>
      </c>
    </row>
    <row r="12" spans="1:29" ht="15.6">
      <c r="A12" s="1154">
        <f>A11+0.01</f>
        <v>1.02</v>
      </c>
      <c r="B12" s="1016"/>
      <c r="C12" s="1151"/>
      <c r="D12" s="1152"/>
      <c r="E12" s="1189"/>
      <c r="F12" s="1189"/>
      <c r="G12" s="1189"/>
      <c r="H12" s="1190"/>
      <c r="I12" s="1097">
        <f t="shared" ref="I12:I20" si="4">IF(G12=0,0,(G12*12))</f>
        <v>0</v>
      </c>
      <c r="J12" s="1097">
        <f t="shared" si="3"/>
        <v>0</v>
      </c>
      <c r="K12" s="1097">
        <f t="shared" ref="K12:K20" si="5">IF(I12=0,0,IFERROR(E12/J12,0))</f>
        <v>0</v>
      </c>
      <c r="L12" s="1097">
        <f t="shared" ref="L12:L20" si="6">K12*12</f>
        <v>0</v>
      </c>
      <c r="M12" s="1097">
        <f t="shared" ref="M12:M20" si="7">E12</f>
        <v>0</v>
      </c>
      <c r="N12" s="1097">
        <f t="shared" ref="N12:N20" si="8">M12-K12</f>
        <v>0</v>
      </c>
      <c r="O12" s="1097">
        <f t="shared" ref="O12:Y12" si="9">IF(N12-$K12&gt;=0,N12-$K12,0)</f>
        <v>0</v>
      </c>
      <c r="P12" s="1097">
        <f t="shared" si="9"/>
        <v>0</v>
      </c>
      <c r="Q12" s="1097">
        <f t="shared" si="9"/>
        <v>0</v>
      </c>
      <c r="R12" s="1097">
        <f t="shared" si="9"/>
        <v>0</v>
      </c>
      <c r="S12" s="1097">
        <f t="shared" si="9"/>
        <v>0</v>
      </c>
      <c r="T12" s="1097">
        <f t="shared" si="9"/>
        <v>0</v>
      </c>
      <c r="U12" s="1097">
        <f t="shared" si="9"/>
        <v>0</v>
      </c>
      <c r="V12" s="1097">
        <f t="shared" si="9"/>
        <v>0</v>
      </c>
      <c r="W12" s="1097">
        <f t="shared" si="9"/>
        <v>0</v>
      </c>
      <c r="X12" s="1097">
        <f t="shared" si="9"/>
        <v>0</v>
      </c>
      <c r="Y12" s="1097">
        <f t="shared" si="9"/>
        <v>0</v>
      </c>
      <c r="Z12" s="1097">
        <f t="shared" ref="Z12:Z19" si="10">SUM(M12:Y12)/13</f>
        <v>0</v>
      </c>
      <c r="AA12" s="1153">
        <f>Z12*'Attachment H-11A '!$I$253</f>
        <v>0</v>
      </c>
      <c r="AB12" s="1097">
        <f>AA12*'Attachment H-11A '!$D$150</f>
        <v>0</v>
      </c>
      <c r="AC12" s="1097">
        <f t="shared" ref="AC12:AC20" si="11">L12+AA12+AB12</f>
        <v>0</v>
      </c>
    </row>
    <row r="13" spans="1:29" ht="15.6">
      <c r="A13" s="1154">
        <f t="shared" ref="A13:A20" si="12">A12+0.01</f>
        <v>1.03</v>
      </c>
      <c r="B13" s="1016"/>
      <c r="C13" s="1151"/>
      <c r="D13" s="1152"/>
      <c r="E13" s="1189"/>
      <c r="F13" s="1189"/>
      <c r="G13" s="1189"/>
      <c r="H13" s="1190"/>
      <c r="I13" s="1097">
        <f t="shared" si="4"/>
        <v>0</v>
      </c>
      <c r="J13" s="1097">
        <f t="shared" si="3"/>
        <v>0</v>
      </c>
      <c r="K13" s="1097">
        <f t="shared" si="5"/>
        <v>0</v>
      </c>
      <c r="L13" s="1097">
        <f t="shared" si="6"/>
        <v>0</v>
      </c>
      <c r="M13" s="1097">
        <f t="shared" si="7"/>
        <v>0</v>
      </c>
      <c r="N13" s="1097">
        <f t="shared" si="8"/>
        <v>0</v>
      </c>
      <c r="O13" s="1097">
        <f t="shared" ref="O13:Y13" si="13">IF(N13-$K13&gt;=0,N13-$K13,0)</f>
        <v>0</v>
      </c>
      <c r="P13" s="1097">
        <f t="shared" si="13"/>
        <v>0</v>
      </c>
      <c r="Q13" s="1097">
        <f t="shared" si="13"/>
        <v>0</v>
      </c>
      <c r="R13" s="1097">
        <f t="shared" si="13"/>
        <v>0</v>
      </c>
      <c r="S13" s="1097">
        <f t="shared" si="13"/>
        <v>0</v>
      </c>
      <c r="T13" s="1097">
        <f t="shared" si="13"/>
        <v>0</v>
      </c>
      <c r="U13" s="1097">
        <f t="shared" si="13"/>
        <v>0</v>
      </c>
      <c r="V13" s="1097">
        <f t="shared" si="13"/>
        <v>0</v>
      </c>
      <c r="W13" s="1097">
        <f t="shared" si="13"/>
        <v>0</v>
      </c>
      <c r="X13" s="1097">
        <f t="shared" si="13"/>
        <v>0</v>
      </c>
      <c r="Y13" s="1097">
        <f t="shared" si="13"/>
        <v>0</v>
      </c>
      <c r="Z13" s="1097">
        <f t="shared" si="10"/>
        <v>0</v>
      </c>
      <c r="AA13" s="1153">
        <f>Z13*'Attachment H-11A '!$I$253</f>
        <v>0</v>
      </c>
      <c r="AB13" s="1097">
        <f>AA13*'Attachment H-11A '!$D$150</f>
        <v>0</v>
      </c>
      <c r="AC13" s="1097">
        <f t="shared" si="11"/>
        <v>0</v>
      </c>
    </row>
    <row r="14" spans="1:29" ht="15.6">
      <c r="A14" s="1154">
        <f t="shared" si="12"/>
        <v>1.04</v>
      </c>
      <c r="B14" s="1016"/>
      <c r="C14" s="1151"/>
      <c r="D14" s="1152"/>
      <c r="E14" s="1189"/>
      <c r="F14" s="1189"/>
      <c r="G14" s="1189"/>
      <c r="H14" s="1190"/>
      <c r="I14" s="1097">
        <f t="shared" si="4"/>
        <v>0</v>
      </c>
      <c r="J14" s="1097">
        <f t="shared" si="3"/>
        <v>0</v>
      </c>
      <c r="K14" s="1097">
        <f t="shared" si="5"/>
        <v>0</v>
      </c>
      <c r="L14" s="1097">
        <f t="shared" si="6"/>
        <v>0</v>
      </c>
      <c r="M14" s="1097">
        <f t="shared" si="7"/>
        <v>0</v>
      </c>
      <c r="N14" s="1097">
        <f t="shared" si="8"/>
        <v>0</v>
      </c>
      <c r="O14" s="1097">
        <f>IF(N14-$K14&gt;=0,N14-$K14,0)</f>
        <v>0</v>
      </c>
      <c r="P14" s="1097">
        <f t="shared" ref="P14:Y14" si="14">IF(O14-$K14&gt;=0,O14-$K14,0)</f>
        <v>0</v>
      </c>
      <c r="Q14" s="1097">
        <f t="shared" si="14"/>
        <v>0</v>
      </c>
      <c r="R14" s="1097">
        <f t="shared" si="14"/>
        <v>0</v>
      </c>
      <c r="S14" s="1097">
        <f t="shared" si="14"/>
        <v>0</v>
      </c>
      <c r="T14" s="1097">
        <f t="shared" si="14"/>
        <v>0</v>
      </c>
      <c r="U14" s="1097">
        <f t="shared" si="14"/>
        <v>0</v>
      </c>
      <c r="V14" s="1097">
        <f t="shared" si="14"/>
        <v>0</v>
      </c>
      <c r="W14" s="1097">
        <f t="shared" si="14"/>
        <v>0</v>
      </c>
      <c r="X14" s="1097">
        <f t="shared" si="14"/>
        <v>0</v>
      </c>
      <c r="Y14" s="1097">
        <f t="shared" si="14"/>
        <v>0</v>
      </c>
      <c r="Z14" s="1097">
        <f t="shared" si="10"/>
        <v>0</v>
      </c>
      <c r="AA14" s="1153">
        <f>Z14*'Attachment H-11A '!$I$253</f>
        <v>0</v>
      </c>
      <c r="AB14" s="1097">
        <f>AA14*'Attachment H-11A '!$D$150</f>
        <v>0</v>
      </c>
      <c r="AC14" s="1097">
        <f t="shared" si="11"/>
        <v>0</v>
      </c>
    </row>
    <row r="15" spans="1:29" ht="15.6">
      <c r="A15" s="1154">
        <f t="shared" si="12"/>
        <v>1.05</v>
      </c>
      <c r="B15" s="1016"/>
      <c r="C15" s="1151"/>
      <c r="D15" s="1152"/>
      <c r="E15" s="1189"/>
      <c r="F15" s="1189"/>
      <c r="G15" s="1189"/>
      <c r="H15" s="1190"/>
      <c r="I15" s="1097">
        <f t="shared" si="4"/>
        <v>0</v>
      </c>
      <c r="J15" s="1097">
        <f t="shared" si="3"/>
        <v>0</v>
      </c>
      <c r="K15" s="1097">
        <f t="shared" si="5"/>
        <v>0</v>
      </c>
      <c r="L15" s="1097">
        <f t="shared" si="6"/>
        <v>0</v>
      </c>
      <c r="M15" s="1097">
        <f t="shared" si="7"/>
        <v>0</v>
      </c>
      <c r="N15" s="1097">
        <f t="shared" si="8"/>
        <v>0</v>
      </c>
      <c r="O15" s="1097">
        <f t="shared" ref="O15:Y15" si="15">IF(N15-$K15&gt;=0,N15-$K15,0)</f>
        <v>0</v>
      </c>
      <c r="P15" s="1097">
        <f t="shared" si="15"/>
        <v>0</v>
      </c>
      <c r="Q15" s="1097">
        <f t="shared" si="15"/>
        <v>0</v>
      </c>
      <c r="R15" s="1097">
        <f t="shared" si="15"/>
        <v>0</v>
      </c>
      <c r="S15" s="1097">
        <f t="shared" si="15"/>
        <v>0</v>
      </c>
      <c r="T15" s="1097">
        <f t="shared" si="15"/>
        <v>0</v>
      </c>
      <c r="U15" s="1097">
        <f t="shared" si="15"/>
        <v>0</v>
      </c>
      <c r="V15" s="1097">
        <f t="shared" si="15"/>
        <v>0</v>
      </c>
      <c r="W15" s="1097">
        <f t="shared" si="15"/>
        <v>0</v>
      </c>
      <c r="X15" s="1097">
        <f t="shared" si="15"/>
        <v>0</v>
      </c>
      <c r="Y15" s="1097">
        <f t="shared" si="15"/>
        <v>0</v>
      </c>
      <c r="Z15" s="1097">
        <f t="shared" si="10"/>
        <v>0</v>
      </c>
      <c r="AA15" s="1153">
        <f>Z15*'Attachment H-11A '!$I$253</f>
        <v>0</v>
      </c>
      <c r="AB15" s="1097">
        <f>AA15*'Attachment H-11A '!$D$150</f>
        <v>0</v>
      </c>
      <c r="AC15" s="1097">
        <f t="shared" si="11"/>
        <v>0</v>
      </c>
    </row>
    <row r="16" spans="1:29" ht="15.6">
      <c r="A16" s="1154">
        <f t="shared" si="12"/>
        <v>1.06</v>
      </c>
      <c r="B16" s="1016"/>
      <c r="C16" s="1151"/>
      <c r="D16" s="1152"/>
      <c r="E16" s="1189"/>
      <c r="F16" s="1189"/>
      <c r="G16" s="1189"/>
      <c r="H16" s="1190"/>
      <c r="I16" s="1097">
        <f t="shared" si="4"/>
        <v>0</v>
      </c>
      <c r="J16" s="1097">
        <f t="shared" si="3"/>
        <v>0</v>
      </c>
      <c r="K16" s="1097">
        <f t="shared" si="5"/>
        <v>0</v>
      </c>
      <c r="L16" s="1097">
        <f t="shared" si="6"/>
        <v>0</v>
      </c>
      <c r="M16" s="1097">
        <f t="shared" si="7"/>
        <v>0</v>
      </c>
      <c r="N16" s="1097">
        <f t="shared" si="8"/>
        <v>0</v>
      </c>
      <c r="O16" s="1097">
        <f t="shared" ref="O16:Y16" si="16">IF(N16-$K16&gt;=0,N16-$K16,0)</f>
        <v>0</v>
      </c>
      <c r="P16" s="1097">
        <f t="shared" si="16"/>
        <v>0</v>
      </c>
      <c r="Q16" s="1097">
        <f t="shared" si="16"/>
        <v>0</v>
      </c>
      <c r="R16" s="1097">
        <f t="shared" si="16"/>
        <v>0</v>
      </c>
      <c r="S16" s="1097">
        <f t="shared" si="16"/>
        <v>0</v>
      </c>
      <c r="T16" s="1097">
        <f t="shared" si="16"/>
        <v>0</v>
      </c>
      <c r="U16" s="1097">
        <f t="shared" si="16"/>
        <v>0</v>
      </c>
      <c r="V16" s="1097">
        <f t="shared" si="16"/>
        <v>0</v>
      </c>
      <c r="W16" s="1097">
        <f t="shared" si="16"/>
        <v>0</v>
      </c>
      <c r="X16" s="1097">
        <f t="shared" si="16"/>
        <v>0</v>
      </c>
      <c r="Y16" s="1097">
        <f t="shared" si="16"/>
        <v>0</v>
      </c>
      <c r="Z16" s="1097">
        <f t="shared" si="10"/>
        <v>0</v>
      </c>
      <c r="AA16" s="1153">
        <f>Z16*'Attachment H-11A '!$I$253</f>
        <v>0</v>
      </c>
      <c r="AB16" s="1097">
        <f>AA16*'Attachment H-11A '!$D$150</f>
        <v>0</v>
      </c>
      <c r="AC16" s="1097">
        <f t="shared" si="11"/>
        <v>0</v>
      </c>
    </row>
    <row r="17" spans="1:29" ht="15.6">
      <c r="A17" s="1154">
        <f t="shared" si="12"/>
        <v>1.07</v>
      </c>
      <c r="B17" s="1016"/>
      <c r="C17" s="1151"/>
      <c r="D17" s="1152"/>
      <c r="E17" s="1189"/>
      <c r="F17" s="1189"/>
      <c r="G17" s="1189"/>
      <c r="H17" s="1190"/>
      <c r="I17" s="1097">
        <f t="shared" si="4"/>
        <v>0</v>
      </c>
      <c r="J17" s="1097">
        <f t="shared" si="3"/>
        <v>0</v>
      </c>
      <c r="K17" s="1097">
        <f t="shared" si="5"/>
        <v>0</v>
      </c>
      <c r="L17" s="1097">
        <f t="shared" si="6"/>
        <v>0</v>
      </c>
      <c r="M17" s="1097">
        <f t="shared" si="7"/>
        <v>0</v>
      </c>
      <c r="N17" s="1097">
        <f t="shared" si="8"/>
        <v>0</v>
      </c>
      <c r="O17" s="1097">
        <f t="shared" ref="O17:Y17" si="17">IF(N17-$K17&gt;=0,N17-$K17,0)</f>
        <v>0</v>
      </c>
      <c r="P17" s="1097">
        <f t="shared" si="17"/>
        <v>0</v>
      </c>
      <c r="Q17" s="1097">
        <f t="shared" si="17"/>
        <v>0</v>
      </c>
      <c r="R17" s="1097">
        <f t="shared" si="17"/>
        <v>0</v>
      </c>
      <c r="S17" s="1097">
        <f t="shared" si="17"/>
        <v>0</v>
      </c>
      <c r="T17" s="1097">
        <f t="shared" si="17"/>
        <v>0</v>
      </c>
      <c r="U17" s="1097">
        <f t="shared" si="17"/>
        <v>0</v>
      </c>
      <c r="V17" s="1097">
        <f t="shared" si="17"/>
        <v>0</v>
      </c>
      <c r="W17" s="1097">
        <f t="shared" si="17"/>
        <v>0</v>
      </c>
      <c r="X17" s="1097">
        <f t="shared" si="17"/>
        <v>0</v>
      </c>
      <c r="Y17" s="1097">
        <f t="shared" si="17"/>
        <v>0</v>
      </c>
      <c r="Z17" s="1097">
        <f t="shared" si="10"/>
        <v>0</v>
      </c>
      <c r="AA17" s="1153">
        <f>Z17*'Attachment H-11A '!$I$253</f>
        <v>0</v>
      </c>
      <c r="AB17" s="1097">
        <f>AA17*'Attachment H-11A '!$D$150</f>
        <v>0</v>
      </c>
      <c r="AC17" s="1097">
        <f t="shared" si="11"/>
        <v>0</v>
      </c>
    </row>
    <row r="18" spans="1:29" ht="15.6">
      <c r="A18" s="1154">
        <f t="shared" si="12"/>
        <v>1.08</v>
      </c>
      <c r="B18" s="1016"/>
      <c r="C18" s="1151"/>
      <c r="D18" s="1152"/>
      <c r="E18" s="1189"/>
      <c r="F18" s="1189"/>
      <c r="G18" s="1189"/>
      <c r="H18" s="1190"/>
      <c r="I18" s="1097">
        <f t="shared" si="4"/>
        <v>0</v>
      </c>
      <c r="J18" s="1097">
        <f t="shared" si="3"/>
        <v>0</v>
      </c>
      <c r="K18" s="1097">
        <f t="shared" si="5"/>
        <v>0</v>
      </c>
      <c r="L18" s="1097">
        <f t="shared" si="6"/>
        <v>0</v>
      </c>
      <c r="M18" s="1097">
        <f t="shared" si="7"/>
        <v>0</v>
      </c>
      <c r="N18" s="1097">
        <f t="shared" si="8"/>
        <v>0</v>
      </c>
      <c r="O18" s="1097">
        <f t="shared" ref="O18:Y18" si="18">IF(N18-$K18&gt;=0,N18-$K18,0)</f>
        <v>0</v>
      </c>
      <c r="P18" s="1097">
        <f t="shared" si="18"/>
        <v>0</v>
      </c>
      <c r="Q18" s="1097">
        <f t="shared" si="18"/>
        <v>0</v>
      </c>
      <c r="R18" s="1097">
        <f>IF(Q18-$K18&gt;=0,Q18-$K18,0)</f>
        <v>0</v>
      </c>
      <c r="S18" s="1097">
        <f t="shared" si="18"/>
        <v>0</v>
      </c>
      <c r="T18" s="1097">
        <f t="shared" si="18"/>
        <v>0</v>
      </c>
      <c r="U18" s="1097">
        <f t="shared" si="18"/>
        <v>0</v>
      </c>
      <c r="V18" s="1097">
        <f>IF(U18-$K18&gt;=0,U18-$K18,0)</f>
        <v>0</v>
      </c>
      <c r="W18" s="1097">
        <f t="shared" si="18"/>
        <v>0</v>
      </c>
      <c r="X18" s="1097">
        <f t="shared" si="18"/>
        <v>0</v>
      </c>
      <c r="Y18" s="1097">
        <f t="shared" si="18"/>
        <v>0</v>
      </c>
      <c r="Z18" s="1097">
        <f t="shared" si="10"/>
        <v>0</v>
      </c>
      <c r="AA18" s="1153">
        <f>Z18*'Attachment H-11A '!$I$253</f>
        <v>0</v>
      </c>
      <c r="AB18" s="1097">
        <f>AA18*'Attachment H-11A '!$D$150</f>
        <v>0</v>
      </c>
      <c r="AC18" s="1097">
        <f t="shared" si="11"/>
        <v>0</v>
      </c>
    </row>
    <row r="19" spans="1:29" ht="15.6">
      <c r="A19" s="1154">
        <f t="shared" si="12"/>
        <v>1.0900000000000001</v>
      </c>
      <c r="B19" s="1016"/>
      <c r="C19" s="1151"/>
      <c r="D19" s="1152"/>
      <c r="E19" s="1189"/>
      <c r="F19" s="1189"/>
      <c r="G19" s="1189"/>
      <c r="H19" s="1190"/>
      <c r="I19" s="1097">
        <f t="shared" si="4"/>
        <v>0</v>
      </c>
      <c r="J19" s="1097">
        <f t="shared" si="3"/>
        <v>0</v>
      </c>
      <c r="K19" s="1097">
        <f t="shared" si="5"/>
        <v>0</v>
      </c>
      <c r="L19" s="1097">
        <f t="shared" si="6"/>
        <v>0</v>
      </c>
      <c r="M19" s="1097">
        <f t="shared" si="7"/>
        <v>0</v>
      </c>
      <c r="N19" s="1097">
        <f t="shared" si="8"/>
        <v>0</v>
      </c>
      <c r="O19" s="1097">
        <f t="shared" ref="O19:Y19" si="19">IF(N19-$K19&gt;=0,N19-$K19,0)</f>
        <v>0</v>
      </c>
      <c r="P19" s="1097">
        <f t="shared" si="19"/>
        <v>0</v>
      </c>
      <c r="Q19" s="1097">
        <f t="shared" si="19"/>
        <v>0</v>
      </c>
      <c r="R19" s="1097">
        <f t="shared" si="19"/>
        <v>0</v>
      </c>
      <c r="S19" s="1097">
        <f t="shared" si="19"/>
        <v>0</v>
      </c>
      <c r="T19" s="1097">
        <f t="shared" si="19"/>
        <v>0</v>
      </c>
      <c r="U19" s="1097">
        <f t="shared" si="19"/>
        <v>0</v>
      </c>
      <c r="V19" s="1097">
        <f t="shared" si="19"/>
        <v>0</v>
      </c>
      <c r="W19" s="1097">
        <f t="shared" si="19"/>
        <v>0</v>
      </c>
      <c r="X19" s="1097">
        <f t="shared" si="19"/>
        <v>0</v>
      </c>
      <c r="Y19" s="1097">
        <f t="shared" si="19"/>
        <v>0</v>
      </c>
      <c r="Z19" s="1097">
        <f t="shared" si="10"/>
        <v>0</v>
      </c>
      <c r="AA19" s="1153">
        <f>Z19*'Attachment H-11A '!$I$253</f>
        <v>0</v>
      </c>
      <c r="AB19" s="1097">
        <f>AA19*'Attachment H-11A '!$D$150</f>
        <v>0</v>
      </c>
      <c r="AC19" s="1097">
        <f t="shared" si="11"/>
        <v>0</v>
      </c>
    </row>
    <row r="20" spans="1:29" ht="15.6">
      <c r="A20" s="1154">
        <f t="shared" si="12"/>
        <v>1.1000000000000001</v>
      </c>
      <c r="B20" s="1016"/>
      <c r="C20" s="1151"/>
      <c r="D20" s="1152"/>
      <c r="E20" s="1189"/>
      <c r="F20" s="1189"/>
      <c r="G20" s="1189"/>
      <c r="H20" s="1190"/>
      <c r="I20" s="1097">
        <f t="shared" si="4"/>
        <v>0</v>
      </c>
      <c r="J20" s="1097">
        <f t="shared" si="3"/>
        <v>0</v>
      </c>
      <c r="K20" s="1097">
        <f t="shared" si="5"/>
        <v>0</v>
      </c>
      <c r="L20" s="1097">
        <f t="shared" si="6"/>
        <v>0</v>
      </c>
      <c r="M20" s="1097">
        <f t="shared" si="7"/>
        <v>0</v>
      </c>
      <c r="N20" s="1097">
        <f t="shared" si="8"/>
        <v>0</v>
      </c>
      <c r="O20" s="1097">
        <f t="shared" ref="O20:Y20" si="20">IF(N20-$K20&gt;=0,N20-$K20,0)</f>
        <v>0</v>
      </c>
      <c r="P20" s="1097">
        <f t="shared" si="20"/>
        <v>0</v>
      </c>
      <c r="Q20" s="1097">
        <f>IF(P20-$K20&gt;=0,P20-$K20,0)</f>
        <v>0</v>
      </c>
      <c r="R20" s="1097">
        <f t="shared" si="20"/>
        <v>0</v>
      </c>
      <c r="S20" s="1097">
        <f t="shared" si="20"/>
        <v>0</v>
      </c>
      <c r="T20" s="1097">
        <f t="shared" si="20"/>
        <v>0</v>
      </c>
      <c r="U20" s="1097">
        <f>IF(T20-$K20&gt;=0,T20-$K20,0)</f>
        <v>0</v>
      </c>
      <c r="V20" s="1097">
        <f t="shared" si="20"/>
        <v>0</v>
      </c>
      <c r="W20" s="1097">
        <f t="shared" si="20"/>
        <v>0</v>
      </c>
      <c r="X20" s="1097">
        <f>IF(W20-$K20&gt;=0,W20-$K20,0)</f>
        <v>0</v>
      </c>
      <c r="Y20" s="1097">
        <f t="shared" si="20"/>
        <v>0</v>
      </c>
      <c r="Z20" s="1097">
        <f>SUM(M20:Y20)/13</f>
        <v>0</v>
      </c>
      <c r="AA20" s="1153">
        <f>Z20*'Attachment H-11A '!$I$253</f>
        <v>0</v>
      </c>
      <c r="AB20" s="1097">
        <f>AA20*'Attachment H-11A '!$D$150</f>
        <v>0</v>
      </c>
      <c r="AC20" s="1097">
        <f t="shared" si="11"/>
        <v>0</v>
      </c>
    </row>
    <row r="21" spans="1:29" ht="17.399999999999999" customHeight="1">
      <c r="A21" s="1083"/>
      <c r="B21" s="1083"/>
      <c r="C21" s="1016"/>
      <c r="D21" s="1097"/>
      <c r="E21" s="1097"/>
      <c r="F21" s="1097"/>
      <c r="G21" s="1097"/>
      <c r="H21" s="1097"/>
      <c r="I21" s="1015"/>
      <c r="J21" s="1015"/>
      <c r="K21" s="1015"/>
      <c r="L21" s="1015"/>
      <c r="M21" s="1097"/>
      <c r="N21" s="1097"/>
      <c r="O21" s="1097"/>
      <c r="P21" s="1097"/>
      <c r="Q21" s="1097"/>
      <c r="R21" s="1097"/>
      <c r="S21" s="1097"/>
      <c r="T21" s="1097"/>
      <c r="U21" s="1097"/>
      <c r="V21" s="1097"/>
      <c r="W21" s="1097"/>
      <c r="X21" s="1083"/>
      <c r="Y21" s="1083"/>
      <c r="Z21" s="1083"/>
      <c r="AA21" s="1147"/>
      <c r="AB21" s="1083"/>
      <c r="AC21" s="1083"/>
    </row>
    <row r="22" spans="1:29" ht="17.399999999999999" customHeight="1">
      <c r="A22" s="1083"/>
      <c r="B22" s="1083"/>
      <c r="C22" s="1016"/>
      <c r="D22" s="1097"/>
      <c r="E22" s="1097"/>
      <c r="F22" s="1097"/>
      <c r="G22" s="1097"/>
      <c r="H22" s="1097"/>
      <c r="I22" s="1097"/>
      <c r="J22" s="1097"/>
      <c r="K22" s="1097"/>
      <c r="L22" s="1097"/>
      <c r="M22" s="1097"/>
      <c r="N22" s="1097"/>
      <c r="O22" s="1097"/>
      <c r="P22" s="1097"/>
      <c r="Q22" s="1097"/>
      <c r="R22" s="1097"/>
      <c r="S22" s="1097"/>
      <c r="T22" s="1097"/>
      <c r="U22" s="1097"/>
      <c r="V22" s="1097"/>
      <c r="W22" s="1097"/>
      <c r="X22" s="1083"/>
      <c r="Y22" s="1083"/>
      <c r="Z22" s="1083"/>
      <c r="AA22" s="1147"/>
      <c r="AB22" s="1083"/>
      <c r="AC22" s="1083"/>
    </row>
    <row r="23" spans="1:29" ht="15.6" customHeight="1">
      <c r="A23" s="1083"/>
      <c r="B23" s="1083"/>
      <c r="C23" s="1016"/>
      <c r="D23" s="1097"/>
      <c r="E23" s="1097"/>
      <c r="F23" s="1097"/>
      <c r="G23" s="1097"/>
      <c r="H23" s="1097"/>
      <c r="I23" s="1097"/>
      <c r="J23" s="1097"/>
      <c r="K23" s="1097"/>
      <c r="L23" s="1097"/>
      <c r="M23" s="1097"/>
      <c r="N23" s="1097"/>
      <c r="O23" s="1097"/>
      <c r="P23" s="1097"/>
      <c r="Q23" s="1097"/>
      <c r="R23" s="1097"/>
      <c r="S23" s="1097"/>
      <c r="T23" s="1097"/>
      <c r="U23" s="1097"/>
      <c r="V23" s="1097"/>
      <c r="W23" s="1097"/>
      <c r="X23" s="1083"/>
      <c r="Y23" s="1083"/>
      <c r="Z23" s="1083"/>
      <c r="AA23" s="1147"/>
      <c r="AB23" s="1083"/>
      <c r="AC23" s="1083"/>
    </row>
    <row r="24" spans="1:29" s="1160" customFormat="1" ht="16.2" thickBot="1">
      <c r="A24" s="1155">
        <v>2</v>
      </c>
      <c r="B24" s="1155"/>
      <c r="C24" s="1156" t="s">
        <v>10</v>
      </c>
      <c r="D24" s="1157"/>
      <c r="E24" s="1157"/>
      <c r="F24" s="1157"/>
      <c r="G24" s="1157"/>
      <c r="H24" s="1157"/>
      <c r="I24" s="1157"/>
      <c r="J24" s="1157"/>
      <c r="K24" s="1157"/>
      <c r="L24" s="1157"/>
      <c r="M24" s="1157"/>
      <c r="N24" s="1157"/>
      <c r="O24" s="1157"/>
      <c r="P24" s="1157"/>
      <c r="Q24" s="1157"/>
      <c r="R24" s="1157"/>
      <c r="S24" s="1157"/>
      <c r="T24" s="1157"/>
      <c r="U24" s="1157"/>
      <c r="V24" s="1157"/>
      <c r="W24" s="1157"/>
      <c r="X24" s="1155"/>
      <c r="Y24" s="1155"/>
      <c r="Z24" s="1158"/>
      <c r="AA24" s="1159"/>
      <c r="AB24" s="1158"/>
      <c r="AC24" s="1200">
        <f>SUM(AC10:AC20)</f>
        <v>0</v>
      </c>
    </row>
    <row r="25" spans="1:29" ht="16.2" thickTop="1">
      <c r="A25" s="1083"/>
      <c r="B25" s="1083"/>
      <c r="C25" s="1016"/>
      <c r="D25" s="1097"/>
      <c r="E25" s="1097"/>
      <c r="F25" s="1097"/>
      <c r="G25" s="1097"/>
      <c r="H25" s="1097"/>
      <c r="I25" s="1097"/>
      <c r="J25" s="1097"/>
      <c r="K25" s="1097"/>
      <c r="L25" s="1097"/>
      <c r="M25" s="1097"/>
      <c r="N25" s="1097"/>
      <c r="O25" s="1097"/>
      <c r="P25" s="1097"/>
      <c r="Q25" s="1097"/>
      <c r="R25" s="1097"/>
      <c r="S25" s="1097"/>
      <c r="T25" s="1097"/>
      <c r="U25" s="1097"/>
      <c r="V25" s="1097"/>
      <c r="W25" s="1097"/>
      <c r="X25" s="1083"/>
      <c r="Y25" s="1083"/>
      <c r="Z25" s="1083"/>
      <c r="AA25" s="1147"/>
      <c r="AB25" s="1083"/>
      <c r="AC25" s="1083"/>
    </row>
    <row r="26" spans="1:29" ht="15.6">
      <c r="A26" s="1083"/>
      <c r="B26" s="1083"/>
      <c r="C26" s="1016"/>
      <c r="D26" s="1097"/>
      <c r="E26" s="1097"/>
      <c r="F26" s="1097"/>
      <c r="G26" s="1097"/>
      <c r="H26" s="1097"/>
      <c r="I26" s="1097"/>
      <c r="J26" s="1097"/>
      <c r="K26" s="1097"/>
      <c r="L26" s="1097"/>
      <c r="M26" s="1097"/>
      <c r="N26" s="1097"/>
      <c r="O26" s="1097"/>
      <c r="P26" s="1097"/>
      <c r="Q26" s="1097"/>
      <c r="R26" s="1097"/>
      <c r="S26" s="1097"/>
      <c r="T26" s="1097"/>
      <c r="U26" s="1097"/>
      <c r="V26" s="1097"/>
      <c r="W26" s="1097"/>
      <c r="X26" s="1083"/>
      <c r="Y26" s="1083"/>
      <c r="Z26" s="1083"/>
      <c r="AA26" s="1147"/>
      <c r="AB26" s="1083"/>
      <c r="AC26" s="1083"/>
    </row>
    <row r="27" spans="1:29" ht="15.6">
      <c r="A27" s="1083"/>
      <c r="B27" s="1083"/>
      <c r="C27" s="1016"/>
      <c r="D27" s="1097"/>
      <c r="E27" s="1097"/>
      <c r="F27" s="1097"/>
      <c r="G27" s="1097"/>
      <c r="H27" s="1097"/>
      <c r="I27" s="1097"/>
      <c r="J27" s="1097"/>
      <c r="K27" s="1097"/>
      <c r="L27" s="1097"/>
      <c r="M27" s="1097"/>
      <c r="N27" s="1097"/>
      <c r="O27" s="1097"/>
      <c r="P27" s="1097"/>
      <c r="Q27" s="1097"/>
      <c r="R27" s="1097"/>
      <c r="S27" s="1097"/>
      <c r="T27" s="1097"/>
      <c r="U27" s="1097"/>
      <c r="V27" s="1097"/>
      <c r="W27" s="1097"/>
      <c r="X27" s="1083"/>
      <c r="Y27" s="1083"/>
      <c r="Z27" s="1083"/>
      <c r="AA27" s="1147"/>
      <c r="AB27" s="1083"/>
      <c r="AC27" s="1083"/>
    </row>
    <row r="28" spans="1:29" ht="15.6">
      <c r="C28" s="1100" t="s">
        <v>196</v>
      </c>
      <c r="D28" s="1016"/>
      <c r="E28" s="1016"/>
      <c r="G28" s="1016"/>
    </row>
    <row r="29" spans="1:29" ht="15.6">
      <c r="C29" s="1163" t="s">
        <v>1056</v>
      </c>
    </row>
    <row r="30" spans="1:29" ht="15.6">
      <c r="C30" s="1163" t="s">
        <v>1058</v>
      </c>
    </row>
    <row r="31" spans="1:29" ht="15.6">
      <c r="C31" s="1163" t="s">
        <v>1057</v>
      </c>
    </row>
    <row r="32" spans="1:29" ht="15.6">
      <c r="C32" s="1016" t="s">
        <v>1114</v>
      </c>
      <c r="D32" s="1016"/>
      <c r="E32" s="1016"/>
      <c r="F32" s="1016"/>
      <c r="G32" s="1016"/>
      <c r="H32" s="1016"/>
      <c r="I32" s="863"/>
      <c r="J32" s="863"/>
      <c r="K32" s="863"/>
      <c r="L32" s="863"/>
      <c r="M32" s="863"/>
    </row>
    <row r="33" spans="3:13" ht="15.6">
      <c r="C33" s="1016" t="s">
        <v>1115</v>
      </c>
      <c r="D33" s="863"/>
      <c r="E33" s="863"/>
      <c r="F33" s="863"/>
      <c r="G33" s="863"/>
      <c r="H33" s="863"/>
      <c r="I33" s="863"/>
      <c r="J33" s="863"/>
      <c r="K33" s="863"/>
      <c r="L33" s="863"/>
      <c r="M33" s="863"/>
    </row>
    <row r="34" spans="3:13" ht="15.6">
      <c r="C34" s="1016" t="s">
        <v>1116</v>
      </c>
      <c r="D34" s="863"/>
      <c r="E34" s="863"/>
      <c r="F34" s="863"/>
      <c r="G34" s="863"/>
      <c r="H34" s="863"/>
      <c r="I34" s="863"/>
      <c r="J34" s="863"/>
      <c r="K34" s="863"/>
      <c r="L34" s="863"/>
      <c r="M34" s="863"/>
    </row>
    <row r="35" spans="3:13" ht="15.6">
      <c r="C35" s="1016" t="s">
        <v>1117</v>
      </c>
      <c r="D35" s="863"/>
      <c r="E35" s="863"/>
      <c r="F35" s="863"/>
      <c r="G35" s="863"/>
      <c r="H35" s="863"/>
      <c r="I35" s="863"/>
      <c r="J35" s="863"/>
      <c r="K35" s="863"/>
      <c r="L35" s="863"/>
      <c r="M35" s="863"/>
    </row>
    <row r="36" spans="3:13" ht="15.6">
      <c r="C36" s="1016" t="s">
        <v>1059</v>
      </c>
      <c r="D36" s="863"/>
      <c r="E36" s="863"/>
      <c r="F36" s="863"/>
      <c r="G36" s="863"/>
      <c r="H36" s="863"/>
      <c r="I36" s="863"/>
      <c r="J36" s="863"/>
      <c r="K36" s="863"/>
      <c r="L36" s="863"/>
      <c r="M36" s="863"/>
    </row>
    <row r="52" ht="13.95" customHeight="1"/>
  </sheetData>
  <customSheetViews>
    <customSheetView guid="{B991F324-919F-4749-8E3C-A09B2FA7BB10}" scale="60" showPageBreaks="1" view="pageBreakPreview">
      <selection activeCell="Q48" sqref="Q48"/>
      <pageMargins left="0.7" right="0.7" top="0.75" bottom="0.75" header="0.3" footer="0.3"/>
      <pageSetup scale="21" orientation="portrait" r:id="rId1"/>
    </customSheetView>
    <customSheetView guid="{901B528B-D65D-48CA-A638-FD9B4E5BB6D4}" scale="60" showPageBreaks="1" view="pageBreakPreview">
      <selection activeCell="Q48" sqref="Q48"/>
      <pageMargins left="0.7" right="0.7" top="0.75" bottom="0.75" header="0.3" footer="0.3"/>
      <pageSetup scale="21" orientation="portrait" r:id="rId2"/>
    </customSheetView>
    <customSheetView guid="{0DE222E8-ADD6-4F4B-9601-960D8109381F}" scale="60" showPageBreaks="1" view="pageBreakPreview">
      <pageMargins left="0.7" right="0.7" top="0.75" bottom="0.75" header="0.3" footer="0.3"/>
      <pageSetup scale="21" orientation="portrait" r:id="rId3"/>
    </customSheetView>
  </customSheetViews>
  <pageMargins left="0.7" right="0.7" top="0.75" bottom="0.75" header="0.3" footer="0.3"/>
  <pageSetup scale="21" orientation="portrait" r:id="rId4"/>
  <ignoredErrors>
    <ignoredError sqref="O9" twoDigitTextYea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091A-93B5-402B-8792-789F66A08CAF}">
  <dimension ref="A1:AH21"/>
  <sheetViews>
    <sheetView view="pageBreakPreview" topLeftCell="E1" zoomScale="60" zoomScaleNormal="80" workbookViewId="0">
      <selection activeCell="B35" sqref="B35"/>
    </sheetView>
  </sheetViews>
  <sheetFormatPr defaultColWidth="5" defaultRowHeight="15.6"/>
  <cols>
    <col min="1" max="1" width="5.1796875" style="1083" bestFit="1" customWidth="1"/>
    <col min="2" max="2" width="2.08984375" style="1016" bestFit="1" customWidth="1"/>
    <col min="3" max="3" width="13.81640625" style="1016" customWidth="1"/>
    <col min="4" max="4" width="2.08984375" style="1016" bestFit="1" customWidth="1"/>
    <col min="5" max="5" width="35" style="1097" customWidth="1"/>
    <col min="6" max="6" width="2.08984375" style="1016" bestFit="1" customWidth="1"/>
    <col min="7" max="7" width="15.1796875" style="1097" bestFit="1" customWidth="1"/>
    <col min="8" max="8" width="2.08984375" style="1016" bestFit="1" customWidth="1"/>
    <col min="9" max="9" width="10.6328125" style="1097" customWidth="1"/>
    <col min="10" max="10" width="2.08984375" style="1016" bestFit="1" customWidth="1"/>
    <col min="11" max="11" width="10.6328125" style="1097" customWidth="1"/>
    <col min="12" max="12" width="2.08984375" style="1016" bestFit="1" customWidth="1"/>
    <col min="13" max="13" width="10.6328125" style="1097" customWidth="1"/>
    <col min="14" max="14" width="2.08984375" style="1016" bestFit="1" customWidth="1"/>
    <col min="15" max="15" width="10.6328125" style="1097" customWidth="1"/>
    <col min="16" max="16" width="2.08984375" style="1016" bestFit="1" customWidth="1"/>
    <col min="17" max="17" width="10.6328125" style="1097" customWidth="1"/>
    <col min="18" max="18" width="2.08984375" style="1016" bestFit="1" customWidth="1"/>
    <col min="19" max="19" width="10.6328125" style="1097" customWidth="1"/>
    <col min="20" max="20" width="2.08984375" style="1016" bestFit="1" customWidth="1"/>
    <col min="21" max="21" width="10.6328125" style="1097" customWidth="1"/>
    <col min="22" max="22" width="2.08984375" style="1016" bestFit="1" customWidth="1"/>
    <col min="23" max="23" width="10.6328125" style="1097" customWidth="1"/>
    <col min="24" max="24" width="2.08984375" style="1016" bestFit="1" customWidth="1"/>
    <col min="25" max="25" width="12.6328125" style="1097" customWidth="1"/>
    <col min="26" max="26" width="2.08984375" style="1016" bestFit="1" customWidth="1"/>
    <col min="27" max="27" width="11.54296875" style="1097" customWidth="1"/>
    <col min="28" max="28" width="2.08984375" style="1016" bestFit="1" customWidth="1"/>
    <col min="29" max="29" width="11.453125" style="1097" customWidth="1"/>
    <col min="30" max="30" width="2.08984375" style="1016" bestFit="1" customWidth="1"/>
    <col min="31" max="31" width="12.08984375" style="1083" customWidth="1"/>
    <col min="32" max="32" width="2.08984375" style="1016" bestFit="1" customWidth="1"/>
    <col min="33" max="33" width="10.6328125" style="1083" customWidth="1"/>
    <col min="34" max="34" width="2.1796875" style="1016" customWidth="1"/>
    <col min="35" max="248" width="5" style="1016"/>
    <col min="249" max="249" width="4.6328125" style="1016" customWidth="1"/>
    <col min="250" max="250" width="2" style="1016" customWidth="1"/>
    <col min="251" max="251" width="40.6328125" style="1016" customWidth="1"/>
    <col min="252" max="252" width="3.54296875" style="1016" customWidth="1"/>
    <col min="253" max="253" width="11.08984375" style="1016" customWidth="1"/>
    <col min="254" max="254" width="2.6328125" style="1016" customWidth="1"/>
    <col min="255" max="255" width="11.1796875" style="1016" customWidth="1"/>
    <col min="256" max="256" width="2.6328125" style="1016" customWidth="1"/>
    <col min="257" max="257" width="11.1796875" style="1016" customWidth="1"/>
    <col min="258" max="258" width="2.6328125" style="1016" customWidth="1"/>
    <col min="259" max="259" width="19.08984375" style="1016" bestFit="1" customWidth="1"/>
    <col min="260" max="260" width="1.90625" style="1016" customWidth="1"/>
    <col min="261" max="261" width="6.6328125" style="1016" customWidth="1"/>
    <col min="262" max="262" width="14.81640625" style="1016" customWidth="1"/>
    <col min="263" max="263" width="9" style="1016" bestFit="1" customWidth="1"/>
    <col min="264" max="504" width="5" style="1016"/>
    <col min="505" max="505" width="4.6328125" style="1016" customWidth="1"/>
    <col min="506" max="506" width="2" style="1016" customWidth="1"/>
    <col min="507" max="507" width="40.6328125" style="1016" customWidth="1"/>
    <col min="508" max="508" width="3.54296875" style="1016" customWidth="1"/>
    <col min="509" max="509" width="11.08984375" style="1016" customWidth="1"/>
    <col min="510" max="510" width="2.6328125" style="1016" customWidth="1"/>
    <col min="511" max="511" width="11.1796875" style="1016" customWidth="1"/>
    <col min="512" max="512" width="2.6328125" style="1016" customWidth="1"/>
    <col min="513" max="513" width="11.1796875" style="1016" customWidth="1"/>
    <col min="514" max="514" width="2.6328125" style="1016" customWidth="1"/>
    <col min="515" max="515" width="19.08984375" style="1016" bestFit="1" customWidth="1"/>
    <col min="516" max="516" width="1.90625" style="1016" customWidth="1"/>
    <col min="517" max="517" width="6.6328125" style="1016" customWidth="1"/>
    <col min="518" max="518" width="14.81640625" style="1016" customWidth="1"/>
    <col min="519" max="519" width="9" style="1016" bestFit="1" customWidth="1"/>
    <col min="520" max="760" width="5" style="1016"/>
    <col min="761" max="761" width="4.6328125" style="1016" customWidth="1"/>
    <col min="762" max="762" width="2" style="1016" customWidth="1"/>
    <col min="763" max="763" width="40.6328125" style="1016" customWidth="1"/>
    <col min="764" max="764" width="3.54296875" style="1016" customWidth="1"/>
    <col min="765" max="765" width="11.08984375" style="1016" customWidth="1"/>
    <col min="766" max="766" width="2.6328125" style="1016" customWidth="1"/>
    <col min="767" max="767" width="11.1796875" style="1016" customWidth="1"/>
    <col min="768" max="768" width="2.6328125" style="1016" customWidth="1"/>
    <col min="769" max="769" width="11.1796875" style="1016" customWidth="1"/>
    <col min="770" max="770" width="2.6328125" style="1016" customWidth="1"/>
    <col min="771" max="771" width="19.08984375" style="1016" bestFit="1" customWidth="1"/>
    <col min="772" max="772" width="1.90625" style="1016" customWidth="1"/>
    <col min="773" max="773" width="6.6328125" style="1016" customWidth="1"/>
    <col min="774" max="774" width="14.81640625" style="1016" customWidth="1"/>
    <col min="775" max="775" width="9" style="1016" bestFit="1" customWidth="1"/>
    <col min="776" max="1016" width="5" style="1016"/>
    <col min="1017" max="1017" width="4.6328125" style="1016" customWidth="1"/>
    <col min="1018" max="1018" width="2" style="1016" customWidth="1"/>
    <col min="1019" max="1019" width="40.6328125" style="1016" customWidth="1"/>
    <col min="1020" max="1020" width="3.54296875" style="1016" customWidth="1"/>
    <col min="1021" max="1021" width="11.08984375" style="1016" customWidth="1"/>
    <col min="1022" max="1022" width="2.6328125" style="1016" customWidth="1"/>
    <col min="1023" max="1023" width="11.1796875" style="1016" customWidth="1"/>
    <col min="1024" max="1024" width="2.6328125" style="1016" customWidth="1"/>
    <col min="1025" max="1025" width="11.1796875" style="1016" customWidth="1"/>
    <col min="1026" max="1026" width="2.6328125" style="1016" customWidth="1"/>
    <col min="1027" max="1027" width="19.08984375" style="1016" bestFit="1" customWidth="1"/>
    <col min="1028" max="1028" width="1.90625" style="1016" customWidth="1"/>
    <col min="1029" max="1029" width="6.6328125" style="1016" customWidth="1"/>
    <col min="1030" max="1030" width="14.81640625" style="1016" customWidth="1"/>
    <col min="1031" max="1031" width="9" style="1016" bestFit="1" customWidth="1"/>
    <col min="1032" max="1272" width="5" style="1016"/>
    <col min="1273" max="1273" width="4.6328125" style="1016" customWidth="1"/>
    <col min="1274" max="1274" width="2" style="1016" customWidth="1"/>
    <col min="1275" max="1275" width="40.6328125" style="1016" customWidth="1"/>
    <col min="1276" max="1276" width="3.54296875" style="1016" customWidth="1"/>
    <col min="1277" max="1277" width="11.08984375" style="1016" customWidth="1"/>
    <col min="1278" max="1278" width="2.6328125" style="1016" customWidth="1"/>
    <col min="1279" max="1279" width="11.1796875" style="1016" customWidth="1"/>
    <col min="1280" max="1280" width="2.6328125" style="1016" customWidth="1"/>
    <col min="1281" max="1281" width="11.1796875" style="1016" customWidth="1"/>
    <col min="1282" max="1282" width="2.6328125" style="1016" customWidth="1"/>
    <col min="1283" max="1283" width="19.08984375" style="1016" bestFit="1" customWidth="1"/>
    <col min="1284" max="1284" width="1.90625" style="1016" customWidth="1"/>
    <col min="1285" max="1285" width="6.6328125" style="1016" customWidth="1"/>
    <col min="1286" max="1286" width="14.81640625" style="1016" customWidth="1"/>
    <col min="1287" max="1287" width="9" style="1016" bestFit="1" customWidth="1"/>
    <col min="1288" max="1528" width="5" style="1016"/>
    <col min="1529" max="1529" width="4.6328125" style="1016" customWidth="1"/>
    <col min="1530" max="1530" width="2" style="1016" customWidth="1"/>
    <col min="1531" max="1531" width="40.6328125" style="1016" customWidth="1"/>
    <col min="1532" max="1532" width="3.54296875" style="1016" customWidth="1"/>
    <col min="1533" max="1533" width="11.08984375" style="1016" customWidth="1"/>
    <col min="1534" max="1534" width="2.6328125" style="1016" customWidth="1"/>
    <col min="1535" max="1535" width="11.1796875" style="1016" customWidth="1"/>
    <col min="1536" max="1536" width="2.6328125" style="1016" customWidth="1"/>
    <col min="1537" max="1537" width="11.1796875" style="1016" customWidth="1"/>
    <col min="1538" max="1538" width="2.6328125" style="1016" customWidth="1"/>
    <col min="1539" max="1539" width="19.08984375" style="1016" bestFit="1" customWidth="1"/>
    <col min="1540" max="1540" width="1.90625" style="1016" customWidth="1"/>
    <col min="1541" max="1541" width="6.6328125" style="1016" customWidth="1"/>
    <col min="1542" max="1542" width="14.81640625" style="1016" customWidth="1"/>
    <col min="1543" max="1543" width="9" style="1016" bestFit="1" customWidth="1"/>
    <col min="1544" max="1784" width="5" style="1016"/>
    <col min="1785" max="1785" width="4.6328125" style="1016" customWidth="1"/>
    <col min="1786" max="1786" width="2" style="1016" customWidth="1"/>
    <col min="1787" max="1787" width="40.6328125" style="1016" customWidth="1"/>
    <col min="1788" max="1788" width="3.54296875" style="1016" customWidth="1"/>
    <col min="1789" max="1789" width="11.08984375" style="1016" customWidth="1"/>
    <col min="1790" max="1790" width="2.6328125" style="1016" customWidth="1"/>
    <col min="1791" max="1791" width="11.1796875" style="1016" customWidth="1"/>
    <col min="1792" max="1792" width="2.6328125" style="1016" customWidth="1"/>
    <col min="1793" max="1793" width="11.1796875" style="1016" customWidth="1"/>
    <col min="1794" max="1794" width="2.6328125" style="1016" customWidth="1"/>
    <col min="1795" max="1795" width="19.08984375" style="1016" bestFit="1" customWidth="1"/>
    <col min="1796" max="1796" width="1.90625" style="1016" customWidth="1"/>
    <col min="1797" max="1797" width="6.6328125" style="1016" customWidth="1"/>
    <col min="1798" max="1798" width="14.81640625" style="1016" customWidth="1"/>
    <col min="1799" max="1799" width="9" style="1016" bestFit="1" customWidth="1"/>
    <col min="1800" max="2040" width="5" style="1016"/>
    <col min="2041" max="2041" width="4.6328125" style="1016" customWidth="1"/>
    <col min="2042" max="2042" width="2" style="1016" customWidth="1"/>
    <col min="2043" max="2043" width="40.6328125" style="1016" customWidth="1"/>
    <col min="2044" max="2044" width="3.54296875" style="1016" customWidth="1"/>
    <col min="2045" max="2045" width="11.08984375" style="1016" customWidth="1"/>
    <col min="2046" max="2046" width="2.6328125" style="1016" customWidth="1"/>
    <col min="2047" max="2047" width="11.1796875" style="1016" customWidth="1"/>
    <col min="2048" max="2048" width="2.6328125" style="1016" customWidth="1"/>
    <col min="2049" max="2049" width="11.1796875" style="1016" customWidth="1"/>
    <col min="2050" max="2050" width="2.6328125" style="1016" customWidth="1"/>
    <col min="2051" max="2051" width="19.08984375" style="1016" bestFit="1" customWidth="1"/>
    <col min="2052" max="2052" width="1.90625" style="1016" customWidth="1"/>
    <col min="2053" max="2053" width="6.6328125" style="1016" customWidth="1"/>
    <col min="2054" max="2054" width="14.81640625" style="1016" customWidth="1"/>
    <col min="2055" max="2055" width="9" style="1016" bestFit="1" customWidth="1"/>
    <col min="2056" max="2296" width="5" style="1016"/>
    <col min="2297" max="2297" width="4.6328125" style="1016" customWidth="1"/>
    <col min="2298" max="2298" width="2" style="1016" customWidth="1"/>
    <col min="2299" max="2299" width="40.6328125" style="1016" customWidth="1"/>
    <col min="2300" max="2300" width="3.54296875" style="1016" customWidth="1"/>
    <col min="2301" max="2301" width="11.08984375" style="1016" customWidth="1"/>
    <col min="2302" max="2302" width="2.6328125" style="1016" customWidth="1"/>
    <col min="2303" max="2303" width="11.1796875" style="1016" customWidth="1"/>
    <col min="2304" max="2304" width="2.6328125" style="1016" customWidth="1"/>
    <col min="2305" max="2305" width="11.1796875" style="1016" customWidth="1"/>
    <col min="2306" max="2306" width="2.6328125" style="1016" customWidth="1"/>
    <col min="2307" max="2307" width="19.08984375" style="1016" bestFit="1" customWidth="1"/>
    <col min="2308" max="2308" width="1.90625" style="1016" customWidth="1"/>
    <col min="2309" max="2309" width="6.6328125" style="1016" customWidth="1"/>
    <col min="2310" max="2310" width="14.81640625" style="1016" customWidth="1"/>
    <col min="2311" max="2311" width="9" style="1016" bestFit="1" customWidth="1"/>
    <col min="2312" max="2552" width="5" style="1016"/>
    <col min="2553" max="2553" width="4.6328125" style="1016" customWidth="1"/>
    <col min="2554" max="2554" width="2" style="1016" customWidth="1"/>
    <col min="2555" max="2555" width="40.6328125" style="1016" customWidth="1"/>
    <col min="2556" max="2556" width="3.54296875" style="1016" customWidth="1"/>
    <col min="2557" max="2557" width="11.08984375" style="1016" customWidth="1"/>
    <col min="2558" max="2558" width="2.6328125" style="1016" customWidth="1"/>
    <col min="2559" max="2559" width="11.1796875" style="1016" customWidth="1"/>
    <col min="2560" max="2560" width="2.6328125" style="1016" customWidth="1"/>
    <col min="2561" max="2561" width="11.1796875" style="1016" customWidth="1"/>
    <col min="2562" max="2562" width="2.6328125" style="1016" customWidth="1"/>
    <col min="2563" max="2563" width="19.08984375" style="1016" bestFit="1" customWidth="1"/>
    <col min="2564" max="2564" width="1.90625" style="1016" customWidth="1"/>
    <col min="2565" max="2565" width="6.6328125" style="1016" customWidth="1"/>
    <col min="2566" max="2566" width="14.81640625" style="1016" customWidth="1"/>
    <col min="2567" max="2567" width="9" style="1016" bestFit="1" customWidth="1"/>
    <col min="2568" max="2808" width="5" style="1016"/>
    <col min="2809" max="2809" width="4.6328125" style="1016" customWidth="1"/>
    <col min="2810" max="2810" width="2" style="1016" customWidth="1"/>
    <col min="2811" max="2811" width="40.6328125" style="1016" customWidth="1"/>
    <col min="2812" max="2812" width="3.54296875" style="1016" customWidth="1"/>
    <col min="2813" max="2813" width="11.08984375" style="1016" customWidth="1"/>
    <col min="2814" max="2814" width="2.6328125" style="1016" customWidth="1"/>
    <col min="2815" max="2815" width="11.1796875" style="1016" customWidth="1"/>
    <col min="2816" max="2816" width="2.6328125" style="1016" customWidth="1"/>
    <col min="2817" max="2817" width="11.1796875" style="1016" customWidth="1"/>
    <col min="2818" max="2818" width="2.6328125" style="1016" customWidth="1"/>
    <col min="2819" max="2819" width="19.08984375" style="1016" bestFit="1" customWidth="1"/>
    <col min="2820" max="2820" width="1.90625" style="1016" customWidth="1"/>
    <col min="2821" max="2821" width="6.6328125" style="1016" customWidth="1"/>
    <col min="2822" max="2822" width="14.81640625" style="1016" customWidth="1"/>
    <col min="2823" max="2823" width="9" style="1016" bestFit="1" customWidth="1"/>
    <col min="2824" max="3064" width="5" style="1016"/>
    <col min="3065" max="3065" width="4.6328125" style="1016" customWidth="1"/>
    <col min="3066" max="3066" width="2" style="1016" customWidth="1"/>
    <col min="3067" max="3067" width="40.6328125" style="1016" customWidth="1"/>
    <col min="3068" max="3068" width="3.54296875" style="1016" customWidth="1"/>
    <col min="3069" max="3069" width="11.08984375" style="1016" customWidth="1"/>
    <col min="3070" max="3070" width="2.6328125" style="1016" customWidth="1"/>
    <col min="3071" max="3071" width="11.1796875" style="1016" customWidth="1"/>
    <col min="3072" max="3072" width="2.6328125" style="1016" customWidth="1"/>
    <col min="3073" max="3073" width="11.1796875" style="1016" customWidth="1"/>
    <col min="3074" max="3074" width="2.6328125" style="1016" customWidth="1"/>
    <col min="3075" max="3075" width="19.08984375" style="1016" bestFit="1" customWidth="1"/>
    <col min="3076" max="3076" width="1.90625" style="1016" customWidth="1"/>
    <col min="3077" max="3077" width="6.6328125" style="1016" customWidth="1"/>
    <col min="3078" max="3078" width="14.81640625" style="1016" customWidth="1"/>
    <col min="3079" max="3079" width="9" style="1016" bestFit="1" customWidth="1"/>
    <col min="3080" max="3320" width="5" style="1016"/>
    <col min="3321" max="3321" width="4.6328125" style="1016" customWidth="1"/>
    <col min="3322" max="3322" width="2" style="1016" customWidth="1"/>
    <col min="3323" max="3323" width="40.6328125" style="1016" customWidth="1"/>
    <col min="3324" max="3324" width="3.54296875" style="1016" customWidth="1"/>
    <col min="3325" max="3325" width="11.08984375" style="1016" customWidth="1"/>
    <col min="3326" max="3326" width="2.6328125" style="1016" customWidth="1"/>
    <col min="3327" max="3327" width="11.1796875" style="1016" customWidth="1"/>
    <col min="3328" max="3328" width="2.6328125" style="1016" customWidth="1"/>
    <col min="3329" max="3329" width="11.1796875" style="1016" customWidth="1"/>
    <col min="3330" max="3330" width="2.6328125" style="1016" customWidth="1"/>
    <col min="3331" max="3331" width="19.08984375" style="1016" bestFit="1" customWidth="1"/>
    <col min="3332" max="3332" width="1.90625" style="1016" customWidth="1"/>
    <col min="3333" max="3333" width="6.6328125" style="1016" customWidth="1"/>
    <col min="3334" max="3334" width="14.81640625" style="1016" customWidth="1"/>
    <col min="3335" max="3335" width="9" style="1016" bestFit="1" customWidth="1"/>
    <col min="3336" max="3576" width="5" style="1016"/>
    <col min="3577" max="3577" width="4.6328125" style="1016" customWidth="1"/>
    <col min="3578" max="3578" width="2" style="1016" customWidth="1"/>
    <col min="3579" max="3579" width="40.6328125" style="1016" customWidth="1"/>
    <col min="3580" max="3580" width="3.54296875" style="1016" customWidth="1"/>
    <col min="3581" max="3581" width="11.08984375" style="1016" customWidth="1"/>
    <col min="3582" max="3582" width="2.6328125" style="1016" customWidth="1"/>
    <col min="3583" max="3583" width="11.1796875" style="1016" customWidth="1"/>
    <col min="3584" max="3584" width="2.6328125" style="1016" customWidth="1"/>
    <col min="3585" max="3585" width="11.1796875" style="1016" customWidth="1"/>
    <col min="3586" max="3586" width="2.6328125" style="1016" customWidth="1"/>
    <col min="3587" max="3587" width="19.08984375" style="1016" bestFit="1" customWidth="1"/>
    <col min="3588" max="3588" width="1.90625" style="1016" customWidth="1"/>
    <col min="3589" max="3589" width="6.6328125" style="1016" customWidth="1"/>
    <col min="3590" max="3590" width="14.81640625" style="1016" customWidth="1"/>
    <col min="3591" max="3591" width="9" style="1016" bestFit="1" customWidth="1"/>
    <col min="3592" max="3832" width="5" style="1016"/>
    <col min="3833" max="3833" width="4.6328125" style="1016" customWidth="1"/>
    <col min="3834" max="3834" width="2" style="1016" customWidth="1"/>
    <col min="3835" max="3835" width="40.6328125" style="1016" customWidth="1"/>
    <col min="3836" max="3836" width="3.54296875" style="1016" customWidth="1"/>
    <col min="3837" max="3837" width="11.08984375" style="1016" customWidth="1"/>
    <col min="3838" max="3838" width="2.6328125" style="1016" customWidth="1"/>
    <col min="3839" max="3839" width="11.1796875" style="1016" customWidth="1"/>
    <col min="3840" max="3840" width="2.6328125" style="1016" customWidth="1"/>
    <col min="3841" max="3841" width="11.1796875" style="1016" customWidth="1"/>
    <col min="3842" max="3842" width="2.6328125" style="1016" customWidth="1"/>
    <col min="3843" max="3843" width="19.08984375" style="1016" bestFit="1" customWidth="1"/>
    <col min="3844" max="3844" width="1.90625" style="1016" customWidth="1"/>
    <col min="3845" max="3845" width="6.6328125" style="1016" customWidth="1"/>
    <col min="3846" max="3846" width="14.81640625" style="1016" customWidth="1"/>
    <col min="3847" max="3847" width="9" style="1016" bestFit="1" customWidth="1"/>
    <col min="3848" max="4088" width="5" style="1016"/>
    <col min="4089" max="4089" width="4.6328125" style="1016" customWidth="1"/>
    <col min="4090" max="4090" width="2" style="1016" customWidth="1"/>
    <col min="4091" max="4091" width="40.6328125" style="1016" customWidth="1"/>
    <col min="4092" max="4092" width="3.54296875" style="1016" customWidth="1"/>
    <col min="4093" max="4093" width="11.08984375" style="1016" customWidth="1"/>
    <col min="4094" max="4094" width="2.6328125" style="1016" customWidth="1"/>
    <col min="4095" max="4095" width="11.1796875" style="1016" customWidth="1"/>
    <col min="4096" max="4096" width="2.6328125" style="1016" customWidth="1"/>
    <col min="4097" max="4097" width="11.1796875" style="1016" customWidth="1"/>
    <col min="4098" max="4098" width="2.6328125" style="1016" customWidth="1"/>
    <col min="4099" max="4099" width="19.08984375" style="1016" bestFit="1" customWidth="1"/>
    <col min="4100" max="4100" width="1.90625" style="1016" customWidth="1"/>
    <col min="4101" max="4101" width="6.6328125" style="1016" customWidth="1"/>
    <col min="4102" max="4102" width="14.81640625" style="1016" customWidth="1"/>
    <col min="4103" max="4103" width="9" style="1016" bestFit="1" customWidth="1"/>
    <col min="4104" max="4344" width="5" style="1016"/>
    <col min="4345" max="4345" width="4.6328125" style="1016" customWidth="1"/>
    <col min="4346" max="4346" width="2" style="1016" customWidth="1"/>
    <col min="4347" max="4347" width="40.6328125" style="1016" customWidth="1"/>
    <col min="4348" max="4348" width="3.54296875" style="1016" customWidth="1"/>
    <col min="4349" max="4349" width="11.08984375" style="1016" customWidth="1"/>
    <col min="4350" max="4350" width="2.6328125" style="1016" customWidth="1"/>
    <col min="4351" max="4351" width="11.1796875" style="1016" customWidth="1"/>
    <col min="4352" max="4352" width="2.6328125" style="1016" customWidth="1"/>
    <col min="4353" max="4353" width="11.1796875" style="1016" customWidth="1"/>
    <col min="4354" max="4354" width="2.6328125" style="1016" customWidth="1"/>
    <col min="4355" max="4355" width="19.08984375" style="1016" bestFit="1" customWidth="1"/>
    <col min="4356" max="4356" width="1.90625" style="1016" customWidth="1"/>
    <col min="4357" max="4357" width="6.6328125" style="1016" customWidth="1"/>
    <col min="4358" max="4358" width="14.81640625" style="1016" customWidth="1"/>
    <col min="4359" max="4359" width="9" style="1016" bestFit="1" customWidth="1"/>
    <col min="4360" max="4600" width="5" style="1016"/>
    <col min="4601" max="4601" width="4.6328125" style="1016" customWidth="1"/>
    <col min="4602" max="4602" width="2" style="1016" customWidth="1"/>
    <col min="4603" max="4603" width="40.6328125" style="1016" customWidth="1"/>
    <col min="4604" max="4604" width="3.54296875" style="1016" customWidth="1"/>
    <col min="4605" max="4605" width="11.08984375" style="1016" customWidth="1"/>
    <col min="4606" max="4606" width="2.6328125" style="1016" customWidth="1"/>
    <col min="4607" max="4607" width="11.1796875" style="1016" customWidth="1"/>
    <col min="4608" max="4608" width="2.6328125" style="1016" customWidth="1"/>
    <col min="4609" max="4609" width="11.1796875" style="1016" customWidth="1"/>
    <col min="4610" max="4610" width="2.6328125" style="1016" customWidth="1"/>
    <col min="4611" max="4611" width="19.08984375" style="1016" bestFit="1" customWidth="1"/>
    <col min="4612" max="4612" width="1.90625" style="1016" customWidth="1"/>
    <col min="4613" max="4613" width="6.6328125" style="1016" customWidth="1"/>
    <col min="4614" max="4614" width="14.81640625" style="1016" customWidth="1"/>
    <col min="4615" max="4615" width="9" style="1016" bestFit="1" customWidth="1"/>
    <col min="4616" max="4856" width="5" style="1016"/>
    <col min="4857" max="4857" width="4.6328125" style="1016" customWidth="1"/>
    <col min="4858" max="4858" width="2" style="1016" customWidth="1"/>
    <col min="4859" max="4859" width="40.6328125" style="1016" customWidth="1"/>
    <col min="4860" max="4860" width="3.54296875" style="1016" customWidth="1"/>
    <col min="4861" max="4861" width="11.08984375" style="1016" customWidth="1"/>
    <col min="4862" max="4862" width="2.6328125" style="1016" customWidth="1"/>
    <col min="4863" max="4863" width="11.1796875" style="1016" customWidth="1"/>
    <col min="4864" max="4864" width="2.6328125" style="1016" customWidth="1"/>
    <col min="4865" max="4865" width="11.1796875" style="1016" customWidth="1"/>
    <col min="4866" max="4866" width="2.6328125" style="1016" customWidth="1"/>
    <col min="4867" max="4867" width="19.08984375" style="1016" bestFit="1" customWidth="1"/>
    <col min="4868" max="4868" width="1.90625" style="1016" customWidth="1"/>
    <col min="4869" max="4869" width="6.6328125" style="1016" customWidth="1"/>
    <col min="4870" max="4870" width="14.81640625" style="1016" customWidth="1"/>
    <col min="4871" max="4871" width="9" style="1016" bestFit="1" customWidth="1"/>
    <col min="4872" max="5112" width="5" style="1016"/>
    <col min="5113" max="5113" width="4.6328125" style="1016" customWidth="1"/>
    <col min="5114" max="5114" width="2" style="1016" customWidth="1"/>
    <col min="5115" max="5115" width="40.6328125" style="1016" customWidth="1"/>
    <col min="5116" max="5116" width="3.54296875" style="1016" customWidth="1"/>
    <col min="5117" max="5117" width="11.08984375" style="1016" customWidth="1"/>
    <col min="5118" max="5118" width="2.6328125" style="1016" customWidth="1"/>
    <col min="5119" max="5119" width="11.1796875" style="1016" customWidth="1"/>
    <col min="5120" max="5120" width="2.6328125" style="1016" customWidth="1"/>
    <col min="5121" max="5121" width="11.1796875" style="1016" customWidth="1"/>
    <col min="5122" max="5122" width="2.6328125" style="1016" customWidth="1"/>
    <col min="5123" max="5123" width="19.08984375" style="1016" bestFit="1" customWidth="1"/>
    <col min="5124" max="5124" width="1.90625" style="1016" customWidth="1"/>
    <col min="5125" max="5125" width="6.6328125" style="1016" customWidth="1"/>
    <col min="5126" max="5126" width="14.81640625" style="1016" customWidth="1"/>
    <col min="5127" max="5127" width="9" style="1016" bestFit="1" customWidth="1"/>
    <col min="5128" max="5368" width="5" style="1016"/>
    <col min="5369" max="5369" width="4.6328125" style="1016" customWidth="1"/>
    <col min="5370" max="5370" width="2" style="1016" customWidth="1"/>
    <col min="5371" max="5371" width="40.6328125" style="1016" customWidth="1"/>
    <col min="5372" max="5372" width="3.54296875" style="1016" customWidth="1"/>
    <col min="5373" max="5373" width="11.08984375" style="1016" customWidth="1"/>
    <col min="5374" max="5374" width="2.6328125" style="1016" customWidth="1"/>
    <col min="5375" max="5375" width="11.1796875" style="1016" customWidth="1"/>
    <col min="5376" max="5376" width="2.6328125" style="1016" customWidth="1"/>
    <col min="5377" max="5377" width="11.1796875" style="1016" customWidth="1"/>
    <col min="5378" max="5378" width="2.6328125" style="1016" customWidth="1"/>
    <col min="5379" max="5379" width="19.08984375" style="1016" bestFit="1" customWidth="1"/>
    <col min="5380" max="5380" width="1.90625" style="1016" customWidth="1"/>
    <col min="5381" max="5381" width="6.6328125" style="1016" customWidth="1"/>
    <col min="5382" max="5382" width="14.81640625" style="1016" customWidth="1"/>
    <col min="5383" max="5383" width="9" style="1016" bestFit="1" customWidth="1"/>
    <col min="5384" max="5624" width="5" style="1016"/>
    <col min="5625" max="5625" width="4.6328125" style="1016" customWidth="1"/>
    <col min="5626" max="5626" width="2" style="1016" customWidth="1"/>
    <col min="5627" max="5627" width="40.6328125" style="1016" customWidth="1"/>
    <col min="5628" max="5628" width="3.54296875" style="1016" customWidth="1"/>
    <col min="5629" max="5629" width="11.08984375" style="1016" customWidth="1"/>
    <col min="5630" max="5630" width="2.6328125" style="1016" customWidth="1"/>
    <col min="5631" max="5631" width="11.1796875" style="1016" customWidth="1"/>
    <col min="5632" max="5632" width="2.6328125" style="1016" customWidth="1"/>
    <col min="5633" max="5633" width="11.1796875" style="1016" customWidth="1"/>
    <col min="5634" max="5634" width="2.6328125" style="1016" customWidth="1"/>
    <col min="5635" max="5635" width="19.08984375" style="1016" bestFit="1" customWidth="1"/>
    <col min="5636" max="5636" width="1.90625" style="1016" customWidth="1"/>
    <col min="5637" max="5637" width="6.6328125" style="1016" customWidth="1"/>
    <col min="5638" max="5638" width="14.81640625" style="1016" customWidth="1"/>
    <col min="5639" max="5639" width="9" style="1016" bestFit="1" customWidth="1"/>
    <col min="5640" max="5880" width="5" style="1016"/>
    <col min="5881" max="5881" width="4.6328125" style="1016" customWidth="1"/>
    <col min="5882" max="5882" width="2" style="1016" customWidth="1"/>
    <col min="5883" max="5883" width="40.6328125" style="1016" customWidth="1"/>
    <col min="5884" max="5884" width="3.54296875" style="1016" customWidth="1"/>
    <col min="5885" max="5885" width="11.08984375" style="1016" customWidth="1"/>
    <col min="5886" max="5886" width="2.6328125" style="1016" customWidth="1"/>
    <col min="5887" max="5887" width="11.1796875" style="1016" customWidth="1"/>
    <col min="5888" max="5888" width="2.6328125" style="1016" customWidth="1"/>
    <col min="5889" max="5889" width="11.1796875" style="1016" customWidth="1"/>
    <col min="5890" max="5890" width="2.6328125" style="1016" customWidth="1"/>
    <col min="5891" max="5891" width="19.08984375" style="1016" bestFit="1" customWidth="1"/>
    <col min="5892" max="5892" width="1.90625" style="1016" customWidth="1"/>
    <col min="5893" max="5893" width="6.6328125" style="1016" customWidth="1"/>
    <col min="5894" max="5894" width="14.81640625" style="1016" customWidth="1"/>
    <col min="5895" max="5895" width="9" style="1016" bestFit="1" customWidth="1"/>
    <col min="5896" max="6136" width="5" style="1016"/>
    <col min="6137" max="6137" width="4.6328125" style="1016" customWidth="1"/>
    <col min="6138" max="6138" width="2" style="1016" customWidth="1"/>
    <col min="6139" max="6139" width="40.6328125" style="1016" customWidth="1"/>
    <col min="6140" max="6140" width="3.54296875" style="1016" customWidth="1"/>
    <col min="6141" max="6141" width="11.08984375" style="1016" customWidth="1"/>
    <col min="6142" max="6142" width="2.6328125" style="1016" customWidth="1"/>
    <col min="6143" max="6143" width="11.1796875" style="1016" customWidth="1"/>
    <col min="6144" max="6144" width="2.6328125" style="1016" customWidth="1"/>
    <col min="6145" max="6145" width="11.1796875" style="1016" customWidth="1"/>
    <col min="6146" max="6146" width="2.6328125" style="1016" customWidth="1"/>
    <col min="6147" max="6147" width="19.08984375" style="1016" bestFit="1" customWidth="1"/>
    <col min="6148" max="6148" width="1.90625" style="1016" customWidth="1"/>
    <col min="6149" max="6149" width="6.6328125" style="1016" customWidth="1"/>
    <col min="6150" max="6150" width="14.81640625" style="1016" customWidth="1"/>
    <col min="6151" max="6151" width="9" style="1016" bestFit="1" customWidth="1"/>
    <col min="6152" max="6392" width="5" style="1016"/>
    <col min="6393" max="6393" width="4.6328125" style="1016" customWidth="1"/>
    <col min="6394" max="6394" width="2" style="1016" customWidth="1"/>
    <col min="6395" max="6395" width="40.6328125" style="1016" customWidth="1"/>
    <col min="6396" max="6396" width="3.54296875" style="1016" customWidth="1"/>
    <col min="6397" max="6397" width="11.08984375" style="1016" customWidth="1"/>
    <col min="6398" max="6398" width="2.6328125" style="1016" customWidth="1"/>
    <col min="6399" max="6399" width="11.1796875" style="1016" customWidth="1"/>
    <col min="6400" max="6400" width="2.6328125" style="1016" customWidth="1"/>
    <col min="6401" max="6401" width="11.1796875" style="1016" customWidth="1"/>
    <col min="6402" max="6402" width="2.6328125" style="1016" customWidth="1"/>
    <col min="6403" max="6403" width="19.08984375" style="1016" bestFit="1" customWidth="1"/>
    <col min="6404" max="6404" width="1.90625" style="1016" customWidth="1"/>
    <col min="6405" max="6405" width="6.6328125" style="1016" customWidth="1"/>
    <col min="6406" max="6406" width="14.81640625" style="1016" customWidth="1"/>
    <col min="6407" max="6407" width="9" style="1016" bestFit="1" customWidth="1"/>
    <col min="6408" max="6648" width="5" style="1016"/>
    <col min="6649" max="6649" width="4.6328125" style="1016" customWidth="1"/>
    <col min="6650" max="6650" width="2" style="1016" customWidth="1"/>
    <col min="6651" max="6651" width="40.6328125" style="1016" customWidth="1"/>
    <col min="6652" max="6652" width="3.54296875" style="1016" customWidth="1"/>
    <col min="6653" max="6653" width="11.08984375" style="1016" customWidth="1"/>
    <col min="6654" max="6654" width="2.6328125" style="1016" customWidth="1"/>
    <col min="6655" max="6655" width="11.1796875" style="1016" customWidth="1"/>
    <col min="6656" max="6656" width="2.6328125" style="1016" customWidth="1"/>
    <col min="6657" max="6657" width="11.1796875" style="1016" customWidth="1"/>
    <col min="6658" max="6658" width="2.6328125" style="1016" customWidth="1"/>
    <col min="6659" max="6659" width="19.08984375" style="1016" bestFit="1" customWidth="1"/>
    <col min="6660" max="6660" width="1.90625" style="1016" customWidth="1"/>
    <col min="6661" max="6661" width="6.6328125" style="1016" customWidth="1"/>
    <col min="6662" max="6662" width="14.81640625" style="1016" customWidth="1"/>
    <col min="6663" max="6663" width="9" style="1016" bestFit="1" customWidth="1"/>
    <col min="6664" max="6904" width="5" style="1016"/>
    <col min="6905" max="6905" width="4.6328125" style="1016" customWidth="1"/>
    <col min="6906" max="6906" width="2" style="1016" customWidth="1"/>
    <col min="6907" max="6907" width="40.6328125" style="1016" customWidth="1"/>
    <col min="6908" max="6908" width="3.54296875" style="1016" customWidth="1"/>
    <col min="6909" max="6909" width="11.08984375" style="1016" customWidth="1"/>
    <col min="6910" max="6910" width="2.6328125" style="1016" customWidth="1"/>
    <col min="6911" max="6911" width="11.1796875" style="1016" customWidth="1"/>
    <col min="6912" max="6912" width="2.6328125" style="1016" customWidth="1"/>
    <col min="6913" max="6913" width="11.1796875" style="1016" customWidth="1"/>
    <col min="6914" max="6914" width="2.6328125" style="1016" customWidth="1"/>
    <col min="6915" max="6915" width="19.08984375" style="1016" bestFit="1" customWidth="1"/>
    <col min="6916" max="6916" width="1.90625" style="1016" customWidth="1"/>
    <col min="6917" max="6917" width="6.6328125" style="1016" customWidth="1"/>
    <col min="6918" max="6918" width="14.81640625" style="1016" customWidth="1"/>
    <col min="6919" max="6919" width="9" style="1016" bestFit="1" customWidth="1"/>
    <col min="6920" max="7160" width="5" style="1016"/>
    <col min="7161" max="7161" width="4.6328125" style="1016" customWidth="1"/>
    <col min="7162" max="7162" width="2" style="1016" customWidth="1"/>
    <col min="7163" max="7163" width="40.6328125" style="1016" customWidth="1"/>
    <col min="7164" max="7164" width="3.54296875" style="1016" customWidth="1"/>
    <col min="7165" max="7165" width="11.08984375" style="1016" customWidth="1"/>
    <col min="7166" max="7166" width="2.6328125" style="1016" customWidth="1"/>
    <col min="7167" max="7167" width="11.1796875" style="1016" customWidth="1"/>
    <col min="7168" max="7168" width="2.6328125" style="1016" customWidth="1"/>
    <col min="7169" max="7169" width="11.1796875" style="1016" customWidth="1"/>
    <col min="7170" max="7170" width="2.6328125" style="1016" customWidth="1"/>
    <col min="7171" max="7171" width="19.08984375" style="1016" bestFit="1" customWidth="1"/>
    <col min="7172" max="7172" width="1.90625" style="1016" customWidth="1"/>
    <col min="7173" max="7173" width="6.6328125" style="1016" customWidth="1"/>
    <col min="7174" max="7174" width="14.81640625" style="1016" customWidth="1"/>
    <col min="7175" max="7175" width="9" style="1016" bestFit="1" customWidth="1"/>
    <col min="7176" max="7416" width="5" style="1016"/>
    <col min="7417" max="7417" width="4.6328125" style="1016" customWidth="1"/>
    <col min="7418" max="7418" width="2" style="1016" customWidth="1"/>
    <col min="7419" max="7419" width="40.6328125" style="1016" customWidth="1"/>
    <col min="7420" max="7420" width="3.54296875" style="1016" customWidth="1"/>
    <col min="7421" max="7421" width="11.08984375" style="1016" customWidth="1"/>
    <col min="7422" max="7422" width="2.6328125" style="1016" customWidth="1"/>
    <col min="7423" max="7423" width="11.1796875" style="1016" customWidth="1"/>
    <col min="7424" max="7424" width="2.6328125" style="1016" customWidth="1"/>
    <col min="7425" max="7425" width="11.1796875" style="1016" customWidth="1"/>
    <col min="7426" max="7426" width="2.6328125" style="1016" customWidth="1"/>
    <col min="7427" max="7427" width="19.08984375" style="1016" bestFit="1" customWidth="1"/>
    <col min="7428" max="7428" width="1.90625" style="1016" customWidth="1"/>
    <col min="7429" max="7429" width="6.6328125" style="1016" customWidth="1"/>
    <col min="7430" max="7430" width="14.81640625" style="1016" customWidth="1"/>
    <col min="7431" max="7431" width="9" style="1016" bestFit="1" customWidth="1"/>
    <col min="7432" max="7672" width="5" style="1016"/>
    <col min="7673" max="7673" width="4.6328125" style="1016" customWidth="1"/>
    <col min="7674" max="7674" width="2" style="1016" customWidth="1"/>
    <col min="7675" max="7675" width="40.6328125" style="1016" customWidth="1"/>
    <col min="7676" max="7676" width="3.54296875" style="1016" customWidth="1"/>
    <col min="7677" max="7677" width="11.08984375" style="1016" customWidth="1"/>
    <col min="7678" max="7678" width="2.6328125" style="1016" customWidth="1"/>
    <col min="7679" max="7679" width="11.1796875" style="1016" customWidth="1"/>
    <col min="7680" max="7680" width="2.6328125" style="1016" customWidth="1"/>
    <col min="7681" max="7681" width="11.1796875" style="1016" customWidth="1"/>
    <col min="7682" max="7682" width="2.6328125" style="1016" customWidth="1"/>
    <col min="7683" max="7683" width="19.08984375" style="1016" bestFit="1" customWidth="1"/>
    <col min="7684" max="7684" width="1.90625" style="1016" customWidth="1"/>
    <col min="7685" max="7685" width="6.6328125" style="1016" customWidth="1"/>
    <col min="7686" max="7686" width="14.81640625" style="1016" customWidth="1"/>
    <col min="7687" max="7687" width="9" style="1016" bestFit="1" customWidth="1"/>
    <col min="7688" max="7928" width="5" style="1016"/>
    <col min="7929" max="7929" width="4.6328125" style="1016" customWidth="1"/>
    <col min="7930" max="7930" width="2" style="1016" customWidth="1"/>
    <col min="7931" max="7931" width="40.6328125" style="1016" customWidth="1"/>
    <col min="7932" max="7932" width="3.54296875" style="1016" customWidth="1"/>
    <col min="7933" max="7933" width="11.08984375" style="1016" customWidth="1"/>
    <col min="7934" max="7934" width="2.6328125" style="1016" customWidth="1"/>
    <col min="7935" max="7935" width="11.1796875" style="1016" customWidth="1"/>
    <col min="7936" max="7936" width="2.6328125" style="1016" customWidth="1"/>
    <col min="7937" max="7937" width="11.1796875" style="1016" customWidth="1"/>
    <col min="7938" max="7938" width="2.6328125" style="1016" customWidth="1"/>
    <col min="7939" max="7939" width="19.08984375" style="1016" bestFit="1" customWidth="1"/>
    <col min="7940" max="7940" width="1.90625" style="1016" customWidth="1"/>
    <col min="7941" max="7941" width="6.6328125" style="1016" customWidth="1"/>
    <col min="7942" max="7942" width="14.81640625" style="1016" customWidth="1"/>
    <col min="7943" max="7943" width="9" style="1016" bestFit="1" customWidth="1"/>
    <col min="7944" max="8184" width="5" style="1016"/>
    <col min="8185" max="8185" width="4.6328125" style="1016" customWidth="1"/>
    <col min="8186" max="8186" width="2" style="1016" customWidth="1"/>
    <col min="8187" max="8187" width="40.6328125" style="1016" customWidth="1"/>
    <col min="8188" max="8188" width="3.54296875" style="1016" customWidth="1"/>
    <col min="8189" max="8189" width="11.08984375" style="1016" customWidth="1"/>
    <col min="8190" max="8190" width="2.6328125" style="1016" customWidth="1"/>
    <col min="8191" max="8191" width="11.1796875" style="1016" customWidth="1"/>
    <col min="8192" max="8192" width="2.6328125" style="1016" customWidth="1"/>
    <col min="8193" max="8193" width="11.1796875" style="1016" customWidth="1"/>
    <col min="8194" max="8194" width="2.6328125" style="1016" customWidth="1"/>
    <col min="8195" max="8195" width="19.08984375" style="1016" bestFit="1" customWidth="1"/>
    <col min="8196" max="8196" width="1.90625" style="1016" customWidth="1"/>
    <col min="8197" max="8197" width="6.6328125" style="1016" customWidth="1"/>
    <col min="8198" max="8198" width="14.81640625" style="1016" customWidth="1"/>
    <col min="8199" max="8199" width="9" style="1016" bestFit="1" customWidth="1"/>
    <col min="8200" max="8440" width="5" style="1016"/>
    <col min="8441" max="8441" width="4.6328125" style="1016" customWidth="1"/>
    <col min="8442" max="8442" width="2" style="1016" customWidth="1"/>
    <col min="8443" max="8443" width="40.6328125" style="1016" customWidth="1"/>
    <col min="8444" max="8444" width="3.54296875" style="1016" customWidth="1"/>
    <col min="8445" max="8445" width="11.08984375" style="1016" customWidth="1"/>
    <col min="8446" max="8446" width="2.6328125" style="1016" customWidth="1"/>
    <col min="8447" max="8447" width="11.1796875" style="1016" customWidth="1"/>
    <col min="8448" max="8448" width="2.6328125" style="1016" customWidth="1"/>
    <col min="8449" max="8449" width="11.1796875" style="1016" customWidth="1"/>
    <col min="8450" max="8450" width="2.6328125" style="1016" customWidth="1"/>
    <col min="8451" max="8451" width="19.08984375" style="1016" bestFit="1" customWidth="1"/>
    <col min="8452" max="8452" width="1.90625" style="1016" customWidth="1"/>
    <col min="8453" max="8453" width="6.6328125" style="1016" customWidth="1"/>
    <col min="8454" max="8454" width="14.81640625" style="1016" customWidth="1"/>
    <col min="8455" max="8455" width="9" style="1016" bestFit="1" customWidth="1"/>
    <col min="8456" max="8696" width="5" style="1016"/>
    <col min="8697" max="8697" width="4.6328125" style="1016" customWidth="1"/>
    <col min="8698" max="8698" width="2" style="1016" customWidth="1"/>
    <col min="8699" max="8699" width="40.6328125" style="1016" customWidth="1"/>
    <col min="8700" max="8700" width="3.54296875" style="1016" customWidth="1"/>
    <col min="8701" max="8701" width="11.08984375" style="1016" customWidth="1"/>
    <col min="8702" max="8702" width="2.6328125" style="1016" customWidth="1"/>
    <col min="8703" max="8703" width="11.1796875" style="1016" customWidth="1"/>
    <col min="8704" max="8704" width="2.6328125" style="1016" customWidth="1"/>
    <col min="8705" max="8705" width="11.1796875" style="1016" customWidth="1"/>
    <col min="8706" max="8706" width="2.6328125" style="1016" customWidth="1"/>
    <col min="8707" max="8707" width="19.08984375" style="1016" bestFit="1" customWidth="1"/>
    <col min="8708" max="8708" width="1.90625" style="1016" customWidth="1"/>
    <col min="8709" max="8709" width="6.6328125" style="1016" customWidth="1"/>
    <col min="8710" max="8710" width="14.81640625" style="1016" customWidth="1"/>
    <col min="8711" max="8711" width="9" style="1016" bestFit="1" customWidth="1"/>
    <col min="8712" max="8952" width="5" style="1016"/>
    <col min="8953" max="8953" width="4.6328125" style="1016" customWidth="1"/>
    <col min="8954" max="8954" width="2" style="1016" customWidth="1"/>
    <col min="8955" max="8955" width="40.6328125" style="1016" customWidth="1"/>
    <col min="8956" max="8956" width="3.54296875" style="1016" customWidth="1"/>
    <col min="8957" max="8957" width="11.08984375" style="1016" customWidth="1"/>
    <col min="8958" max="8958" width="2.6328125" style="1016" customWidth="1"/>
    <col min="8959" max="8959" width="11.1796875" style="1016" customWidth="1"/>
    <col min="8960" max="8960" width="2.6328125" style="1016" customWidth="1"/>
    <col min="8961" max="8961" width="11.1796875" style="1016" customWidth="1"/>
    <col min="8962" max="8962" width="2.6328125" style="1016" customWidth="1"/>
    <col min="8963" max="8963" width="19.08984375" style="1016" bestFit="1" customWidth="1"/>
    <col min="8964" max="8964" width="1.90625" style="1016" customWidth="1"/>
    <col min="8965" max="8965" width="6.6328125" style="1016" customWidth="1"/>
    <col min="8966" max="8966" width="14.81640625" style="1016" customWidth="1"/>
    <col min="8967" max="8967" width="9" style="1016" bestFit="1" customWidth="1"/>
    <col min="8968" max="9208" width="5" style="1016"/>
    <col min="9209" max="9209" width="4.6328125" style="1016" customWidth="1"/>
    <col min="9210" max="9210" width="2" style="1016" customWidth="1"/>
    <col min="9211" max="9211" width="40.6328125" style="1016" customWidth="1"/>
    <col min="9212" max="9212" width="3.54296875" style="1016" customWidth="1"/>
    <col min="9213" max="9213" width="11.08984375" style="1016" customWidth="1"/>
    <col min="9214" max="9214" width="2.6328125" style="1016" customWidth="1"/>
    <col min="9215" max="9215" width="11.1796875" style="1016" customWidth="1"/>
    <col min="9216" max="9216" width="2.6328125" style="1016" customWidth="1"/>
    <col min="9217" max="9217" width="11.1796875" style="1016" customWidth="1"/>
    <col min="9218" max="9218" width="2.6328125" style="1016" customWidth="1"/>
    <col min="9219" max="9219" width="19.08984375" style="1016" bestFit="1" customWidth="1"/>
    <col min="9220" max="9220" width="1.90625" style="1016" customWidth="1"/>
    <col min="9221" max="9221" width="6.6328125" style="1016" customWidth="1"/>
    <col min="9222" max="9222" width="14.81640625" style="1016" customWidth="1"/>
    <col min="9223" max="9223" width="9" style="1016" bestFit="1" customWidth="1"/>
    <col min="9224" max="9464" width="5" style="1016"/>
    <col min="9465" max="9465" width="4.6328125" style="1016" customWidth="1"/>
    <col min="9466" max="9466" width="2" style="1016" customWidth="1"/>
    <col min="9467" max="9467" width="40.6328125" style="1016" customWidth="1"/>
    <col min="9468" max="9468" width="3.54296875" style="1016" customWidth="1"/>
    <col min="9469" max="9469" width="11.08984375" style="1016" customWidth="1"/>
    <col min="9470" max="9470" width="2.6328125" style="1016" customWidth="1"/>
    <col min="9471" max="9471" width="11.1796875" style="1016" customWidth="1"/>
    <col min="9472" max="9472" width="2.6328125" style="1016" customWidth="1"/>
    <col min="9473" max="9473" width="11.1796875" style="1016" customWidth="1"/>
    <col min="9474" max="9474" width="2.6328125" style="1016" customWidth="1"/>
    <col min="9475" max="9475" width="19.08984375" style="1016" bestFit="1" customWidth="1"/>
    <col min="9476" max="9476" width="1.90625" style="1016" customWidth="1"/>
    <col min="9477" max="9477" width="6.6328125" style="1016" customWidth="1"/>
    <col min="9478" max="9478" width="14.81640625" style="1016" customWidth="1"/>
    <col min="9479" max="9479" width="9" style="1016" bestFit="1" customWidth="1"/>
    <col min="9480" max="9720" width="5" style="1016"/>
    <col min="9721" max="9721" width="4.6328125" style="1016" customWidth="1"/>
    <col min="9722" max="9722" width="2" style="1016" customWidth="1"/>
    <col min="9723" max="9723" width="40.6328125" style="1016" customWidth="1"/>
    <col min="9724" max="9724" width="3.54296875" style="1016" customWidth="1"/>
    <col min="9725" max="9725" width="11.08984375" style="1016" customWidth="1"/>
    <col min="9726" max="9726" width="2.6328125" style="1016" customWidth="1"/>
    <col min="9727" max="9727" width="11.1796875" style="1016" customWidth="1"/>
    <col min="9728" max="9728" width="2.6328125" style="1016" customWidth="1"/>
    <col min="9729" max="9729" width="11.1796875" style="1016" customWidth="1"/>
    <col min="9730" max="9730" width="2.6328125" style="1016" customWidth="1"/>
    <col min="9731" max="9731" width="19.08984375" style="1016" bestFit="1" customWidth="1"/>
    <col min="9732" max="9732" width="1.90625" style="1016" customWidth="1"/>
    <col min="9733" max="9733" width="6.6328125" style="1016" customWidth="1"/>
    <col min="9734" max="9734" width="14.81640625" style="1016" customWidth="1"/>
    <col min="9735" max="9735" width="9" style="1016" bestFit="1" customWidth="1"/>
    <col min="9736" max="9976" width="5" style="1016"/>
    <col min="9977" max="9977" width="4.6328125" style="1016" customWidth="1"/>
    <col min="9978" max="9978" width="2" style="1016" customWidth="1"/>
    <col min="9979" max="9979" width="40.6328125" style="1016" customWidth="1"/>
    <col min="9980" max="9980" width="3.54296875" style="1016" customWidth="1"/>
    <col min="9981" max="9981" width="11.08984375" style="1016" customWidth="1"/>
    <col min="9982" max="9982" width="2.6328125" style="1016" customWidth="1"/>
    <col min="9983" max="9983" width="11.1796875" style="1016" customWidth="1"/>
    <col min="9984" max="9984" width="2.6328125" style="1016" customWidth="1"/>
    <col min="9985" max="9985" width="11.1796875" style="1016" customWidth="1"/>
    <col min="9986" max="9986" width="2.6328125" style="1016" customWidth="1"/>
    <col min="9987" max="9987" width="19.08984375" style="1016" bestFit="1" customWidth="1"/>
    <col min="9988" max="9988" width="1.90625" style="1016" customWidth="1"/>
    <col min="9989" max="9989" width="6.6328125" style="1016" customWidth="1"/>
    <col min="9990" max="9990" width="14.81640625" style="1016" customWidth="1"/>
    <col min="9991" max="9991" width="9" style="1016" bestFit="1" customWidth="1"/>
    <col min="9992" max="10232" width="5" style="1016"/>
    <col min="10233" max="10233" width="4.6328125" style="1016" customWidth="1"/>
    <col min="10234" max="10234" width="2" style="1016" customWidth="1"/>
    <col min="10235" max="10235" width="40.6328125" style="1016" customWidth="1"/>
    <col min="10236" max="10236" width="3.54296875" style="1016" customWidth="1"/>
    <col min="10237" max="10237" width="11.08984375" style="1016" customWidth="1"/>
    <col min="10238" max="10238" width="2.6328125" style="1016" customWidth="1"/>
    <col min="10239" max="10239" width="11.1796875" style="1016" customWidth="1"/>
    <col min="10240" max="10240" width="2.6328125" style="1016" customWidth="1"/>
    <col min="10241" max="10241" width="11.1796875" style="1016" customWidth="1"/>
    <col min="10242" max="10242" width="2.6328125" style="1016" customWidth="1"/>
    <col min="10243" max="10243" width="19.08984375" style="1016" bestFit="1" customWidth="1"/>
    <col min="10244" max="10244" width="1.90625" style="1016" customWidth="1"/>
    <col min="10245" max="10245" width="6.6328125" style="1016" customWidth="1"/>
    <col min="10246" max="10246" width="14.81640625" style="1016" customWidth="1"/>
    <col min="10247" max="10247" width="9" style="1016" bestFit="1" customWidth="1"/>
    <col min="10248" max="10488" width="5" style="1016"/>
    <col min="10489" max="10489" width="4.6328125" style="1016" customWidth="1"/>
    <col min="10490" max="10490" width="2" style="1016" customWidth="1"/>
    <col min="10491" max="10491" width="40.6328125" style="1016" customWidth="1"/>
    <col min="10492" max="10492" width="3.54296875" style="1016" customWidth="1"/>
    <col min="10493" max="10493" width="11.08984375" style="1016" customWidth="1"/>
    <col min="10494" max="10494" width="2.6328125" style="1016" customWidth="1"/>
    <col min="10495" max="10495" width="11.1796875" style="1016" customWidth="1"/>
    <col min="10496" max="10496" width="2.6328125" style="1016" customWidth="1"/>
    <col min="10497" max="10497" width="11.1796875" style="1016" customWidth="1"/>
    <col min="10498" max="10498" width="2.6328125" style="1016" customWidth="1"/>
    <col min="10499" max="10499" width="19.08984375" style="1016" bestFit="1" customWidth="1"/>
    <col min="10500" max="10500" width="1.90625" style="1016" customWidth="1"/>
    <col min="10501" max="10501" width="6.6328125" style="1016" customWidth="1"/>
    <col min="10502" max="10502" width="14.81640625" style="1016" customWidth="1"/>
    <col min="10503" max="10503" width="9" style="1016" bestFit="1" customWidth="1"/>
    <col min="10504" max="10744" width="5" style="1016"/>
    <col min="10745" max="10745" width="4.6328125" style="1016" customWidth="1"/>
    <col min="10746" max="10746" width="2" style="1016" customWidth="1"/>
    <col min="10747" max="10747" width="40.6328125" style="1016" customWidth="1"/>
    <col min="10748" max="10748" width="3.54296875" style="1016" customWidth="1"/>
    <col min="10749" max="10749" width="11.08984375" style="1016" customWidth="1"/>
    <col min="10750" max="10750" width="2.6328125" style="1016" customWidth="1"/>
    <col min="10751" max="10751" width="11.1796875" style="1016" customWidth="1"/>
    <col min="10752" max="10752" width="2.6328125" style="1016" customWidth="1"/>
    <col min="10753" max="10753" width="11.1796875" style="1016" customWidth="1"/>
    <col min="10754" max="10754" width="2.6328125" style="1016" customWidth="1"/>
    <col min="10755" max="10755" width="19.08984375" style="1016" bestFit="1" customWidth="1"/>
    <col min="10756" max="10756" width="1.90625" style="1016" customWidth="1"/>
    <col min="10757" max="10757" width="6.6328125" style="1016" customWidth="1"/>
    <col min="10758" max="10758" width="14.81640625" style="1016" customWidth="1"/>
    <col min="10759" max="10759" width="9" style="1016" bestFit="1" customWidth="1"/>
    <col min="10760" max="11000" width="5" style="1016"/>
    <col min="11001" max="11001" width="4.6328125" style="1016" customWidth="1"/>
    <col min="11002" max="11002" width="2" style="1016" customWidth="1"/>
    <col min="11003" max="11003" width="40.6328125" style="1016" customWidth="1"/>
    <col min="11004" max="11004" width="3.54296875" style="1016" customWidth="1"/>
    <col min="11005" max="11005" width="11.08984375" style="1016" customWidth="1"/>
    <col min="11006" max="11006" width="2.6328125" style="1016" customWidth="1"/>
    <col min="11007" max="11007" width="11.1796875" style="1016" customWidth="1"/>
    <col min="11008" max="11008" width="2.6328125" style="1016" customWidth="1"/>
    <col min="11009" max="11009" width="11.1796875" style="1016" customWidth="1"/>
    <col min="11010" max="11010" width="2.6328125" style="1016" customWidth="1"/>
    <col min="11011" max="11011" width="19.08984375" style="1016" bestFit="1" customWidth="1"/>
    <col min="11012" max="11012" width="1.90625" style="1016" customWidth="1"/>
    <col min="11013" max="11013" width="6.6328125" style="1016" customWidth="1"/>
    <col min="11014" max="11014" width="14.81640625" style="1016" customWidth="1"/>
    <col min="11015" max="11015" width="9" style="1016" bestFit="1" customWidth="1"/>
    <col min="11016" max="11256" width="5" style="1016"/>
    <col min="11257" max="11257" width="4.6328125" style="1016" customWidth="1"/>
    <col min="11258" max="11258" width="2" style="1016" customWidth="1"/>
    <col min="11259" max="11259" width="40.6328125" style="1016" customWidth="1"/>
    <col min="11260" max="11260" width="3.54296875" style="1016" customWidth="1"/>
    <col min="11261" max="11261" width="11.08984375" style="1016" customWidth="1"/>
    <col min="11262" max="11262" width="2.6328125" style="1016" customWidth="1"/>
    <col min="11263" max="11263" width="11.1796875" style="1016" customWidth="1"/>
    <col min="11264" max="11264" width="2.6328125" style="1016" customWidth="1"/>
    <col min="11265" max="11265" width="11.1796875" style="1016" customWidth="1"/>
    <col min="11266" max="11266" width="2.6328125" style="1016" customWidth="1"/>
    <col min="11267" max="11267" width="19.08984375" style="1016" bestFit="1" customWidth="1"/>
    <col min="11268" max="11268" width="1.90625" style="1016" customWidth="1"/>
    <col min="11269" max="11269" width="6.6328125" style="1016" customWidth="1"/>
    <col min="11270" max="11270" width="14.81640625" style="1016" customWidth="1"/>
    <col min="11271" max="11271" width="9" style="1016" bestFit="1" customWidth="1"/>
    <col min="11272" max="11512" width="5" style="1016"/>
    <col min="11513" max="11513" width="4.6328125" style="1016" customWidth="1"/>
    <col min="11514" max="11514" width="2" style="1016" customWidth="1"/>
    <col min="11515" max="11515" width="40.6328125" style="1016" customWidth="1"/>
    <col min="11516" max="11516" width="3.54296875" style="1016" customWidth="1"/>
    <col min="11517" max="11517" width="11.08984375" style="1016" customWidth="1"/>
    <col min="11518" max="11518" width="2.6328125" style="1016" customWidth="1"/>
    <col min="11519" max="11519" width="11.1796875" style="1016" customWidth="1"/>
    <col min="11520" max="11520" width="2.6328125" style="1016" customWidth="1"/>
    <col min="11521" max="11521" width="11.1796875" style="1016" customWidth="1"/>
    <col min="11522" max="11522" width="2.6328125" style="1016" customWidth="1"/>
    <col min="11523" max="11523" width="19.08984375" style="1016" bestFit="1" customWidth="1"/>
    <col min="11524" max="11524" width="1.90625" style="1016" customWidth="1"/>
    <col min="11525" max="11525" width="6.6328125" style="1016" customWidth="1"/>
    <col min="11526" max="11526" width="14.81640625" style="1016" customWidth="1"/>
    <col min="11527" max="11527" width="9" style="1016" bestFit="1" customWidth="1"/>
    <col min="11528" max="11768" width="5" style="1016"/>
    <col min="11769" max="11769" width="4.6328125" style="1016" customWidth="1"/>
    <col min="11770" max="11770" width="2" style="1016" customWidth="1"/>
    <col min="11771" max="11771" width="40.6328125" style="1016" customWidth="1"/>
    <col min="11772" max="11772" width="3.54296875" style="1016" customWidth="1"/>
    <col min="11773" max="11773" width="11.08984375" style="1016" customWidth="1"/>
    <col min="11774" max="11774" width="2.6328125" style="1016" customWidth="1"/>
    <col min="11775" max="11775" width="11.1796875" style="1016" customWidth="1"/>
    <col min="11776" max="11776" width="2.6328125" style="1016" customWidth="1"/>
    <col min="11777" max="11777" width="11.1796875" style="1016" customWidth="1"/>
    <col min="11778" max="11778" width="2.6328125" style="1016" customWidth="1"/>
    <col min="11779" max="11779" width="19.08984375" style="1016" bestFit="1" customWidth="1"/>
    <col min="11780" max="11780" width="1.90625" style="1016" customWidth="1"/>
    <col min="11781" max="11781" width="6.6328125" style="1016" customWidth="1"/>
    <col min="11782" max="11782" width="14.81640625" style="1016" customWidth="1"/>
    <col min="11783" max="11783" width="9" style="1016" bestFit="1" customWidth="1"/>
    <col min="11784" max="12024" width="5" style="1016"/>
    <col min="12025" max="12025" width="4.6328125" style="1016" customWidth="1"/>
    <col min="12026" max="12026" width="2" style="1016" customWidth="1"/>
    <col min="12027" max="12027" width="40.6328125" style="1016" customWidth="1"/>
    <col min="12028" max="12028" width="3.54296875" style="1016" customWidth="1"/>
    <col min="12029" max="12029" width="11.08984375" style="1016" customWidth="1"/>
    <col min="12030" max="12030" width="2.6328125" style="1016" customWidth="1"/>
    <col min="12031" max="12031" width="11.1796875" style="1016" customWidth="1"/>
    <col min="12032" max="12032" width="2.6328125" style="1016" customWidth="1"/>
    <col min="12033" max="12033" width="11.1796875" style="1016" customWidth="1"/>
    <col min="12034" max="12034" width="2.6328125" style="1016" customWidth="1"/>
    <col min="12035" max="12035" width="19.08984375" style="1016" bestFit="1" customWidth="1"/>
    <col min="12036" max="12036" width="1.90625" style="1016" customWidth="1"/>
    <col min="12037" max="12037" width="6.6328125" style="1016" customWidth="1"/>
    <col min="12038" max="12038" width="14.81640625" style="1016" customWidth="1"/>
    <col min="12039" max="12039" width="9" style="1016" bestFit="1" customWidth="1"/>
    <col min="12040" max="12280" width="5" style="1016"/>
    <col min="12281" max="12281" width="4.6328125" style="1016" customWidth="1"/>
    <col min="12282" max="12282" width="2" style="1016" customWidth="1"/>
    <col min="12283" max="12283" width="40.6328125" style="1016" customWidth="1"/>
    <col min="12284" max="12284" width="3.54296875" style="1016" customWidth="1"/>
    <col min="12285" max="12285" width="11.08984375" style="1016" customWidth="1"/>
    <col min="12286" max="12286" width="2.6328125" style="1016" customWidth="1"/>
    <col min="12287" max="12287" width="11.1796875" style="1016" customWidth="1"/>
    <col min="12288" max="12288" width="2.6328125" style="1016" customWidth="1"/>
    <col min="12289" max="12289" width="11.1796875" style="1016" customWidth="1"/>
    <col min="12290" max="12290" width="2.6328125" style="1016" customWidth="1"/>
    <col min="12291" max="12291" width="19.08984375" style="1016" bestFit="1" customWidth="1"/>
    <col min="12292" max="12292" width="1.90625" style="1016" customWidth="1"/>
    <col min="12293" max="12293" width="6.6328125" style="1016" customWidth="1"/>
    <col min="12294" max="12294" width="14.81640625" style="1016" customWidth="1"/>
    <col min="12295" max="12295" width="9" style="1016" bestFit="1" customWidth="1"/>
    <col min="12296" max="12536" width="5" style="1016"/>
    <col min="12537" max="12537" width="4.6328125" style="1016" customWidth="1"/>
    <col min="12538" max="12538" width="2" style="1016" customWidth="1"/>
    <col min="12539" max="12539" width="40.6328125" style="1016" customWidth="1"/>
    <col min="12540" max="12540" width="3.54296875" style="1016" customWidth="1"/>
    <col min="12541" max="12541" width="11.08984375" style="1016" customWidth="1"/>
    <col min="12542" max="12542" width="2.6328125" style="1016" customWidth="1"/>
    <col min="12543" max="12543" width="11.1796875" style="1016" customWidth="1"/>
    <col min="12544" max="12544" width="2.6328125" style="1016" customWidth="1"/>
    <col min="12545" max="12545" width="11.1796875" style="1016" customWidth="1"/>
    <col min="12546" max="12546" width="2.6328125" style="1016" customWidth="1"/>
    <col min="12547" max="12547" width="19.08984375" style="1016" bestFit="1" customWidth="1"/>
    <col min="12548" max="12548" width="1.90625" style="1016" customWidth="1"/>
    <col min="12549" max="12549" width="6.6328125" style="1016" customWidth="1"/>
    <col min="12550" max="12550" width="14.81640625" style="1016" customWidth="1"/>
    <col min="12551" max="12551" width="9" style="1016" bestFit="1" customWidth="1"/>
    <col min="12552" max="12792" width="5" style="1016"/>
    <col min="12793" max="12793" width="4.6328125" style="1016" customWidth="1"/>
    <col min="12794" max="12794" width="2" style="1016" customWidth="1"/>
    <col min="12795" max="12795" width="40.6328125" style="1016" customWidth="1"/>
    <col min="12796" max="12796" width="3.54296875" style="1016" customWidth="1"/>
    <col min="12797" max="12797" width="11.08984375" style="1016" customWidth="1"/>
    <col min="12798" max="12798" width="2.6328125" style="1016" customWidth="1"/>
    <col min="12799" max="12799" width="11.1796875" style="1016" customWidth="1"/>
    <col min="12800" max="12800" width="2.6328125" style="1016" customWidth="1"/>
    <col min="12801" max="12801" width="11.1796875" style="1016" customWidth="1"/>
    <col min="12802" max="12802" width="2.6328125" style="1016" customWidth="1"/>
    <col min="12803" max="12803" width="19.08984375" style="1016" bestFit="1" customWidth="1"/>
    <col min="12804" max="12804" width="1.90625" style="1016" customWidth="1"/>
    <col min="12805" max="12805" width="6.6328125" style="1016" customWidth="1"/>
    <col min="12806" max="12806" width="14.81640625" style="1016" customWidth="1"/>
    <col min="12807" max="12807" width="9" style="1016" bestFit="1" customWidth="1"/>
    <col min="12808" max="13048" width="5" style="1016"/>
    <col min="13049" max="13049" width="4.6328125" style="1016" customWidth="1"/>
    <col min="13050" max="13050" width="2" style="1016" customWidth="1"/>
    <col min="13051" max="13051" width="40.6328125" style="1016" customWidth="1"/>
    <col min="13052" max="13052" width="3.54296875" style="1016" customWidth="1"/>
    <col min="13053" max="13053" width="11.08984375" style="1016" customWidth="1"/>
    <col min="13054" max="13054" width="2.6328125" style="1016" customWidth="1"/>
    <col min="13055" max="13055" width="11.1796875" style="1016" customWidth="1"/>
    <col min="13056" max="13056" width="2.6328125" style="1016" customWidth="1"/>
    <col min="13057" max="13057" width="11.1796875" style="1016" customWidth="1"/>
    <col min="13058" max="13058" width="2.6328125" style="1016" customWidth="1"/>
    <col min="13059" max="13059" width="19.08984375" style="1016" bestFit="1" customWidth="1"/>
    <col min="13060" max="13060" width="1.90625" style="1016" customWidth="1"/>
    <col min="13061" max="13061" width="6.6328125" style="1016" customWidth="1"/>
    <col min="13062" max="13062" width="14.81640625" style="1016" customWidth="1"/>
    <col min="13063" max="13063" width="9" style="1016" bestFit="1" customWidth="1"/>
    <col min="13064" max="13304" width="5" style="1016"/>
    <col min="13305" max="13305" width="4.6328125" style="1016" customWidth="1"/>
    <col min="13306" max="13306" width="2" style="1016" customWidth="1"/>
    <col min="13307" max="13307" width="40.6328125" style="1016" customWidth="1"/>
    <col min="13308" max="13308" width="3.54296875" style="1016" customWidth="1"/>
    <col min="13309" max="13309" width="11.08984375" style="1016" customWidth="1"/>
    <col min="13310" max="13310" width="2.6328125" style="1016" customWidth="1"/>
    <col min="13311" max="13311" width="11.1796875" style="1016" customWidth="1"/>
    <col min="13312" max="13312" width="2.6328125" style="1016" customWidth="1"/>
    <col min="13313" max="13313" width="11.1796875" style="1016" customWidth="1"/>
    <col min="13314" max="13314" width="2.6328125" style="1016" customWidth="1"/>
    <col min="13315" max="13315" width="19.08984375" style="1016" bestFit="1" customWidth="1"/>
    <col min="13316" max="13316" width="1.90625" style="1016" customWidth="1"/>
    <col min="13317" max="13317" width="6.6328125" style="1016" customWidth="1"/>
    <col min="13318" max="13318" width="14.81640625" style="1016" customWidth="1"/>
    <col min="13319" max="13319" width="9" style="1016" bestFit="1" customWidth="1"/>
    <col min="13320" max="13560" width="5" style="1016"/>
    <col min="13561" max="13561" width="4.6328125" style="1016" customWidth="1"/>
    <col min="13562" max="13562" width="2" style="1016" customWidth="1"/>
    <col min="13563" max="13563" width="40.6328125" style="1016" customWidth="1"/>
    <col min="13564" max="13564" width="3.54296875" style="1016" customWidth="1"/>
    <col min="13565" max="13565" width="11.08984375" style="1016" customWidth="1"/>
    <col min="13566" max="13566" width="2.6328125" style="1016" customWidth="1"/>
    <col min="13567" max="13567" width="11.1796875" style="1016" customWidth="1"/>
    <col min="13568" max="13568" width="2.6328125" style="1016" customWidth="1"/>
    <col min="13569" max="13569" width="11.1796875" style="1016" customWidth="1"/>
    <col min="13570" max="13570" width="2.6328125" style="1016" customWidth="1"/>
    <col min="13571" max="13571" width="19.08984375" style="1016" bestFit="1" customWidth="1"/>
    <col min="13572" max="13572" width="1.90625" style="1016" customWidth="1"/>
    <col min="13573" max="13573" width="6.6328125" style="1016" customWidth="1"/>
    <col min="13574" max="13574" width="14.81640625" style="1016" customWidth="1"/>
    <col min="13575" max="13575" width="9" style="1016" bestFit="1" customWidth="1"/>
    <col min="13576" max="13816" width="5" style="1016"/>
    <col min="13817" max="13817" width="4.6328125" style="1016" customWidth="1"/>
    <col min="13818" max="13818" width="2" style="1016" customWidth="1"/>
    <col min="13819" max="13819" width="40.6328125" style="1016" customWidth="1"/>
    <col min="13820" max="13820" width="3.54296875" style="1016" customWidth="1"/>
    <col min="13821" max="13821" width="11.08984375" style="1016" customWidth="1"/>
    <col min="13822" max="13822" width="2.6328125" style="1016" customWidth="1"/>
    <col min="13823" max="13823" width="11.1796875" style="1016" customWidth="1"/>
    <col min="13824" max="13824" width="2.6328125" style="1016" customWidth="1"/>
    <col min="13825" max="13825" width="11.1796875" style="1016" customWidth="1"/>
    <col min="13826" max="13826" width="2.6328125" style="1016" customWidth="1"/>
    <col min="13827" max="13827" width="19.08984375" style="1016" bestFit="1" customWidth="1"/>
    <col min="13828" max="13828" width="1.90625" style="1016" customWidth="1"/>
    <col min="13829" max="13829" width="6.6328125" style="1016" customWidth="1"/>
    <col min="13830" max="13830" width="14.81640625" style="1016" customWidth="1"/>
    <col min="13831" max="13831" width="9" style="1016" bestFit="1" customWidth="1"/>
    <col min="13832" max="14072" width="5" style="1016"/>
    <col min="14073" max="14073" width="4.6328125" style="1016" customWidth="1"/>
    <col min="14074" max="14074" width="2" style="1016" customWidth="1"/>
    <col min="14075" max="14075" width="40.6328125" style="1016" customWidth="1"/>
    <col min="14076" max="14076" width="3.54296875" style="1016" customWidth="1"/>
    <col min="14077" max="14077" width="11.08984375" style="1016" customWidth="1"/>
    <col min="14078" max="14078" width="2.6328125" style="1016" customWidth="1"/>
    <col min="14079" max="14079" width="11.1796875" style="1016" customWidth="1"/>
    <col min="14080" max="14080" width="2.6328125" style="1016" customWidth="1"/>
    <col min="14081" max="14081" width="11.1796875" style="1016" customWidth="1"/>
    <col min="14082" max="14082" width="2.6328125" style="1016" customWidth="1"/>
    <col min="14083" max="14083" width="19.08984375" style="1016" bestFit="1" customWidth="1"/>
    <col min="14084" max="14084" width="1.90625" style="1016" customWidth="1"/>
    <col min="14085" max="14085" width="6.6328125" style="1016" customWidth="1"/>
    <col min="14086" max="14086" width="14.81640625" style="1016" customWidth="1"/>
    <col min="14087" max="14087" width="9" style="1016" bestFit="1" customWidth="1"/>
    <col min="14088" max="14328" width="5" style="1016"/>
    <col min="14329" max="14329" width="4.6328125" style="1016" customWidth="1"/>
    <col min="14330" max="14330" width="2" style="1016" customWidth="1"/>
    <col min="14331" max="14331" width="40.6328125" style="1016" customWidth="1"/>
    <col min="14332" max="14332" width="3.54296875" style="1016" customWidth="1"/>
    <col min="14333" max="14333" width="11.08984375" style="1016" customWidth="1"/>
    <col min="14334" max="14334" width="2.6328125" style="1016" customWidth="1"/>
    <col min="14335" max="14335" width="11.1796875" style="1016" customWidth="1"/>
    <col min="14336" max="14336" width="2.6328125" style="1016" customWidth="1"/>
    <col min="14337" max="14337" width="11.1796875" style="1016" customWidth="1"/>
    <col min="14338" max="14338" width="2.6328125" style="1016" customWidth="1"/>
    <col min="14339" max="14339" width="19.08984375" style="1016" bestFit="1" customWidth="1"/>
    <col min="14340" max="14340" width="1.90625" style="1016" customWidth="1"/>
    <col min="14341" max="14341" width="6.6328125" style="1016" customWidth="1"/>
    <col min="14342" max="14342" width="14.81640625" style="1016" customWidth="1"/>
    <col min="14343" max="14343" width="9" style="1016" bestFit="1" customWidth="1"/>
    <col min="14344" max="14584" width="5" style="1016"/>
    <col min="14585" max="14585" width="4.6328125" style="1016" customWidth="1"/>
    <col min="14586" max="14586" width="2" style="1016" customWidth="1"/>
    <col min="14587" max="14587" width="40.6328125" style="1016" customWidth="1"/>
    <col min="14588" max="14588" width="3.54296875" style="1016" customWidth="1"/>
    <col min="14589" max="14589" width="11.08984375" style="1016" customWidth="1"/>
    <col min="14590" max="14590" width="2.6328125" style="1016" customWidth="1"/>
    <col min="14591" max="14591" width="11.1796875" style="1016" customWidth="1"/>
    <col min="14592" max="14592" width="2.6328125" style="1016" customWidth="1"/>
    <col min="14593" max="14593" width="11.1796875" style="1016" customWidth="1"/>
    <col min="14594" max="14594" width="2.6328125" style="1016" customWidth="1"/>
    <col min="14595" max="14595" width="19.08984375" style="1016" bestFit="1" customWidth="1"/>
    <col min="14596" max="14596" width="1.90625" style="1016" customWidth="1"/>
    <col min="14597" max="14597" width="6.6328125" style="1016" customWidth="1"/>
    <col min="14598" max="14598" width="14.81640625" style="1016" customWidth="1"/>
    <col min="14599" max="14599" width="9" style="1016" bestFit="1" customWidth="1"/>
    <col min="14600" max="14840" width="5" style="1016"/>
    <col min="14841" max="14841" width="4.6328125" style="1016" customWidth="1"/>
    <col min="14842" max="14842" width="2" style="1016" customWidth="1"/>
    <col min="14843" max="14843" width="40.6328125" style="1016" customWidth="1"/>
    <col min="14844" max="14844" width="3.54296875" style="1016" customWidth="1"/>
    <col min="14845" max="14845" width="11.08984375" style="1016" customWidth="1"/>
    <col min="14846" max="14846" width="2.6328125" style="1016" customWidth="1"/>
    <col min="14847" max="14847" width="11.1796875" style="1016" customWidth="1"/>
    <col min="14848" max="14848" width="2.6328125" style="1016" customWidth="1"/>
    <col min="14849" max="14849" width="11.1796875" style="1016" customWidth="1"/>
    <col min="14850" max="14850" width="2.6328125" style="1016" customWidth="1"/>
    <col min="14851" max="14851" width="19.08984375" style="1016" bestFit="1" customWidth="1"/>
    <col min="14852" max="14852" width="1.90625" style="1016" customWidth="1"/>
    <col min="14853" max="14853" width="6.6328125" style="1016" customWidth="1"/>
    <col min="14854" max="14854" width="14.81640625" style="1016" customWidth="1"/>
    <col min="14855" max="14855" width="9" style="1016" bestFit="1" customWidth="1"/>
    <col min="14856" max="15096" width="5" style="1016"/>
    <col min="15097" max="15097" width="4.6328125" style="1016" customWidth="1"/>
    <col min="15098" max="15098" width="2" style="1016" customWidth="1"/>
    <col min="15099" max="15099" width="40.6328125" style="1016" customWidth="1"/>
    <col min="15100" max="15100" width="3.54296875" style="1016" customWidth="1"/>
    <col min="15101" max="15101" width="11.08984375" style="1016" customWidth="1"/>
    <col min="15102" max="15102" width="2.6328125" style="1016" customWidth="1"/>
    <col min="15103" max="15103" width="11.1796875" style="1016" customWidth="1"/>
    <col min="15104" max="15104" width="2.6328125" style="1016" customWidth="1"/>
    <col min="15105" max="15105" width="11.1796875" style="1016" customWidth="1"/>
    <col min="15106" max="15106" width="2.6328125" style="1016" customWidth="1"/>
    <col min="15107" max="15107" width="19.08984375" style="1016" bestFit="1" customWidth="1"/>
    <col min="15108" max="15108" width="1.90625" style="1016" customWidth="1"/>
    <col min="15109" max="15109" width="6.6328125" style="1016" customWidth="1"/>
    <col min="15110" max="15110" width="14.81640625" style="1016" customWidth="1"/>
    <col min="15111" max="15111" width="9" style="1016" bestFit="1" customWidth="1"/>
    <col min="15112" max="15352" width="5" style="1016"/>
    <col min="15353" max="15353" width="4.6328125" style="1016" customWidth="1"/>
    <col min="15354" max="15354" width="2" style="1016" customWidth="1"/>
    <col min="15355" max="15355" width="40.6328125" style="1016" customWidth="1"/>
    <col min="15356" max="15356" width="3.54296875" style="1016" customWidth="1"/>
    <col min="15357" max="15357" width="11.08984375" style="1016" customWidth="1"/>
    <col min="15358" max="15358" width="2.6328125" style="1016" customWidth="1"/>
    <col min="15359" max="15359" width="11.1796875" style="1016" customWidth="1"/>
    <col min="15360" max="15360" width="2.6328125" style="1016" customWidth="1"/>
    <col min="15361" max="15361" width="11.1796875" style="1016" customWidth="1"/>
    <col min="15362" max="15362" width="2.6328125" style="1016" customWidth="1"/>
    <col min="15363" max="15363" width="19.08984375" style="1016" bestFit="1" customWidth="1"/>
    <col min="15364" max="15364" width="1.90625" style="1016" customWidth="1"/>
    <col min="15365" max="15365" width="6.6328125" style="1016" customWidth="1"/>
    <col min="15366" max="15366" width="14.81640625" style="1016" customWidth="1"/>
    <col min="15367" max="15367" width="9" style="1016" bestFit="1" customWidth="1"/>
    <col min="15368" max="15608" width="5" style="1016"/>
    <col min="15609" max="15609" width="4.6328125" style="1016" customWidth="1"/>
    <col min="15610" max="15610" width="2" style="1016" customWidth="1"/>
    <col min="15611" max="15611" width="40.6328125" style="1016" customWidth="1"/>
    <col min="15612" max="15612" width="3.54296875" style="1016" customWidth="1"/>
    <col min="15613" max="15613" width="11.08984375" style="1016" customWidth="1"/>
    <col min="15614" max="15614" width="2.6328125" style="1016" customWidth="1"/>
    <col min="15615" max="15615" width="11.1796875" style="1016" customWidth="1"/>
    <col min="15616" max="15616" width="2.6328125" style="1016" customWidth="1"/>
    <col min="15617" max="15617" width="11.1796875" style="1016" customWidth="1"/>
    <col min="15618" max="15618" width="2.6328125" style="1016" customWidth="1"/>
    <col min="15619" max="15619" width="19.08984375" style="1016" bestFit="1" customWidth="1"/>
    <col min="15620" max="15620" width="1.90625" style="1016" customWidth="1"/>
    <col min="15621" max="15621" width="6.6328125" style="1016" customWidth="1"/>
    <col min="15622" max="15622" width="14.81640625" style="1016" customWidth="1"/>
    <col min="15623" max="15623" width="9" style="1016" bestFit="1" customWidth="1"/>
    <col min="15624" max="15864" width="5" style="1016"/>
    <col min="15865" max="15865" width="4.6328125" style="1016" customWidth="1"/>
    <col min="15866" max="15866" width="2" style="1016" customWidth="1"/>
    <col min="15867" max="15867" width="40.6328125" style="1016" customWidth="1"/>
    <col min="15868" max="15868" width="3.54296875" style="1016" customWidth="1"/>
    <col min="15869" max="15869" width="11.08984375" style="1016" customWidth="1"/>
    <col min="15870" max="15870" width="2.6328125" style="1016" customWidth="1"/>
    <col min="15871" max="15871" width="11.1796875" style="1016" customWidth="1"/>
    <col min="15872" max="15872" width="2.6328125" style="1016" customWidth="1"/>
    <col min="15873" max="15873" width="11.1796875" style="1016" customWidth="1"/>
    <col min="15874" max="15874" width="2.6328125" style="1016" customWidth="1"/>
    <col min="15875" max="15875" width="19.08984375" style="1016" bestFit="1" customWidth="1"/>
    <col min="15876" max="15876" width="1.90625" style="1016" customWidth="1"/>
    <col min="15877" max="15877" width="6.6328125" style="1016" customWidth="1"/>
    <col min="15878" max="15878" width="14.81640625" style="1016" customWidth="1"/>
    <col min="15879" max="15879" width="9" style="1016" bestFit="1" customWidth="1"/>
    <col min="15880" max="16120" width="5" style="1016"/>
    <col min="16121" max="16121" width="4.6328125" style="1016" customWidth="1"/>
    <col min="16122" max="16122" width="2" style="1016" customWidth="1"/>
    <col min="16123" max="16123" width="40.6328125" style="1016" customWidth="1"/>
    <col min="16124" max="16124" width="3.54296875" style="1016" customWidth="1"/>
    <col min="16125" max="16125" width="11.08984375" style="1016" customWidth="1"/>
    <col min="16126" max="16126" width="2.6328125" style="1016" customWidth="1"/>
    <col min="16127" max="16127" width="11.1796875" style="1016" customWidth="1"/>
    <col min="16128" max="16128" width="2.6328125" style="1016" customWidth="1"/>
    <col min="16129" max="16129" width="11.1796875" style="1016" customWidth="1"/>
    <col min="16130" max="16130" width="2.6328125" style="1016" customWidth="1"/>
    <col min="16131" max="16131" width="19.08984375" style="1016" bestFit="1" customWidth="1"/>
    <col min="16132" max="16132" width="1.90625" style="1016" customWidth="1"/>
    <col min="16133" max="16133" width="6.6328125" style="1016" customWidth="1"/>
    <col min="16134" max="16134" width="14.81640625" style="1016" customWidth="1"/>
    <col min="16135" max="16135" width="9" style="1016" bestFit="1" customWidth="1"/>
    <col min="16136" max="16384" width="5" style="1016"/>
  </cols>
  <sheetData>
    <row r="1" spans="1:34">
      <c r="AG1"/>
      <c r="AH1" s="82" t="str">
        <f>'Attachment H-11A '!K1&amp;""&amp;", Attachment 17"</f>
        <v>Attachment H -11A, Attachment 17</v>
      </c>
    </row>
    <row r="2" spans="1:34">
      <c r="AG2"/>
      <c r="AH2" s="82" t="s">
        <v>188</v>
      </c>
    </row>
    <row r="3" spans="1:34" ht="17.399999999999999">
      <c r="M3" s="1275" t="s">
        <v>1127</v>
      </c>
      <c r="N3" s="1276"/>
      <c r="O3" s="1275"/>
      <c r="P3" s="1276"/>
      <c r="AG3"/>
      <c r="AH3" s="6" t="str">
        <f>'Attachment H-11A '!K4</f>
        <v>For the 12 months ended 12/31/2022</v>
      </c>
    </row>
    <row r="5" spans="1:34">
      <c r="C5" s="1015" t="s">
        <v>806</v>
      </c>
      <c r="E5" s="1015" t="str">
        <f>"("&amp;CHAR(CODE(MID(C5,2,1))+1)&amp;")"</f>
        <v>(B)</v>
      </c>
      <c r="F5" s="1015"/>
      <c r="G5" s="1015" t="str">
        <f t="shared" ref="G5:K5" si="0">"("&amp;CHAR(CODE(MID(E5,2,1))+1)&amp;")"</f>
        <v>(C)</v>
      </c>
      <c r="H5" s="1015"/>
      <c r="I5" s="1015" t="str">
        <f t="shared" si="0"/>
        <v>(D)</v>
      </c>
      <c r="J5" s="1015"/>
      <c r="K5" s="1015" t="str">
        <f t="shared" si="0"/>
        <v>(E)</v>
      </c>
      <c r="M5" s="1015" t="str">
        <f>"("&amp;CHAR(CODE(MID(K5,2,1))+1)&amp;")"</f>
        <v>(F)</v>
      </c>
      <c r="O5" s="1015" t="str">
        <f>"("&amp;CHAR(CODE(MID(M5,2,1))+1)&amp;")"</f>
        <v>(G)</v>
      </c>
      <c r="Q5" s="1015" t="str">
        <f>"("&amp;CHAR(CODE(MID(O5,2,1))+1)&amp;")"</f>
        <v>(H)</v>
      </c>
      <c r="S5" s="1015" t="str">
        <f>"("&amp;CHAR(CODE(MID(Q5,2,1))+1)&amp;")"</f>
        <v>(I)</v>
      </c>
      <c r="U5" s="1015" t="str">
        <f>"("&amp;CHAR(CODE(MID(S5,2,1))+1)&amp;")"</f>
        <v>(J)</v>
      </c>
      <c r="W5" s="1015" t="str">
        <f>"("&amp;CHAR(CODE(MID(U5,2,1))+1)&amp;")"</f>
        <v>(K)</v>
      </c>
      <c r="Y5" s="1015" t="str">
        <f>"("&amp;CHAR(CODE(MID(W5,2,1))+1)&amp;")"</f>
        <v>(L)</v>
      </c>
      <c r="AA5" s="1015" t="str">
        <f>"("&amp;CHAR(CODE(MID(Y5,2,1))+1)&amp;")"</f>
        <v>(M)</v>
      </c>
      <c r="AB5" s="1015"/>
      <c r="AC5" s="1015" t="str">
        <f t="shared" ref="AC5:AG5" si="1">"("&amp;CHAR(CODE(MID(AA5,2,1))+1)&amp;")"</f>
        <v>(N)</v>
      </c>
      <c r="AD5" s="1015"/>
      <c r="AE5" s="1015" t="str">
        <f t="shared" si="1"/>
        <v>(O)</v>
      </c>
      <c r="AF5" s="1015"/>
      <c r="AG5" s="1015" t="str">
        <f t="shared" si="1"/>
        <v>(P)</v>
      </c>
    </row>
    <row r="6" spans="1:34">
      <c r="E6" s="1015"/>
      <c r="G6" s="1015"/>
      <c r="I6" s="1015"/>
      <c r="K6" s="1015"/>
      <c r="M6" s="1015"/>
      <c r="O6" s="1015"/>
      <c r="Q6" s="1015"/>
      <c r="S6" s="1015"/>
      <c r="U6" s="1015"/>
      <c r="W6" s="1015"/>
      <c r="Y6" s="1015"/>
      <c r="AA6" s="1015"/>
      <c r="AC6" s="1015"/>
      <c r="AH6" s="1083"/>
    </row>
    <row r="7" spans="1:34">
      <c r="E7" s="1015"/>
      <c r="G7" s="1146">
        <v>2021</v>
      </c>
      <c r="I7" s="1084">
        <f>$G$7+1</f>
        <v>2022</v>
      </c>
      <c r="K7" s="1084">
        <f>$G$7+1</f>
        <v>2022</v>
      </c>
      <c r="M7" s="1084">
        <f>$G$7+1</f>
        <v>2022</v>
      </c>
      <c r="O7" s="1084">
        <f>$G$7+1</f>
        <v>2022</v>
      </c>
      <c r="Q7" s="1084">
        <f>$G$7+1</f>
        <v>2022</v>
      </c>
      <c r="S7" s="1084">
        <f>$G$7+1</f>
        <v>2022</v>
      </c>
      <c r="U7" s="1084">
        <f>$G$7+1</f>
        <v>2022</v>
      </c>
      <c r="W7" s="1084">
        <f>$G$7+1</f>
        <v>2022</v>
      </c>
      <c r="Y7" s="1084">
        <f>$G$7+1</f>
        <v>2022</v>
      </c>
      <c r="AA7" s="1084">
        <f>$G$7+1</f>
        <v>2022</v>
      </c>
      <c r="AC7" s="1084">
        <f>$G$7+1</f>
        <v>2022</v>
      </c>
      <c r="AE7" s="1084">
        <f>$G$7+1</f>
        <v>2022</v>
      </c>
      <c r="AH7" s="1083"/>
    </row>
    <row r="8" spans="1:34" ht="37.950000000000003" customHeight="1">
      <c r="A8" s="1085" t="s">
        <v>850</v>
      </c>
      <c r="B8" s="1086"/>
      <c r="C8" s="1087" t="s">
        <v>851</v>
      </c>
      <c r="D8" s="1086"/>
      <c r="E8" s="1088" t="s">
        <v>852</v>
      </c>
      <c r="F8" s="1086"/>
      <c r="G8" s="1090" t="s">
        <v>237</v>
      </c>
      <c r="H8" s="1086"/>
      <c r="I8" s="1090" t="s">
        <v>853</v>
      </c>
      <c r="J8" s="1086"/>
      <c r="K8" s="1090" t="s">
        <v>854</v>
      </c>
      <c r="L8" s="1086"/>
      <c r="M8" s="1090" t="s">
        <v>855</v>
      </c>
      <c r="N8" s="1086"/>
      <c r="O8" s="1090" t="s">
        <v>856</v>
      </c>
      <c r="P8" s="1086"/>
      <c r="Q8" s="1090" t="s">
        <v>857</v>
      </c>
      <c r="R8" s="1086"/>
      <c r="S8" s="1090" t="s">
        <v>858</v>
      </c>
      <c r="T8" s="1086"/>
      <c r="U8" s="1090" t="s">
        <v>859</v>
      </c>
      <c r="V8" s="1086"/>
      <c r="W8" s="1090" t="s">
        <v>860</v>
      </c>
      <c r="X8" s="1086"/>
      <c r="Y8" s="1090" t="s">
        <v>861</v>
      </c>
      <c r="Z8" s="1086"/>
      <c r="AA8" s="1090" t="s">
        <v>862</v>
      </c>
      <c r="AB8" s="1086"/>
      <c r="AC8" s="1090" t="s">
        <v>863</v>
      </c>
      <c r="AD8" s="1086"/>
      <c r="AE8" s="1090" t="s">
        <v>237</v>
      </c>
      <c r="AF8" s="1086"/>
      <c r="AG8" s="1090" t="s">
        <v>864</v>
      </c>
      <c r="AH8" s="1091"/>
    </row>
    <row r="9" spans="1:34">
      <c r="A9" s="1092"/>
      <c r="B9" s="1093"/>
      <c r="C9" s="1094"/>
      <c r="D9" s="1093"/>
      <c r="E9" s="1095"/>
      <c r="F9" s="1093"/>
      <c r="G9" s="1095"/>
      <c r="H9" s="1093"/>
      <c r="I9" s="1095"/>
      <c r="J9" s="1093"/>
      <c r="K9" s="1095"/>
      <c r="L9" s="1093"/>
      <c r="M9" s="1095"/>
      <c r="N9" s="1093"/>
      <c r="O9" s="1095"/>
      <c r="P9" s="1093"/>
      <c r="Q9" s="1095"/>
      <c r="R9" s="1093"/>
      <c r="S9" s="1095"/>
      <c r="T9" s="1093"/>
      <c r="U9" s="1095"/>
      <c r="V9" s="1093"/>
      <c r="W9" s="1095"/>
      <c r="X9" s="1093"/>
      <c r="Y9" s="1095"/>
      <c r="Z9" s="1093"/>
      <c r="AA9" s="1095"/>
      <c r="AB9" s="1093"/>
      <c r="AC9" s="1095"/>
      <c r="AD9" s="1093"/>
      <c r="AE9" s="1095"/>
      <c r="AF9" s="1093"/>
      <c r="AG9" s="1095"/>
      <c r="AH9" s="1091"/>
    </row>
    <row r="10" spans="1:34">
      <c r="A10" s="1092">
        <v>1</v>
      </c>
      <c r="B10" s="1093"/>
      <c r="C10" s="1094" t="s">
        <v>929</v>
      </c>
      <c r="D10" s="1093"/>
      <c r="E10" s="1095"/>
      <c r="F10" s="1093"/>
      <c r="G10" s="1095"/>
      <c r="H10" s="1093"/>
      <c r="I10" s="1095"/>
      <c r="J10" s="1093"/>
      <c r="K10" s="1095"/>
      <c r="L10" s="1093"/>
      <c r="M10" s="1095"/>
      <c r="N10" s="1093"/>
      <c r="O10" s="1095"/>
      <c r="P10" s="1093"/>
      <c r="Q10" s="1095"/>
      <c r="R10" s="1093"/>
      <c r="S10" s="1095"/>
      <c r="T10" s="1093"/>
      <c r="U10" s="1095"/>
      <c r="V10" s="1093"/>
      <c r="W10" s="1095"/>
      <c r="X10" s="1093"/>
      <c r="Y10" s="1095"/>
      <c r="Z10" s="1093"/>
      <c r="AA10" s="1095"/>
      <c r="AB10" s="1093"/>
      <c r="AC10" s="1095"/>
      <c r="AD10" s="1093"/>
      <c r="AE10" s="1095"/>
      <c r="AF10" s="1093"/>
      <c r="AG10" s="1095"/>
      <c r="AH10" s="1091"/>
    </row>
    <row r="11" spans="1:34">
      <c r="C11" s="1083"/>
      <c r="E11" s="1083"/>
      <c r="G11" s="1083"/>
      <c r="I11" s="1083"/>
      <c r="K11" s="1083"/>
      <c r="M11" s="1083"/>
      <c r="O11" s="1083"/>
      <c r="Q11" s="1083"/>
      <c r="S11" s="1083"/>
      <c r="U11" s="1083"/>
      <c r="W11" s="1083"/>
      <c r="Y11" s="1083"/>
      <c r="AA11" s="1083"/>
      <c r="AC11" s="1083"/>
      <c r="AH11" s="1083"/>
    </row>
    <row r="12" spans="1:34">
      <c r="A12" s="1083" t="s">
        <v>482</v>
      </c>
      <c r="C12" s="1096" t="s">
        <v>865</v>
      </c>
      <c r="E12" s="1096"/>
      <c r="G12" s="1096"/>
      <c r="I12" s="1096"/>
      <c r="K12" s="1096"/>
      <c r="M12" s="1096"/>
      <c r="O12" s="1096"/>
      <c r="Q12" s="1096"/>
      <c r="S12" s="1096"/>
      <c r="U12" s="1096"/>
      <c r="W12" s="1096"/>
      <c r="Y12" s="1096"/>
      <c r="AA12" s="1096"/>
      <c r="AC12" s="1096"/>
      <c r="AE12" s="1096"/>
      <c r="AG12" s="1097">
        <f>SUM(G12:AE12)/13</f>
        <v>0</v>
      </c>
    </row>
    <row r="13" spans="1:34">
      <c r="A13" s="1083" t="s">
        <v>483</v>
      </c>
      <c r="C13" s="1096" t="s">
        <v>866</v>
      </c>
      <c r="E13" s="1096"/>
      <c r="G13" s="1096"/>
      <c r="I13" s="1096"/>
      <c r="K13" s="1096"/>
      <c r="M13" s="1096"/>
      <c r="O13" s="1096"/>
      <c r="Q13" s="1096"/>
      <c r="S13" s="1096"/>
      <c r="U13" s="1096"/>
      <c r="W13" s="1096"/>
      <c r="Y13" s="1096"/>
      <c r="AA13" s="1096"/>
      <c r="AC13" s="1096"/>
      <c r="AE13" s="1096"/>
      <c r="AG13" s="1097">
        <f t="shared" ref="AG13" si="2">SUM(G13:AE13)/13</f>
        <v>0</v>
      </c>
    </row>
    <row r="14" spans="1:34">
      <c r="A14" s="1083">
        <v>3</v>
      </c>
      <c r="C14" s="1016" t="s">
        <v>867</v>
      </c>
      <c r="E14" s="1098"/>
      <c r="G14" s="1099">
        <f>SUM(G12:G13)</f>
        <v>0</v>
      </c>
      <c r="I14" s="1099">
        <f>SUM(I12:I13)</f>
        <v>0</v>
      </c>
      <c r="K14" s="1099">
        <f>SUM(K12:K13)</f>
        <v>0</v>
      </c>
      <c r="M14" s="1099">
        <f>SUM(M12:M13)</f>
        <v>0</v>
      </c>
      <c r="O14" s="1099">
        <f>SUM(O12:O13)</f>
        <v>0</v>
      </c>
      <c r="Q14" s="1099">
        <f>SUM(Q12:Q13)</f>
        <v>0</v>
      </c>
      <c r="S14" s="1099">
        <f>SUM(S12:S13)</f>
        <v>0</v>
      </c>
      <c r="U14" s="1099">
        <f>SUM(U12:U13)</f>
        <v>0</v>
      </c>
      <c r="W14" s="1099">
        <f>SUM(W12:W13)</f>
        <v>0</v>
      </c>
      <c r="Y14" s="1099">
        <f>SUM(Y12:Y13)</f>
        <v>0</v>
      </c>
      <c r="AA14" s="1099">
        <f>SUM(AA12:AA13)</f>
        <v>0</v>
      </c>
      <c r="AC14" s="1099">
        <f>SUM(AC12:AC13)</f>
        <v>0</v>
      </c>
      <c r="AE14" s="1099">
        <f>SUM(AE12:AE13)</f>
        <v>0</v>
      </c>
      <c r="AG14" s="1099">
        <f>SUM(AG12:AG13)</f>
        <v>0</v>
      </c>
    </row>
    <row r="16" spans="1:34">
      <c r="A16" s="1016"/>
      <c r="C16" s="1100" t="s">
        <v>196</v>
      </c>
      <c r="E16" s="1016"/>
      <c r="AE16" s="1097"/>
    </row>
    <row r="17" spans="1:15" ht="15.6" customHeight="1">
      <c r="A17" s="1016"/>
      <c r="C17" s="1016" t="s">
        <v>1118</v>
      </c>
      <c r="E17" s="1016"/>
      <c r="G17" s="1016"/>
      <c r="I17" s="1016"/>
      <c r="K17" s="1101"/>
      <c r="L17" s="1101"/>
      <c r="M17" s="1101"/>
      <c r="N17" s="1101"/>
      <c r="O17" s="1101"/>
    </row>
    <row r="18" spans="1:15">
      <c r="C18" s="1016" t="s">
        <v>930</v>
      </c>
      <c r="I18" s="1102"/>
      <c r="K18" s="1101"/>
      <c r="L18" s="1101"/>
      <c r="M18" s="1101"/>
      <c r="N18" s="1101"/>
      <c r="O18" s="1101"/>
    </row>
    <row r="21" spans="1:15">
      <c r="C21" s="1103"/>
      <c r="E21" s="1102"/>
      <c r="G21" s="1102"/>
    </row>
  </sheetData>
  <customSheetViews>
    <customSheetView guid="{B991F324-919F-4749-8E3C-A09B2FA7BB10}" scale="60" showPageBreaks="1" view="pageBreakPreview" topLeftCell="E1">
      <selection activeCell="AG14" sqref="AG14"/>
      <pageMargins left="0.7" right="0.7" top="0.75" bottom="0.75" header="0.3" footer="0.3"/>
      <pageSetup scale="30" orientation="portrait" r:id="rId1"/>
    </customSheetView>
    <customSheetView guid="{901B528B-D65D-48CA-A638-FD9B4E5BB6D4}" scale="60" showPageBreaks="1" view="pageBreakPreview" topLeftCell="E1">
      <selection activeCell="AG14" sqref="AG14"/>
      <pageMargins left="0.7" right="0.7" top="0.75" bottom="0.75" header="0.3" footer="0.3"/>
      <pageSetup scale="30" orientation="portrait" r:id="rId2"/>
    </customSheetView>
    <customSheetView guid="{0DE222E8-ADD6-4F4B-9601-960D8109381F}" scale="60" showPageBreaks="1" view="pageBreakPreview" topLeftCell="E1">
      <selection activeCell="E1" sqref="E1"/>
      <pageMargins left="0.7" right="0.7" top="0.75" bottom="0.75" header="0.3" footer="0.3"/>
      <pageSetup scale="30" orientation="portrait" r:id="rId3"/>
    </customSheetView>
  </customSheetViews>
  <pageMargins left="0.7" right="0.7" top="0.75" bottom="0.75" header="0.3" footer="0.3"/>
  <pageSetup scale="30" orientation="portrait"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dimension ref="A1:K17"/>
  <sheetViews>
    <sheetView view="pageBreakPreview" zoomScale="80" zoomScaleNormal="80" zoomScaleSheetLayoutView="80" workbookViewId="0">
      <selection activeCell="B35" sqref="B35"/>
    </sheetView>
  </sheetViews>
  <sheetFormatPr defaultColWidth="8.90625" defaultRowHeight="13.2"/>
  <cols>
    <col min="1" max="1" width="8.90625" style="128"/>
    <col min="2" max="2" width="2.81640625" style="128" customWidth="1"/>
    <col min="3" max="3" width="24" style="128" customWidth="1"/>
    <col min="4" max="6" width="17.54296875" style="128" customWidth="1"/>
    <col min="7" max="7" width="21.54296875" style="128" customWidth="1"/>
    <col min="8" max="9" width="15.81640625" style="128" customWidth="1"/>
    <col min="10" max="16384" width="8.90625" style="128"/>
  </cols>
  <sheetData>
    <row r="1" spans="1:11" ht="15.6">
      <c r="A1" s="52"/>
      <c r="B1" s="52"/>
      <c r="K1" s="82" t="str">
        <f>'Attachment H-11A '!K1&amp;""&amp;", Attachment 18"</f>
        <v>Attachment H -11A, Attachment 18</v>
      </c>
    </row>
    <row r="2" spans="1:11" ht="15.6">
      <c r="A2" s="129"/>
      <c r="B2" s="129"/>
      <c r="D2" s="131"/>
      <c r="E2" s="131"/>
      <c r="F2" s="131"/>
      <c r="K2" s="82" t="s">
        <v>188</v>
      </c>
    </row>
    <row r="3" spans="1:11" ht="15.6">
      <c r="K3" s="6" t="str">
        <f>'Attachment H-11A '!K4</f>
        <v>For the 12 months ended 12/31/2022</v>
      </c>
    </row>
    <row r="4" spans="1:11" ht="13.8" thickBot="1">
      <c r="B4" s="146" t="s">
        <v>319</v>
      </c>
      <c r="C4" s="146"/>
      <c r="D4" s="146"/>
      <c r="E4" s="146"/>
      <c r="F4" s="146"/>
      <c r="G4" s="146"/>
      <c r="H4" s="146"/>
      <c r="I4" s="146"/>
    </row>
    <row r="6" spans="1:11">
      <c r="C6" s="128" t="s">
        <v>314</v>
      </c>
      <c r="D6" s="147">
        <v>0.21</v>
      </c>
      <c r="E6" s="1217"/>
      <c r="F6" s="1217"/>
    </row>
    <row r="7" spans="1:11" ht="34.5" customHeight="1">
      <c r="C7" s="666" t="s">
        <v>1108</v>
      </c>
    </row>
    <row r="8" spans="1:11">
      <c r="C8" s="148"/>
    </row>
    <row r="9" spans="1:11">
      <c r="C9" s="148"/>
    </row>
    <row r="10" spans="1:11" ht="13.8" thickBot="1">
      <c r="B10" s="146" t="s">
        <v>318</v>
      </c>
      <c r="C10" s="146"/>
      <c r="D10" s="146"/>
      <c r="E10" s="146"/>
      <c r="F10" s="146"/>
      <c r="G10" s="146"/>
      <c r="H10" s="146"/>
      <c r="I10" s="146"/>
    </row>
    <row r="11" spans="1:11">
      <c r="B11" s="150"/>
      <c r="C11" s="150"/>
      <c r="D11" s="150"/>
      <c r="E11" s="150"/>
      <c r="F11" s="150"/>
      <c r="G11" s="150"/>
      <c r="H11" s="150"/>
      <c r="I11" s="150"/>
    </row>
    <row r="12" spans="1:11">
      <c r="D12" s="1172" t="s">
        <v>1226</v>
      </c>
      <c r="E12" s="1172"/>
      <c r="F12" s="1172"/>
      <c r="G12" s="144" t="s">
        <v>320</v>
      </c>
    </row>
    <row r="13" spans="1:11" ht="58.5" customHeight="1">
      <c r="D13" s="144"/>
      <c r="E13" s="144"/>
      <c r="F13" s="144"/>
      <c r="G13" s="145" t="s">
        <v>1108</v>
      </c>
    </row>
    <row r="14" spans="1:11">
      <c r="C14" s="128" t="s">
        <v>315</v>
      </c>
      <c r="D14" s="147">
        <v>6.5000000000000002E-2</v>
      </c>
      <c r="E14" s="147"/>
      <c r="F14" s="147"/>
    </row>
    <row r="15" spans="1:11">
      <c r="C15" s="128" t="s">
        <v>316</v>
      </c>
      <c r="D15" s="147">
        <v>0.90742199999999995</v>
      </c>
      <c r="E15" s="147"/>
      <c r="F15" s="147"/>
    </row>
    <row r="16" spans="1:11" ht="13.8" thickBot="1">
      <c r="C16" s="128" t="s">
        <v>317</v>
      </c>
      <c r="D16" s="149">
        <f t="shared" ref="D16:F16" si="0">D14*D15</f>
        <v>5.8982429999999995E-2</v>
      </c>
      <c r="E16" s="149">
        <f t="shared" si="0"/>
        <v>0</v>
      </c>
      <c r="F16" s="149">
        <f t="shared" si="0"/>
        <v>0</v>
      </c>
      <c r="G16" s="149">
        <f>SUM(D16:F16)</f>
        <v>5.8982429999999995E-2</v>
      </c>
    </row>
    <row r="17" ht="13.8" thickTop="1"/>
  </sheetData>
  <customSheetViews>
    <customSheetView guid="{B991F324-919F-4749-8E3C-A09B2FA7BB10}" scale="80" showPageBreaks="1" printArea="1" view="pageBreakPreview">
      <selection activeCell="D15" sqref="D15"/>
      <pageMargins left="0.7" right="0.7" top="0.75" bottom="0.75" header="0.3" footer="0.3"/>
      <pageSetup scale="47" orientation="portrait" r:id="rId1"/>
      <headerFooter alignWithMargins="0"/>
    </customSheetView>
    <customSheetView guid="{901B528B-D65D-48CA-A638-FD9B4E5BB6D4}" scale="80" showPageBreaks="1" printArea="1" view="pageBreakPreview">
      <selection activeCell="D15" sqref="D15"/>
      <pageMargins left="0.7" right="0.7" top="0.75" bottom="0.75" header="0.3" footer="0.3"/>
      <pageSetup scale="47" orientation="portrait" r:id="rId2"/>
      <headerFooter alignWithMargins="0"/>
    </customSheetView>
    <customSheetView guid="{0DE222E8-ADD6-4F4B-9601-960D8109381F}" scale="80" showPageBreaks="1" printArea="1" view="pageBreakPreview">
      <pageMargins left="0.7" right="0.7" top="0.75" bottom="0.75" header="0.3" footer="0.3"/>
      <pageSetup scale="47" orientation="portrait" r:id="rId3"/>
      <headerFooter alignWithMargins="0"/>
    </customSheetView>
  </customSheetViews>
  <pageMargins left="0.7" right="0.7" top="0.75" bottom="0.75" header="0.3" footer="0.3"/>
  <pageSetup scale="47" orientation="portrait" r:id="rId4"/>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E251-9F92-492F-BC81-3BE62E464A87}">
  <dimension ref="A3:AE36"/>
  <sheetViews>
    <sheetView view="pageBreakPreview" zoomScale="60" zoomScaleNormal="100" zoomScaleSheetLayoutView="80" workbookViewId="0">
      <selection activeCell="B35" sqref="B35"/>
    </sheetView>
  </sheetViews>
  <sheetFormatPr defaultRowHeight="15"/>
  <cols>
    <col min="1" max="1" width="6.36328125" customWidth="1"/>
    <col min="2" max="2" width="2" customWidth="1"/>
    <col min="3" max="3" width="21.453125" customWidth="1"/>
    <col min="4" max="4" width="14.453125" customWidth="1"/>
    <col min="5" max="5" width="13.1796875" style="1218" customWidth="1"/>
    <col min="6" max="6" width="15.08984375" customWidth="1"/>
    <col min="7" max="7" width="14.36328125" customWidth="1"/>
    <col min="8" max="8" width="7.1796875" customWidth="1"/>
    <col min="9" max="9" width="15" customWidth="1"/>
    <col min="10" max="10" width="14.90625" customWidth="1"/>
    <col min="11" max="11" width="12.1796875" customWidth="1"/>
    <col min="12" max="12" width="12.08984375" customWidth="1"/>
    <col min="13" max="13" width="12.1796875" customWidth="1"/>
    <col min="14" max="14" width="12.90625" customWidth="1"/>
    <col min="15" max="15" width="10.1796875" bestFit="1" customWidth="1"/>
    <col min="16" max="16" width="11.36328125" customWidth="1"/>
    <col min="17" max="22" width="10.1796875" bestFit="1" customWidth="1"/>
    <col min="23" max="23" width="12.54296875" customWidth="1"/>
    <col min="24" max="24" width="10" customWidth="1"/>
    <col min="25" max="25" width="12.1796875" customWidth="1"/>
    <col min="26" max="26" width="11.81640625" customWidth="1"/>
    <col min="27" max="27" width="9.90625" customWidth="1"/>
    <col min="28" max="28" width="33.90625" customWidth="1"/>
    <col min="29" max="29" width="11.81640625" customWidth="1"/>
    <col min="30" max="30" width="29.1796875" bestFit="1" customWidth="1"/>
  </cols>
  <sheetData>
    <row r="3" spans="1:31" ht="15.6">
      <c r="AB3" s="1164" t="str">
        <f>'Attachment H-11A '!K1&amp;""&amp;", Attachment 19"</f>
        <v>Attachment H -11A, Attachment 19</v>
      </c>
      <c r="AC3" s="1162"/>
      <c r="AD3" s="1164"/>
    </row>
    <row r="4" spans="1:31" ht="15.6">
      <c r="N4" s="1212"/>
      <c r="AB4" s="1164" t="s">
        <v>188</v>
      </c>
      <c r="AC4" s="1162"/>
      <c r="AD4" s="1164"/>
    </row>
    <row r="5" spans="1:31" ht="17.399999999999999">
      <c r="M5" s="1274" t="s">
        <v>1136</v>
      </c>
      <c r="N5" s="1274"/>
      <c r="AB5" s="1165" t="str">
        <f>'Attachment H-11A '!K4</f>
        <v>For the 12 months ended 12/31/2022</v>
      </c>
      <c r="AC5" s="1162"/>
      <c r="AD5" s="1165"/>
    </row>
    <row r="9" spans="1:31" ht="15.6">
      <c r="A9" s="1083"/>
      <c r="B9" s="1016"/>
      <c r="C9" s="1015" t="s">
        <v>806</v>
      </c>
      <c r="D9" s="1015" t="str">
        <f>"("&amp;CHAR(CODE(MID(C9,2,1))+1)&amp;")"</f>
        <v>(B)</v>
      </c>
      <c r="E9" s="1015" t="str">
        <f>"("&amp;CHAR(CODE(MID(D9,2,1))+1)&amp;")"</f>
        <v>(C)</v>
      </c>
      <c r="F9" s="1015" t="str">
        <f t="shared" ref="F9:H9" si="0">"("&amp;CHAR(CODE(MID(E9,2,1))+1)&amp;")"</f>
        <v>(D)</v>
      </c>
      <c r="G9" s="1015" t="str">
        <f t="shared" si="0"/>
        <v>(E)</v>
      </c>
      <c r="H9" s="1015" t="str">
        <f t="shared" si="0"/>
        <v>(F)</v>
      </c>
      <c r="I9" s="1015" t="str">
        <f t="shared" ref="I9:AA9" si="1">"("&amp;CHAR(CODE(MID(H9,2,1))+1)&amp;")"</f>
        <v>(G)</v>
      </c>
      <c r="J9" s="1015" t="str">
        <f t="shared" si="1"/>
        <v>(H)</v>
      </c>
      <c r="K9" s="1015" t="str">
        <f t="shared" si="1"/>
        <v>(I)</v>
      </c>
      <c r="L9" s="1015" t="str">
        <f t="shared" si="1"/>
        <v>(J)</v>
      </c>
      <c r="M9" s="1015" t="str">
        <f t="shared" si="1"/>
        <v>(K)</v>
      </c>
      <c r="N9" s="1015" t="str">
        <f t="shared" si="1"/>
        <v>(L)</v>
      </c>
      <c r="O9" s="1015" t="str">
        <f t="shared" si="1"/>
        <v>(M)</v>
      </c>
      <c r="P9" s="1015" t="str">
        <f t="shared" si="1"/>
        <v>(N)</v>
      </c>
      <c r="Q9" s="1015" t="str">
        <f t="shared" si="1"/>
        <v>(O)</v>
      </c>
      <c r="R9" s="1015" t="str">
        <f t="shared" si="1"/>
        <v>(P)</v>
      </c>
      <c r="S9" s="1015" t="str">
        <f t="shared" si="1"/>
        <v>(Q)</v>
      </c>
      <c r="T9" s="1015" t="str">
        <f t="shared" si="1"/>
        <v>(R)</v>
      </c>
      <c r="U9" s="1015" t="str">
        <f t="shared" si="1"/>
        <v>(S)</v>
      </c>
      <c r="V9" s="1015" t="str">
        <f t="shared" si="1"/>
        <v>(T)</v>
      </c>
      <c r="W9" s="1015" t="str">
        <f t="shared" si="1"/>
        <v>(U)</v>
      </c>
      <c r="X9" s="1015" t="str">
        <f t="shared" si="1"/>
        <v>(V)</v>
      </c>
      <c r="Y9" s="1015" t="str">
        <f t="shared" si="1"/>
        <v>(W)</v>
      </c>
      <c r="Z9" s="1015" t="str">
        <f t="shared" si="1"/>
        <v>(X)</v>
      </c>
      <c r="AA9" s="1015" t="str">
        <f t="shared" si="1"/>
        <v>(Y)</v>
      </c>
      <c r="AB9" s="1183"/>
      <c r="AC9" s="1183"/>
      <c r="AD9" s="1183"/>
      <c r="AE9" s="343"/>
    </row>
    <row r="10" spans="1:31" ht="15.6">
      <c r="A10" s="1083"/>
      <c r="B10" s="1016"/>
      <c r="C10" s="1016"/>
      <c r="D10" s="1015"/>
      <c r="E10" s="1015"/>
      <c r="F10" s="1015"/>
      <c r="G10" s="1015"/>
      <c r="H10" s="1015"/>
      <c r="I10" s="1015"/>
      <c r="J10" s="1015"/>
      <c r="K10" s="1015"/>
      <c r="L10" s="1015"/>
      <c r="M10" s="1015"/>
      <c r="N10" s="1015"/>
      <c r="O10" s="1015"/>
      <c r="P10" s="1015"/>
      <c r="Q10" s="1015"/>
      <c r="R10" s="1015"/>
      <c r="S10" s="1015"/>
      <c r="T10" s="1015"/>
      <c r="U10" s="1015"/>
      <c r="V10" s="1015"/>
      <c r="W10" s="1015"/>
      <c r="X10" s="1015"/>
      <c r="Y10" s="1083"/>
      <c r="Z10" s="1083"/>
      <c r="AA10" s="1083"/>
      <c r="AB10" s="1184"/>
      <c r="AC10" s="1185"/>
      <c r="AD10" s="1185"/>
      <c r="AE10" s="343"/>
    </row>
    <row r="11" spans="1:31" ht="29.4" customHeight="1">
      <c r="A11" s="1083"/>
      <c r="B11" s="1016"/>
      <c r="C11" s="1016"/>
      <c r="D11" s="1016"/>
      <c r="E11" s="1016"/>
      <c r="F11" s="1016"/>
      <c r="G11" s="1016"/>
      <c r="H11" s="1016"/>
      <c r="I11" s="1016"/>
      <c r="J11" s="1016"/>
      <c r="K11" s="1016"/>
      <c r="L11" s="1016"/>
      <c r="M11" s="1016"/>
      <c r="N11" s="1213">
        <f>(MID(AB5:AB5,31,10)-1)</f>
        <v>2021</v>
      </c>
      <c r="O11" s="1084">
        <f t="shared" ref="O11:Z11" si="2">$N$11+1</f>
        <v>2022</v>
      </c>
      <c r="P11" s="1084">
        <f t="shared" si="2"/>
        <v>2022</v>
      </c>
      <c r="Q11" s="1084">
        <f t="shared" si="2"/>
        <v>2022</v>
      </c>
      <c r="R11" s="1084">
        <f t="shared" si="2"/>
        <v>2022</v>
      </c>
      <c r="S11" s="1084">
        <f t="shared" si="2"/>
        <v>2022</v>
      </c>
      <c r="T11" s="1084">
        <f t="shared" si="2"/>
        <v>2022</v>
      </c>
      <c r="U11" s="1084">
        <f t="shared" si="2"/>
        <v>2022</v>
      </c>
      <c r="V11" s="1084">
        <f t="shared" si="2"/>
        <v>2022</v>
      </c>
      <c r="W11" s="1084">
        <f t="shared" si="2"/>
        <v>2022</v>
      </c>
      <c r="X11" s="1084">
        <f t="shared" si="2"/>
        <v>2022</v>
      </c>
      <c r="Y11" s="1084">
        <f t="shared" si="2"/>
        <v>2022</v>
      </c>
      <c r="Z11" s="1084">
        <f t="shared" si="2"/>
        <v>2022</v>
      </c>
      <c r="AA11" s="1083"/>
      <c r="AB11" s="1184"/>
      <c r="AC11" s="1185"/>
      <c r="AD11" s="1185"/>
      <c r="AE11" s="343"/>
    </row>
    <row r="12" spans="1:31" ht="67.95" customHeight="1">
      <c r="A12" s="1085" t="s">
        <v>179</v>
      </c>
      <c r="B12" s="1148"/>
      <c r="C12" s="1089" t="s">
        <v>945</v>
      </c>
      <c r="D12" s="1089" t="s">
        <v>1033</v>
      </c>
      <c r="E12" s="1089" t="s">
        <v>938</v>
      </c>
      <c r="F12" s="1089" t="s">
        <v>939</v>
      </c>
      <c r="G12" s="1089" t="s">
        <v>910</v>
      </c>
      <c r="H12" s="1089" t="s">
        <v>940</v>
      </c>
      <c r="I12" s="1089" t="s">
        <v>909</v>
      </c>
      <c r="J12" s="1089" t="s">
        <v>944</v>
      </c>
      <c r="K12" s="1089" t="s">
        <v>918</v>
      </c>
      <c r="L12" s="1089" t="s">
        <v>907</v>
      </c>
      <c r="M12" s="1089" t="s">
        <v>941</v>
      </c>
      <c r="N12" s="1090" t="s">
        <v>237</v>
      </c>
      <c r="O12" s="1090" t="s">
        <v>853</v>
      </c>
      <c r="P12" s="1090" t="s">
        <v>854</v>
      </c>
      <c r="Q12" s="1090" t="s">
        <v>855</v>
      </c>
      <c r="R12" s="1090" t="s">
        <v>856</v>
      </c>
      <c r="S12" s="1090" t="s">
        <v>857</v>
      </c>
      <c r="T12" s="1090" t="s">
        <v>858</v>
      </c>
      <c r="U12" s="1090" t="s">
        <v>859</v>
      </c>
      <c r="V12" s="1090" t="s">
        <v>860</v>
      </c>
      <c r="W12" s="1090" t="s">
        <v>861</v>
      </c>
      <c r="X12" s="1090" t="s">
        <v>862</v>
      </c>
      <c r="Y12" s="1090" t="s">
        <v>863</v>
      </c>
      <c r="Z12" s="1090" t="s">
        <v>237</v>
      </c>
      <c r="AA12" s="1090" t="s">
        <v>942</v>
      </c>
      <c r="AB12" s="1186"/>
      <c r="AC12" s="1187"/>
      <c r="AD12" s="1187"/>
      <c r="AE12" s="343"/>
    </row>
    <row r="13" spans="1:31" ht="15.6">
      <c r="A13" s="1154">
        <v>1</v>
      </c>
      <c r="B13" s="1083"/>
      <c r="C13" s="1151"/>
      <c r="D13" s="1161"/>
      <c r="E13" s="1161"/>
      <c r="F13" s="1189"/>
      <c r="G13" s="1189"/>
      <c r="H13" s="1189"/>
      <c r="I13" s="1190"/>
      <c r="J13" s="1150">
        <f>IF(H13=0,0,(H13*12))</f>
        <v>0</v>
      </c>
      <c r="K13" s="1150">
        <f>IF(J13=0,G13,(G13-J13+12))</f>
        <v>0</v>
      </c>
      <c r="L13" s="1150">
        <f>IF(J13=0,0,IFERROR(F13/K13,0))</f>
        <v>0</v>
      </c>
      <c r="M13" s="1150">
        <f>L13*12</f>
        <v>0</v>
      </c>
      <c r="N13" s="1097">
        <f>F13</f>
        <v>0</v>
      </c>
      <c r="O13" s="1097">
        <f>N13-L13</f>
        <v>0</v>
      </c>
      <c r="P13" s="1097">
        <f>IF(O13-$L13&gt;=0,O13-$L13,0)</f>
        <v>0</v>
      </c>
      <c r="Q13" s="1097">
        <f t="shared" ref="Q13" si="3">IF(P13-$L13&gt;=0,P13-$L13,0)</f>
        <v>0</v>
      </c>
      <c r="R13" s="1097">
        <f t="shared" ref="R13" si="4">IF(Q13-$L13&gt;=0,Q13-$L13,0)</f>
        <v>0</v>
      </c>
      <c r="S13" s="1097">
        <f t="shared" ref="S13" si="5">IF(R13-$L13&gt;=0,R13-$L13,0)</f>
        <v>0</v>
      </c>
      <c r="T13" s="1097">
        <f t="shared" ref="T13" si="6">IF(S13-$L13&gt;=0,S13-$L13,0)</f>
        <v>0</v>
      </c>
      <c r="U13" s="1097">
        <f t="shared" ref="U13" si="7">IF(T13-$L13&gt;=0,T13-$L13,0)</f>
        <v>0</v>
      </c>
      <c r="V13" s="1097">
        <f t="shared" ref="V13" si="8">IF(U13-$L13&gt;=0,U13-$L13,0)</f>
        <v>0</v>
      </c>
      <c r="W13" s="1097">
        <f t="shared" ref="W13" si="9">IF(V13-$L13&gt;=0,V13-$L13,0)</f>
        <v>0</v>
      </c>
      <c r="X13" s="1097">
        <f>IF(W13-$L13&gt;=0,W13-$L13,0)</f>
        <v>0</v>
      </c>
      <c r="Y13" s="1097">
        <f t="shared" ref="Y13" si="10">IF(X13-$L13&gt;=0,X13-$L13,0)</f>
        <v>0</v>
      </c>
      <c r="Z13" s="1097">
        <f>IF(Y13-$L13&gt;=0,Y13-$L13,0)</f>
        <v>0</v>
      </c>
      <c r="AA13" s="1097">
        <f>SUM(N13:Z13)/13</f>
        <v>0</v>
      </c>
      <c r="AB13" s="1188"/>
      <c r="AC13" s="1098"/>
      <c r="AD13" s="1098"/>
      <c r="AE13" s="343"/>
    </row>
    <row r="14" spans="1:31" ht="15.6">
      <c r="A14" s="1154">
        <v>1.01</v>
      </c>
      <c r="B14" s="1016"/>
      <c r="C14" s="1151"/>
      <c r="D14" s="1161"/>
      <c r="E14" s="1161"/>
      <c r="F14" s="1189"/>
      <c r="G14" s="1189"/>
      <c r="H14" s="1189"/>
      <c r="I14" s="1190"/>
      <c r="J14" s="1150">
        <f>IF(H14=0,0,(H14*12))</f>
        <v>0</v>
      </c>
      <c r="K14" s="1150">
        <f t="shared" ref="K14:K23" si="11">IF(J14=0,G14,(G14-J14+12))</f>
        <v>0</v>
      </c>
      <c r="L14" s="1150">
        <f>IF(J14=0,0,IFERROR(F14/K14,0))</f>
        <v>0</v>
      </c>
      <c r="M14" s="1150">
        <f>L14*12</f>
        <v>0</v>
      </c>
      <c r="N14" s="1097">
        <f t="shared" ref="N14:N23" si="12">F14</f>
        <v>0</v>
      </c>
      <c r="O14" s="1097">
        <f>N14-L14</f>
        <v>0</v>
      </c>
      <c r="P14" s="1097">
        <f>IF(O14-$L14&gt;=0,O14-$L14,0)</f>
        <v>0</v>
      </c>
      <c r="Q14" s="1097">
        <f t="shared" ref="Q14:Z14" si="13">IF(P14-$L14&gt;=0,P14-$L14,0)</f>
        <v>0</v>
      </c>
      <c r="R14" s="1097">
        <f t="shared" si="13"/>
        <v>0</v>
      </c>
      <c r="S14" s="1097">
        <f t="shared" si="13"/>
        <v>0</v>
      </c>
      <c r="T14" s="1097">
        <f t="shared" si="13"/>
        <v>0</v>
      </c>
      <c r="U14" s="1097">
        <f t="shared" si="13"/>
        <v>0</v>
      </c>
      <c r="V14" s="1097">
        <f t="shared" si="13"/>
        <v>0</v>
      </c>
      <c r="W14" s="1097">
        <f t="shared" si="13"/>
        <v>0</v>
      </c>
      <c r="X14" s="1097">
        <f t="shared" si="13"/>
        <v>0</v>
      </c>
      <c r="Y14" s="1097">
        <f t="shared" si="13"/>
        <v>0</v>
      </c>
      <c r="Z14" s="1097">
        <f t="shared" si="13"/>
        <v>0</v>
      </c>
      <c r="AA14" s="1097">
        <f>SUM(N14:Z14)/13</f>
        <v>0</v>
      </c>
      <c r="AB14" s="1188"/>
      <c r="AC14" s="1098"/>
      <c r="AD14" s="1098"/>
      <c r="AE14" s="343"/>
    </row>
    <row r="15" spans="1:31" ht="15.6">
      <c r="A15" s="1154">
        <f>A14+0.01</f>
        <v>1.02</v>
      </c>
      <c r="B15" s="1016"/>
      <c r="C15" s="1151"/>
      <c r="D15" s="1152"/>
      <c r="E15" s="1152"/>
      <c r="F15" s="1189"/>
      <c r="G15" s="1189"/>
      <c r="H15" s="1189"/>
      <c r="I15" s="1190"/>
      <c r="J15" s="1150">
        <f>IF(H15=0,0,(H15*12))</f>
        <v>0</v>
      </c>
      <c r="K15" s="1150">
        <f t="shared" si="11"/>
        <v>0</v>
      </c>
      <c r="L15" s="1150">
        <f t="shared" ref="L15:L23" si="14">IF(J15=0,0,IFERROR(F15/K15,0))</f>
        <v>0</v>
      </c>
      <c r="M15" s="1150">
        <f t="shared" ref="M15:M23" si="15">L15*12</f>
        <v>0</v>
      </c>
      <c r="N15" s="1097">
        <f t="shared" si="12"/>
        <v>0</v>
      </c>
      <c r="O15" s="1097">
        <f t="shared" ref="O15:O23" si="16">N15-L15</f>
        <v>0</v>
      </c>
      <c r="P15" s="1097">
        <f t="shared" ref="P15:Z23" si="17">IF(O15-$L15&gt;=0,O15-$L15,0)</f>
        <v>0</v>
      </c>
      <c r="Q15" s="1097">
        <f t="shared" si="17"/>
        <v>0</v>
      </c>
      <c r="R15" s="1097">
        <f t="shared" si="17"/>
        <v>0</v>
      </c>
      <c r="S15" s="1097">
        <f t="shared" si="17"/>
        <v>0</v>
      </c>
      <c r="T15" s="1097">
        <f t="shared" si="17"/>
        <v>0</v>
      </c>
      <c r="U15" s="1097">
        <f t="shared" si="17"/>
        <v>0</v>
      </c>
      <c r="V15" s="1097">
        <f t="shared" si="17"/>
        <v>0</v>
      </c>
      <c r="W15" s="1097">
        <f t="shared" si="17"/>
        <v>0</v>
      </c>
      <c r="X15" s="1097">
        <f t="shared" si="17"/>
        <v>0</v>
      </c>
      <c r="Y15" s="1097">
        <f t="shared" si="17"/>
        <v>0</v>
      </c>
      <c r="Z15" s="1097">
        <f t="shared" si="17"/>
        <v>0</v>
      </c>
      <c r="AA15" s="1097">
        <f t="shared" ref="AA15:AA23" si="18">SUM(N15:Z15)/13</f>
        <v>0</v>
      </c>
      <c r="AB15" s="1188"/>
      <c r="AC15" s="1098"/>
      <c r="AD15" s="1098"/>
      <c r="AE15" s="343"/>
    </row>
    <row r="16" spans="1:31" ht="15.6">
      <c r="A16" s="1154">
        <f t="shared" ref="A16:A23" si="19">A15+0.01</f>
        <v>1.03</v>
      </c>
      <c r="B16" s="1016"/>
      <c r="C16" s="1151"/>
      <c r="D16" s="1152"/>
      <c r="E16" s="1152"/>
      <c r="F16" s="1189"/>
      <c r="G16" s="1189"/>
      <c r="H16" s="1189"/>
      <c r="I16" s="1190"/>
      <c r="J16" s="1150">
        <f t="shared" ref="J16:J22" si="20">IF(H16=0,0,(H16*12))</f>
        <v>0</v>
      </c>
      <c r="K16" s="1150">
        <f t="shared" si="11"/>
        <v>0</v>
      </c>
      <c r="L16" s="1150">
        <f t="shared" si="14"/>
        <v>0</v>
      </c>
      <c r="M16" s="1150">
        <f t="shared" si="15"/>
        <v>0</v>
      </c>
      <c r="N16" s="1097">
        <f t="shared" si="12"/>
        <v>0</v>
      </c>
      <c r="O16" s="1097">
        <f t="shared" si="16"/>
        <v>0</v>
      </c>
      <c r="P16" s="1097">
        <f t="shared" si="17"/>
        <v>0</v>
      </c>
      <c r="Q16" s="1097">
        <f t="shared" si="17"/>
        <v>0</v>
      </c>
      <c r="R16" s="1097">
        <f t="shared" si="17"/>
        <v>0</v>
      </c>
      <c r="S16" s="1097">
        <f t="shared" si="17"/>
        <v>0</v>
      </c>
      <c r="T16" s="1097">
        <f t="shared" si="17"/>
        <v>0</v>
      </c>
      <c r="U16" s="1097">
        <f t="shared" si="17"/>
        <v>0</v>
      </c>
      <c r="V16" s="1097">
        <f t="shared" si="17"/>
        <v>0</v>
      </c>
      <c r="W16" s="1097">
        <f t="shared" si="17"/>
        <v>0</v>
      </c>
      <c r="X16" s="1097">
        <f t="shared" si="17"/>
        <v>0</v>
      </c>
      <c r="Y16" s="1097">
        <f t="shared" si="17"/>
        <v>0</v>
      </c>
      <c r="Z16" s="1097">
        <f t="shared" si="17"/>
        <v>0</v>
      </c>
      <c r="AA16" s="1097">
        <f t="shared" si="18"/>
        <v>0</v>
      </c>
      <c r="AB16" s="1188"/>
      <c r="AC16" s="1098"/>
      <c r="AD16" s="1098"/>
      <c r="AE16" s="343"/>
    </row>
    <row r="17" spans="1:31" ht="15.6">
      <c r="A17" s="1154">
        <f t="shared" si="19"/>
        <v>1.04</v>
      </c>
      <c r="B17" s="1016"/>
      <c r="C17" s="1151"/>
      <c r="D17" s="1152"/>
      <c r="E17" s="1152"/>
      <c r="F17" s="1189"/>
      <c r="G17" s="1189"/>
      <c r="H17" s="1189"/>
      <c r="I17" s="1190"/>
      <c r="J17" s="1150">
        <f t="shared" si="20"/>
        <v>0</v>
      </c>
      <c r="K17" s="1150">
        <f t="shared" si="11"/>
        <v>0</v>
      </c>
      <c r="L17" s="1150">
        <f t="shared" si="14"/>
        <v>0</v>
      </c>
      <c r="M17" s="1150">
        <f t="shared" si="15"/>
        <v>0</v>
      </c>
      <c r="N17" s="1097">
        <f t="shared" si="12"/>
        <v>0</v>
      </c>
      <c r="O17" s="1097">
        <f t="shared" si="16"/>
        <v>0</v>
      </c>
      <c r="P17" s="1097">
        <f t="shared" si="17"/>
        <v>0</v>
      </c>
      <c r="Q17" s="1097">
        <f t="shared" si="17"/>
        <v>0</v>
      </c>
      <c r="R17" s="1097">
        <f t="shared" si="17"/>
        <v>0</v>
      </c>
      <c r="S17" s="1097">
        <f t="shared" si="17"/>
        <v>0</v>
      </c>
      <c r="T17" s="1097">
        <f t="shared" si="17"/>
        <v>0</v>
      </c>
      <c r="U17" s="1097">
        <f t="shared" si="17"/>
        <v>0</v>
      </c>
      <c r="V17" s="1097">
        <f t="shared" si="17"/>
        <v>0</v>
      </c>
      <c r="W17" s="1097">
        <f t="shared" si="17"/>
        <v>0</v>
      </c>
      <c r="X17" s="1097">
        <f t="shared" si="17"/>
        <v>0</v>
      </c>
      <c r="Y17" s="1097">
        <f t="shared" si="17"/>
        <v>0</v>
      </c>
      <c r="Z17" s="1097">
        <f t="shared" si="17"/>
        <v>0</v>
      </c>
      <c r="AA17" s="1097">
        <f t="shared" si="18"/>
        <v>0</v>
      </c>
      <c r="AB17" s="1188"/>
      <c r="AC17" s="1098"/>
      <c r="AD17" s="1098"/>
      <c r="AE17" s="343"/>
    </row>
    <row r="18" spans="1:31" ht="15.6">
      <c r="A18" s="1154">
        <f t="shared" si="19"/>
        <v>1.05</v>
      </c>
      <c r="B18" s="1016"/>
      <c r="C18" s="1151"/>
      <c r="D18" s="1152"/>
      <c r="E18" s="1152"/>
      <c r="F18" s="1189"/>
      <c r="G18" s="1189"/>
      <c r="H18" s="1189"/>
      <c r="I18" s="1190"/>
      <c r="J18" s="1150">
        <f t="shared" si="20"/>
        <v>0</v>
      </c>
      <c r="K18" s="1150">
        <f t="shared" si="11"/>
        <v>0</v>
      </c>
      <c r="L18" s="1150">
        <f t="shared" si="14"/>
        <v>0</v>
      </c>
      <c r="M18" s="1150">
        <f t="shared" si="15"/>
        <v>0</v>
      </c>
      <c r="N18" s="1097">
        <f t="shared" si="12"/>
        <v>0</v>
      </c>
      <c r="O18" s="1097">
        <f t="shared" si="16"/>
        <v>0</v>
      </c>
      <c r="P18" s="1097">
        <f t="shared" si="17"/>
        <v>0</v>
      </c>
      <c r="Q18" s="1097">
        <f t="shared" si="17"/>
        <v>0</v>
      </c>
      <c r="R18" s="1097">
        <f t="shared" si="17"/>
        <v>0</v>
      </c>
      <c r="S18" s="1097">
        <f t="shared" si="17"/>
        <v>0</v>
      </c>
      <c r="T18" s="1097">
        <f t="shared" si="17"/>
        <v>0</v>
      </c>
      <c r="U18" s="1097">
        <f t="shared" si="17"/>
        <v>0</v>
      </c>
      <c r="V18" s="1097">
        <f t="shared" si="17"/>
        <v>0</v>
      </c>
      <c r="W18" s="1097">
        <f t="shared" si="17"/>
        <v>0</v>
      </c>
      <c r="X18" s="1097">
        <f t="shared" si="17"/>
        <v>0</v>
      </c>
      <c r="Y18" s="1097">
        <f t="shared" si="17"/>
        <v>0</v>
      </c>
      <c r="Z18" s="1097">
        <f t="shared" si="17"/>
        <v>0</v>
      </c>
      <c r="AA18" s="1097">
        <f t="shared" si="18"/>
        <v>0</v>
      </c>
      <c r="AB18" s="1188"/>
      <c r="AC18" s="1098"/>
      <c r="AD18" s="1098"/>
      <c r="AE18" s="343"/>
    </row>
    <row r="19" spans="1:31" ht="15.6">
      <c r="A19" s="1154">
        <f t="shared" si="19"/>
        <v>1.06</v>
      </c>
      <c r="B19" s="1016"/>
      <c r="C19" s="1151"/>
      <c r="D19" s="1152"/>
      <c r="E19" s="1152"/>
      <c r="F19" s="1189"/>
      <c r="G19" s="1189"/>
      <c r="H19" s="1189"/>
      <c r="I19" s="1190"/>
      <c r="J19" s="1150">
        <f t="shared" si="20"/>
        <v>0</v>
      </c>
      <c r="K19" s="1150">
        <f t="shared" si="11"/>
        <v>0</v>
      </c>
      <c r="L19" s="1150">
        <f t="shared" si="14"/>
        <v>0</v>
      </c>
      <c r="M19" s="1150">
        <f t="shared" si="15"/>
        <v>0</v>
      </c>
      <c r="N19" s="1097">
        <f t="shared" si="12"/>
        <v>0</v>
      </c>
      <c r="O19" s="1097">
        <f t="shared" si="16"/>
        <v>0</v>
      </c>
      <c r="P19" s="1097">
        <f t="shared" si="17"/>
        <v>0</v>
      </c>
      <c r="Q19" s="1097">
        <f t="shared" si="17"/>
        <v>0</v>
      </c>
      <c r="R19" s="1097">
        <f t="shared" si="17"/>
        <v>0</v>
      </c>
      <c r="S19" s="1097">
        <f t="shared" si="17"/>
        <v>0</v>
      </c>
      <c r="T19" s="1097">
        <f t="shared" si="17"/>
        <v>0</v>
      </c>
      <c r="U19" s="1097">
        <f t="shared" si="17"/>
        <v>0</v>
      </c>
      <c r="V19" s="1097">
        <f t="shared" si="17"/>
        <v>0</v>
      </c>
      <c r="W19" s="1097">
        <f t="shared" si="17"/>
        <v>0</v>
      </c>
      <c r="X19" s="1097">
        <f t="shared" si="17"/>
        <v>0</v>
      </c>
      <c r="Y19" s="1097">
        <f t="shared" si="17"/>
        <v>0</v>
      </c>
      <c r="Z19" s="1097">
        <f t="shared" si="17"/>
        <v>0</v>
      </c>
      <c r="AA19" s="1097">
        <f t="shared" si="18"/>
        <v>0</v>
      </c>
      <c r="AB19" s="1188"/>
      <c r="AC19" s="1098"/>
      <c r="AD19" s="1098"/>
      <c r="AE19" s="343"/>
    </row>
    <row r="20" spans="1:31" ht="15.6">
      <c r="A20" s="1154">
        <f t="shared" si="19"/>
        <v>1.07</v>
      </c>
      <c r="B20" s="1016"/>
      <c r="C20" s="1151"/>
      <c r="D20" s="1152"/>
      <c r="E20" s="1152"/>
      <c r="F20" s="1189"/>
      <c r="G20" s="1189"/>
      <c r="H20" s="1189"/>
      <c r="I20" s="1190"/>
      <c r="J20" s="1150">
        <f>IF(H20=0,0,(H20*12))</f>
        <v>0</v>
      </c>
      <c r="K20" s="1150">
        <f t="shared" si="11"/>
        <v>0</v>
      </c>
      <c r="L20" s="1150">
        <f t="shared" si="14"/>
        <v>0</v>
      </c>
      <c r="M20" s="1150">
        <f t="shared" si="15"/>
        <v>0</v>
      </c>
      <c r="N20" s="1097">
        <f t="shared" si="12"/>
        <v>0</v>
      </c>
      <c r="O20" s="1097">
        <f t="shared" si="16"/>
        <v>0</v>
      </c>
      <c r="P20" s="1097">
        <f t="shared" si="17"/>
        <v>0</v>
      </c>
      <c r="Q20" s="1097">
        <f t="shared" si="17"/>
        <v>0</v>
      </c>
      <c r="R20" s="1097">
        <f t="shared" si="17"/>
        <v>0</v>
      </c>
      <c r="S20" s="1097">
        <f t="shared" si="17"/>
        <v>0</v>
      </c>
      <c r="T20" s="1097">
        <f t="shared" si="17"/>
        <v>0</v>
      </c>
      <c r="U20" s="1097">
        <f t="shared" si="17"/>
        <v>0</v>
      </c>
      <c r="V20" s="1097">
        <f t="shared" si="17"/>
        <v>0</v>
      </c>
      <c r="W20" s="1097">
        <f t="shared" si="17"/>
        <v>0</v>
      </c>
      <c r="X20" s="1097">
        <f t="shared" si="17"/>
        <v>0</v>
      </c>
      <c r="Y20" s="1097">
        <f t="shared" si="17"/>
        <v>0</v>
      </c>
      <c r="Z20" s="1097">
        <f t="shared" si="17"/>
        <v>0</v>
      </c>
      <c r="AA20" s="1097">
        <f t="shared" si="18"/>
        <v>0</v>
      </c>
      <c r="AB20" s="1188"/>
      <c r="AC20" s="1098"/>
      <c r="AD20" s="1098"/>
      <c r="AE20" s="343"/>
    </row>
    <row r="21" spans="1:31" ht="15.6">
      <c r="A21" s="1154">
        <f t="shared" si="19"/>
        <v>1.08</v>
      </c>
      <c r="B21" s="1016"/>
      <c r="C21" s="1151"/>
      <c r="D21" s="1152"/>
      <c r="E21" s="1152"/>
      <c r="F21" s="1189"/>
      <c r="G21" s="1189"/>
      <c r="H21" s="1189"/>
      <c r="I21" s="1190"/>
      <c r="J21" s="1150">
        <f>IF(H21=0,0,(H21*12))</f>
        <v>0</v>
      </c>
      <c r="K21" s="1150">
        <f t="shared" si="11"/>
        <v>0</v>
      </c>
      <c r="L21" s="1150">
        <f t="shared" si="14"/>
        <v>0</v>
      </c>
      <c r="M21" s="1150">
        <f t="shared" si="15"/>
        <v>0</v>
      </c>
      <c r="N21" s="1097">
        <f t="shared" si="12"/>
        <v>0</v>
      </c>
      <c r="O21" s="1097">
        <f t="shared" si="16"/>
        <v>0</v>
      </c>
      <c r="P21" s="1097">
        <f t="shared" si="17"/>
        <v>0</v>
      </c>
      <c r="Q21" s="1097">
        <f t="shared" si="17"/>
        <v>0</v>
      </c>
      <c r="R21" s="1097">
        <f t="shared" si="17"/>
        <v>0</v>
      </c>
      <c r="S21" s="1097">
        <f t="shared" si="17"/>
        <v>0</v>
      </c>
      <c r="T21" s="1097">
        <f t="shared" si="17"/>
        <v>0</v>
      </c>
      <c r="U21" s="1097">
        <f t="shared" si="17"/>
        <v>0</v>
      </c>
      <c r="V21" s="1097">
        <f t="shared" si="17"/>
        <v>0</v>
      </c>
      <c r="W21" s="1097">
        <f t="shared" si="17"/>
        <v>0</v>
      </c>
      <c r="X21" s="1097">
        <f t="shared" si="17"/>
        <v>0</v>
      </c>
      <c r="Y21" s="1097">
        <f t="shared" si="17"/>
        <v>0</v>
      </c>
      <c r="Z21" s="1097">
        <f t="shared" si="17"/>
        <v>0</v>
      </c>
      <c r="AA21" s="1097">
        <f t="shared" si="18"/>
        <v>0</v>
      </c>
      <c r="AB21" s="1188"/>
      <c r="AC21" s="1098"/>
      <c r="AD21" s="1098"/>
      <c r="AE21" s="343"/>
    </row>
    <row r="22" spans="1:31" ht="15.6">
      <c r="A22" s="1154">
        <f t="shared" si="19"/>
        <v>1.0900000000000001</v>
      </c>
      <c r="B22" s="1016"/>
      <c r="C22" s="1151"/>
      <c r="D22" s="1152"/>
      <c r="E22" s="1152"/>
      <c r="F22" s="1189"/>
      <c r="G22" s="1189"/>
      <c r="H22" s="1189"/>
      <c r="I22" s="1190"/>
      <c r="J22" s="1150">
        <f t="shared" si="20"/>
        <v>0</v>
      </c>
      <c r="K22" s="1150">
        <f t="shared" si="11"/>
        <v>0</v>
      </c>
      <c r="L22" s="1150">
        <f t="shared" si="14"/>
        <v>0</v>
      </c>
      <c r="M22" s="1150">
        <f t="shared" si="15"/>
        <v>0</v>
      </c>
      <c r="N22" s="1097">
        <f t="shared" si="12"/>
        <v>0</v>
      </c>
      <c r="O22" s="1097">
        <f t="shared" si="16"/>
        <v>0</v>
      </c>
      <c r="P22" s="1097">
        <f t="shared" si="17"/>
        <v>0</v>
      </c>
      <c r="Q22" s="1097">
        <f t="shared" si="17"/>
        <v>0</v>
      </c>
      <c r="R22" s="1097">
        <f t="shared" si="17"/>
        <v>0</v>
      </c>
      <c r="S22" s="1097">
        <f t="shared" si="17"/>
        <v>0</v>
      </c>
      <c r="T22" s="1097">
        <f t="shared" si="17"/>
        <v>0</v>
      </c>
      <c r="U22" s="1097">
        <f t="shared" si="17"/>
        <v>0</v>
      </c>
      <c r="V22" s="1097">
        <f t="shared" si="17"/>
        <v>0</v>
      </c>
      <c r="W22" s="1097">
        <f t="shared" si="17"/>
        <v>0</v>
      </c>
      <c r="X22" s="1097">
        <f t="shared" si="17"/>
        <v>0</v>
      </c>
      <c r="Y22" s="1097">
        <f t="shared" si="17"/>
        <v>0</v>
      </c>
      <c r="Z22" s="1097">
        <f t="shared" si="17"/>
        <v>0</v>
      </c>
      <c r="AA22" s="1097">
        <f t="shared" si="18"/>
        <v>0</v>
      </c>
      <c r="AB22" s="1188"/>
      <c r="AC22" s="1098"/>
      <c r="AD22" s="1098"/>
      <c r="AE22" s="343"/>
    </row>
    <row r="23" spans="1:31" ht="15.6">
      <c r="A23" s="1154">
        <f t="shared" si="19"/>
        <v>1.1000000000000001</v>
      </c>
      <c r="B23" s="1016"/>
      <c r="C23" s="1151"/>
      <c r="D23" s="1152"/>
      <c r="E23" s="1152"/>
      <c r="F23" s="1189"/>
      <c r="G23" s="1189"/>
      <c r="H23" s="1189"/>
      <c r="I23" s="1190"/>
      <c r="J23" s="1150">
        <f>IF(H23=0,0,(H23*12))</f>
        <v>0</v>
      </c>
      <c r="K23" s="1150">
        <f t="shared" si="11"/>
        <v>0</v>
      </c>
      <c r="L23" s="1150">
        <f t="shared" si="14"/>
        <v>0</v>
      </c>
      <c r="M23" s="1150">
        <f t="shared" si="15"/>
        <v>0</v>
      </c>
      <c r="N23" s="1097">
        <f t="shared" si="12"/>
        <v>0</v>
      </c>
      <c r="O23" s="1097">
        <f t="shared" si="16"/>
        <v>0</v>
      </c>
      <c r="P23" s="1097">
        <f t="shared" si="17"/>
        <v>0</v>
      </c>
      <c r="Q23" s="1097">
        <f t="shared" si="17"/>
        <v>0</v>
      </c>
      <c r="R23" s="1097">
        <f t="shared" si="17"/>
        <v>0</v>
      </c>
      <c r="S23" s="1097">
        <f t="shared" si="17"/>
        <v>0</v>
      </c>
      <c r="T23" s="1097">
        <f t="shared" si="17"/>
        <v>0</v>
      </c>
      <c r="U23" s="1097">
        <f t="shared" si="17"/>
        <v>0</v>
      </c>
      <c r="V23" s="1097">
        <f t="shared" si="17"/>
        <v>0</v>
      </c>
      <c r="W23" s="1097">
        <f t="shared" si="17"/>
        <v>0</v>
      </c>
      <c r="X23" s="1097">
        <f t="shared" si="17"/>
        <v>0</v>
      </c>
      <c r="Y23" s="1097">
        <f t="shared" si="17"/>
        <v>0</v>
      </c>
      <c r="Z23" s="1097">
        <f t="shared" si="17"/>
        <v>0</v>
      </c>
      <c r="AA23" s="1097">
        <f t="shared" si="18"/>
        <v>0</v>
      </c>
      <c r="AB23" s="1188"/>
      <c r="AC23" s="1098"/>
      <c r="AD23" s="1098"/>
      <c r="AE23" s="343"/>
    </row>
    <row r="24" spans="1:31" ht="17.399999999999999" customHeight="1">
      <c r="A24" s="1083"/>
      <c r="B24" s="1083"/>
      <c r="C24" s="1016"/>
      <c r="D24" s="1097"/>
      <c r="E24" s="1097"/>
      <c r="F24" s="1097"/>
      <c r="G24" s="1097"/>
      <c r="H24" s="1097"/>
      <c r="I24" s="1097"/>
      <c r="J24" s="1097"/>
      <c r="K24" s="1097"/>
      <c r="L24" s="1097"/>
      <c r="M24" s="1097"/>
      <c r="N24" s="1097"/>
      <c r="O24" s="1097"/>
      <c r="P24" s="1097"/>
      <c r="Q24" s="1097"/>
      <c r="R24" s="1097"/>
      <c r="S24" s="1097"/>
      <c r="T24" s="1097"/>
      <c r="U24" s="1097"/>
      <c r="V24" s="1097"/>
      <c r="W24" s="1097"/>
      <c r="X24" s="1097"/>
      <c r="Y24" s="1083"/>
      <c r="Z24" s="1083"/>
      <c r="AA24" s="1083"/>
      <c r="AB24" s="1184"/>
      <c r="AC24" s="1185"/>
      <c r="AD24" s="1185"/>
      <c r="AE24" s="343"/>
    </row>
    <row r="25" spans="1:31" ht="15.6" customHeight="1">
      <c r="A25" s="1083"/>
      <c r="B25" s="1083"/>
      <c r="C25" s="1016"/>
      <c r="D25" s="1097"/>
      <c r="E25" s="1097"/>
      <c r="F25" s="1097"/>
      <c r="G25" s="1097"/>
      <c r="H25" s="1097"/>
      <c r="I25" s="1097"/>
      <c r="J25" s="1097"/>
      <c r="K25" s="1097"/>
      <c r="L25" s="1097"/>
      <c r="M25" s="1097"/>
      <c r="N25" s="1097"/>
      <c r="O25" s="1097"/>
      <c r="P25" s="1097"/>
      <c r="Q25" s="1097"/>
      <c r="R25" s="1097"/>
      <c r="S25" s="1097"/>
      <c r="T25" s="1097"/>
      <c r="U25" s="1097"/>
      <c r="V25" s="1097"/>
      <c r="W25" s="1097"/>
      <c r="X25" s="1097"/>
      <c r="Y25" s="1083"/>
      <c r="Z25" s="1083"/>
      <c r="AA25" s="1083"/>
      <c r="AB25" s="1147"/>
      <c r="AC25" s="1083"/>
      <c r="AD25" s="1083"/>
    </row>
    <row r="26" spans="1:31" s="1196" customFormat="1" ht="16.2" thickBot="1">
      <c r="A26" s="1191">
        <v>2</v>
      </c>
      <c r="B26" s="1191"/>
      <c r="C26" s="1192" t="s">
        <v>10</v>
      </c>
      <c r="D26" s="1193"/>
      <c r="E26" s="1193"/>
      <c r="F26" s="1193"/>
      <c r="G26" s="1193"/>
      <c r="H26" s="1193"/>
      <c r="I26" s="1193"/>
      <c r="J26" s="1193"/>
      <c r="K26" s="1193"/>
      <c r="L26" s="1193"/>
      <c r="M26" s="1197">
        <f>SUM(M13:M25)</f>
        <v>0</v>
      </c>
      <c r="N26" s="1193"/>
      <c r="O26" s="1193"/>
      <c r="P26" s="1193"/>
      <c r="Q26" s="1193"/>
      <c r="R26" s="1193"/>
      <c r="S26" s="1193"/>
      <c r="T26" s="1193"/>
      <c r="U26" s="1193"/>
      <c r="V26" s="1193"/>
      <c r="W26" s="1193"/>
      <c r="X26" s="1193"/>
      <c r="Y26" s="1191"/>
      <c r="Z26" s="1191"/>
      <c r="AA26" s="1198">
        <f>SUM(AA13:AA25)</f>
        <v>0</v>
      </c>
      <c r="AB26" s="1195"/>
      <c r="AC26" s="1194"/>
      <c r="AD26" s="1194"/>
    </row>
    <row r="27" spans="1:31" ht="16.2" thickTop="1">
      <c r="A27" s="1083"/>
      <c r="B27" s="1083"/>
      <c r="C27" s="1016"/>
      <c r="D27" s="1097"/>
      <c r="E27" s="1097"/>
      <c r="F27" s="1097"/>
      <c r="G27" s="1097"/>
      <c r="H27" s="1097"/>
      <c r="I27" s="1097"/>
      <c r="J27" s="1097"/>
      <c r="K27" s="1097"/>
      <c r="L27" s="1097"/>
      <c r="M27" s="1097"/>
      <c r="N27" s="1097"/>
      <c r="O27" s="1097"/>
      <c r="P27" s="1097"/>
      <c r="Q27" s="1097"/>
      <c r="R27" s="1097"/>
      <c r="S27" s="1097"/>
      <c r="T27" s="1097"/>
      <c r="U27" s="1097"/>
      <c r="V27" s="1097"/>
      <c r="W27" s="1097"/>
      <c r="X27" s="1097"/>
      <c r="Y27" s="1083"/>
      <c r="Z27" s="1083"/>
      <c r="AA27" s="1083"/>
      <c r="AB27" s="1147"/>
      <c r="AC27" s="1083"/>
      <c r="AD27" s="1083"/>
    </row>
    <row r="28" spans="1:31" ht="15.6">
      <c r="A28" s="1083"/>
      <c r="B28" s="1083"/>
      <c r="C28" s="1016"/>
      <c r="D28" s="1097"/>
      <c r="E28" s="1097"/>
      <c r="F28" s="1097"/>
      <c r="G28" s="1097"/>
      <c r="H28" s="1097"/>
      <c r="I28" s="1097"/>
      <c r="J28" s="1097"/>
      <c r="K28" s="1097"/>
      <c r="L28" s="1097"/>
      <c r="M28" s="1097"/>
      <c r="N28" s="1097"/>
      <c r="O28" s="1097"/>
      <c r="P28" s="1097"/>
      <c r="Q28" s="1097"/>
      <c r="R28" s="1097"/>
      <c r="S28" s="1097"/>
      <c r="T28" s="1097"/>
      <c r="U28" s="1097"/>
      <c r="V28" s="1097"/>
      <c r="W28" s="1097"/>
      <c r="X28" s="1097"/>
      <c r="Y28" s="1083"/>
      <c r="Z28" s="1083"/>
      <c r="AA28" s="1083"/>
      <c r="AB28" s="1147"/>
      <c r="AC28" s="1083"/>
      <c r="AD28" s="1083"/>
    </row>
    <row r="29" spans="1:31" ht="15.6">
      <c r="A29" s="1083"/>
      <c r="B29" s="1083"/>
      <c r="C29" s="1016"/>
      <c r="D29" s="1097"/>
      <c r="E29" s="1097"/>
      <c r="F29" s="1097"/>
      <c r="G29" s="1097"/>
      <c r="H29" s="1097"/>
      <c r="I29" s="1097"/>
      <c r="J29" s="1097"/>
      <c r="K29" s="1097"/>
      <c r="L29" s="1097"/>
      <c r="M29" s="1097"/>
      <c r="N29" s="1097"/>
      <c r="O29" s="1097"/>
      <c r="P29" s="1097"/>
      <c r="Q29" s="1097"/>
      <c r="R29" s="1097"/>
      <c r="S29" s="1097"/>
      <c r="T29" s="1097"/>
      <c r="U29" s="1097"/>
      <c r="V29" s="1097"/>
      <c r="W29" s="1097"/>
      <c r="X29" s="1097"/>
      <c r="Y29" s="1083"/>
      <c r="Z29" s="1083"/>
      <c r="AA29" s="1083"/>
      <c r="AB29" s="1147"/>
      <c r="AC29" s="1083"/>
      <c r="AD29" s="1083"/>
    </row>
    <row r="30" spans="1:31" ht="15.6">
      <c r="C30" s="1100" t="s">
        <v>196</v>
      </c>
      <c r="D30" s="1016"/>
      <c r="E30" s="1016"/>
      <c r="F30" s="1016"/>
      <c r="H30" s="1016"/>
    </row>
    <row r="31" spans="1:31" ht="15.6">
      <c r="C31" s="1163" t="s">
        <v>1060</v>
      </c>
    </row>
    <row r="32" spans="1:31" ht="15.6">
      <c r="C32" s="1163" t="s">
        <v>946</v>
      </c>
    </row>
    <row r="33" spans="3:14" ht="15.6">
      <c r="C33" s="1163" t="s">
        <v>947</v>
      </c>
    </row>
    <row r="34" spans="3:14" ht="15.6">
      <c r="C34" s="1163" t="s">
        <v>1061</v>
      </c>
    </row>
    <row r="35" spans="3:14" ht="15.6">
      <c r="C35" s="1163" t="s">
        <v>1119</v>
      </c>
    </row>
    <row r="36" spans="3:14" ht="15.6">
      <c r="C36" s="1016" t="s">
        <v>1120</v>
      </c>
      <c r="D36" s="1016"/>
      <c r="E36" s="1016"/>
      <c r="F36" s="1016"/>
      <c r="G36" s="1016"/>
      <c r="H36" s="1016"/>
      <c r="I36" s="1016"/>
      <c r="J36" s="863"/>
      <c r="K36" s="863"/>
      <c r="L36" s="863"/>
      <c r="M36" s="863"/>
      <c r="N36" s="863"/>
    </row>
  </sheetData>
  <customSheetViews>
    <customSheetView guid="{B991F324-919F-4749-8E3C-A09B2FA7BB10}" scale="60" showPageBreaks="1" printArea="1" view="pageBreakPreview">
      <selection activeCell="N72" sqref="N72"/>
      <pageMargins left="0.7" right="0.7" top="0.75" bottom="0.75" header="0.3" footer="0.3"/>
      <pageSetup scale="20" orientation="portrait" r:id="rId1"/>
    </customSheetView>
    <customSheetView guid="{901B528B-D65D-48CA-A638-FD9B4E5BB6D4}" scale="60" showPageBreaks="1" printArea="1" view="pageBreakPreview">
      <selection activeCell="N72" sqref="N72"/>
      <pageMargins left="0.7" right="0.7" top="0.75" bottom="0.75" header="0.3" footer="0.3"/>
      <pageSetup scale="20" orientation="portrait" r:id="rId2"/>
    </customSheetView>
    <customSheetView guid="{0DE222E8-ADD6-4F4B-9601-960D8109381F}" scale="80" showPageBreaks="1" printArea="1" view="pageBreakPreview">
      <pageMargins left="0.7" right="0.7" top="0.75" bottom="0.75" header="0.3" footer="0.3"/>
      <pageSetup scale="20" orientation="portrait" r:id="rId3"/>
    </customSheetView>
  </customSheetViews>
  <pageMargins left="0.7" right="0.7" top="0.75" bottom="0.75" header="0.3" footer="0.3"/>
  <pageSetup scale="20" orientation="portrait" r:id="rId4"/>
  <ignoredErrors>
    <ignoredError sqref="P12" twoDigitTextYea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B63AF-3534-4901-8F24-9892F11FE4FB}">
  <dimension ref="A1:I155"/>
  <sheetViews>
    <sheetView view="pageBreakPreview" zoomScale="60" zoomScaleNormal="100" workbookViewId="0">
      <selection activeCell="B35" sqref="B35"/>
    </sheetView>
  </sheetViews>
  <sheetFormatPr defaultColWidth="8.90625" defaultRowHeight="15.6"/>
  <cols>
    <col min="1" max="1" width="11.6328125" style="1" customWidth="1"/>
    <col min="2" max="2" width="23.6328125" style="1" customWidth="1"/>
    <col min="3" max="3" width="1.1796875" style="1" customWidth="1"/>
    <col min="4" max="4" width="50.81640625" style="1" customWidth="1"/>
    <col min="5" max="5" width="1.453125" style="1" customWidth="1"/>
    <col min="6" max="6" width="22.36328125" style="1" customWidth="1"/>
    <col min="7" max="7" width="3.6328125" style="1" customWidth="1"/>
    <col min="8" max="8" width="12.90625" style="1" bestFit="1" customWidth="1"/>
    <col min="9" max="9" width="8.90625" style="1"/>
    <col min="10" max="10" width="14" style="1" bestFit="1" customWidth="1"/>
    <col min="11" max="16384" width="8.90625" style="1"/>
  </cols>
  <sheetData>
    <row r="1" spans="1:6">
      <c r="F1" s="971" t="str">
        <f>'Attachment H-11A '!K1&amp;""&amp;", Attachment 20"</f>
        <v>Attachment H -11A, Attachment 20</v>
      </c>
    </row>
    <row r="2" spans="1:6">
      <c r="F2" s="971" t="s">
        <v>191</v>
      </c>
    </row>
    <row r="3" spans="1:6">
      <c r="F3" s="972" t="str">
        <f>'Attachment H-11A '!K4</f>
        <v>For the 12 months ended 12/31/2022</v>
      </c>
    </row>
    <row r="4" spans="1:6">
      <c r="F4" s="971"/>
    </row>
    <row r="5" spans="1:6">
      <c r="B5" s="973" t="s">
        <v>741</v>
      </c>
      <c r="C5" s="974"/>
      <c r="D5" s="974"/>
      <c r="F5" s="972"/>
    </row>
    <row r="7" spans="1:6" ht="31.2">
      <c r="A7" s="867" t="s">
        <v>795</v>
      </c>
      <c r="B7" s="975" t="s">
        <v>742</v>
      </c>
      <c r="D7" s="976" t="s">
        <v>649</v>
      </c>
      <c r="F7" s="977" t="s">
        <v>796</v>
      </c>
    </row>
    <row r="8" spans="1:6">
      <c r="B8" s="976"/>
      <c r="D8" s="976"/>
      <c r="F8" s="998"/>
    </row>
    <row r="9" spans="1:6" ht="16.2">
      <c r="A9" s="978">
        <v>82</v>
      </c>
      <c r="B9" s="978"/>
      <c r="D9" s="979" t="s">
        <v>743</v>
      </c>
      <c r="F9" s="999"/>
    </row>
    <row r="10" spans="1:6">
      <c r="A10" s="978">
        <v>83</v>
      </c>
      <c r="B10" s="978">
        <v>560</v>
      </c>
      <c r="D10" s="1" t="s">
        <v>744</v>
      </c>
      <c r="F10" s="980">
        <v>54098.7</v>
      </c>
    </row>
    <row r="11" spans="1:6">
      <c r="A11" s="978">
        <v>84</v>
      </c>
      <c r="B11" s="978"/>
      <c r="F11" s="997"/>
    </row>
    <row r="12" spans="1:6">
      <c r="A12" s="978">
        <v>85</v>
      </c>
      <c r="B12" s="978">
        <v>561.1</v>
      </c>
      <c r="D12" s="1" t="s">
        <v>745</v>
      </c>
      <c r="F12" s="980">
        <v>907430.77999999991</v>
      </c>
    </row>
    <row r="13" spans="1:6">
      <c r="A13" s="978">
        <v>86</v>
      </c>
      <c r="B13" s="978">
        <v>561.20000000000005</v>
      </c>
      <c r="D13" s="1" t="s">
        <v>746</v>
      </c>
      <c r="F13" s="980"/>
    </row>
    <row r="14" spans="1:6">
      <c r="A14" s="978">
        <v>87</v>
      </c>
      <c r="B14" s="978">
        <v>561.29999999999995</v>
      </c>
      <c r="D14" s="1" t="s">
        <v>747</v>
      </c>
      <c r="F14" s="980"/>
    </row>
    <row r="15" spans="1:6">
      <c r="A15" s="978">
        <v>88</v>
      </c>
      <c r="B15" s="978">
        <v>561.4</v>
      </c>
      <c r="D15" s="1" t="s">
        <v>748</v>
      </c>
      <c r="F15" s="980">
        <v>110789.39999999998</v>
      </c>
    </row>
    <row r="16" spans="1:6">
      <c r="A16" s="978">
        <v>89</v>
      </c>
      <c r="B16" s="978">
        <v>561.5</v>
      </c>
      <c r="D16" s="1" t="s">
        <v>749</v>
      </c>
      <c r="F16" s="980">
        <v>50982.740000000005</v>
      </c>
    </row>
    <row r="17" spans="1:6">
      <c r="A17" s="978">
        <v>90</v>
      </c>
      <c r="B17" s="978">
        <v>561.6</v>
      </c>
      <c r="D17" s="1" t="s">
        <v>750</v>
      </c>
      <c r="F17" s="980"/>
    </row>
    <row r="18" spans="1:6">
      <c r="A18" s="978">
        <v>91</v>
      </c>
      <c r="B18" s="978">
        <v>561.70000000000005</v>
      </c>
      <c r="D18" s="1" t="s">
        <v>751</v>
      </c>
      <c r="F18" s="980">
        <v>99386.79</v>
      </c>
    </row>
    <row r="19" spans="1:6">
      <c r="A19" s="978">
        <v>92</v>
      </c>
      <c r="B19" s="978">
        <v>561.79999999999995</v>
      </c>
      <c r="D19" s="1" t="s">
        <v>752</v>
      </c>
      <c r="F19" s="980">
        <v>26844.599999999995</v>
      </c>
    </row>
    <row r="20" spans="1:6">
      <c r="A20" s="978">
        <v>93</v>
      </c>
      <c r="B20" s="981">
        <v>562</v>
      </c>
      <c r="D20" s="1" t="s">
        <v>753</v>
      </c>
      <c r="F20" s="980">
        <v>2939925.2100000004</v>
      </c>
    </row>
    <row r="21" spans="1:6">
      <c r="A21" s="978">
        <v>94</v>
      </c>
      <c r="B21" s="981">
        <v>563</v>
      </c>
      <c r="D21" s="1" t="s">
        <v>754</v>
      </c>
      <c r="F21" s="980">
        <v>63218.400000000009</v>
      </c>
    </row>
    <row r="22" spans="1:6">
      <c r="A22" s="978">
        <v>95</v>
      </c>
      <c r="B22" s="981">
        <v>564</v>
      </c>
      <c r="D22" s="1" t="s">
        <v>755</v>
      </c>
      <c r="F22" s="980"/>
    </row>
    <row r="23" spans="1:6">
      <c r="A23" s="978">
        <v>96</v>
      </c>
      <c r="B23" s="981">
        <v>565</v>
      </c>
      <c r="D23" s="1" t="s">
        <v>756</v>
      </c>
      <c r="F23" s="980">
        <v>95525244.700000003</v>
      </c>
    </row>
    <row r="24" spans="1:6">
      <c r="A24" s="978">
        <v>97</v>
      </c>
      <c r="B24" s="981">
        <v>566</v>
      </c>
      <c r="D24" s="1" t="s">
        <v>757</v>
      </c>
      <c r="F24" s="980">
        <v>5029799.82</v>
      </c>
    </row>
    <row r="25" spans="1:6">
      <c r="A25" s="978">
        <v>98</v>
      </c>
      <c r="B25" s="981">
        <v>567</v>
      </c>
      <c r="D25" s="1" t="s">
        <v>758</v>
      </c>
      <c r="F25" s="980">
        <v>259651.0299999998</v>
      </c>
    </row>
    <row r="26" spans="1:6">
      <c r="A26" s="978">
        <v>99</v>
      </c>
      <c r="B26" s="981"/>
      <c r="D26" s="1" t="s">
        <v>759</v>
      </c>
      <c r="F26" s="982">
        <f>SUM(F10,F12:F25)</f>
        <v>105067372.17000002</v>
      </c>
    </row>
    <row r="27" spans="1:6" ht="16.2">
      <c r="A27" s="978">
        <v>100</v>
      </c>
      <c r="B27" s="981"/>
      <c r="D27" s="979" t="s">
        <v>760</v>
      </c>
      <c r="F27" s="997"/>
    </row>
    <row r="28" spans="1:6">
      <c r="A28" s="978">
        <v>101</v>
      </c>
      <c r="B28" s="981">
        <v>568</v>
      </c>
      <c r="D28" s="1" t="s">
        <v>761</v>
      </c>
      <c r="F28" s="980">
        <v>557612.89</v>
      </c>
    </row>
    <row r="29" spans="1:6">
      <c r="A29" s="978">
        <v>102</v>
      </c>
      <c r="B29" s="981">
        <v>569</v>
      </c>
      <c r="D29" s="1" t="s">
        <v>762</v>
      </c>
      <c r="F29" s="980"/>
    </row>
    <row r="30" spans="1:6">
      <c r="A30" s="978">
        <v>103</v>
      </c>
      <c r="B30" s="983">
        <v>569.1</v>
      </c>
      <c r="D30" s="1" t="s">
        <v>763</v>
      </c>
      <c r="F30" s="980">
        <v>17143.900000000001</v>
      </c>
    </row>
    <row r="31" spans="1:6">
      <c r="A31" s="978">
        <v>104</v>
      </c>
      <c r="B31" s="983">
        <v>569.20000000000005</v>
      </c>
      <c r="D31" s="1" t="s">
        <v>764</v>
      </c>
      <c r="F31" s="980">
        <v>61023.140000000007</v>
      </c>
    </row>
    <row r="32" spans="1:6">
      <c r="A32" s="978">
        <v>105</v>
      </c>
      <c r="B32" s="983">
        <v>569.29999999999995</v>
      </c>
      <c r="D32" s="1" t="s">
        <v>765</v>
      </c>
      <c r="F32" s="980"/>
    </row>
    <row r="33" spans="1:6">
      <c r="A33" s="978">
        <v>106</v>
      </c>
      <c r="B33" s="983">
        <v>569.4</v>
      </c>
      <c r="D33" s="1" t="s">
        <v>766</v>
      </c>
      <c r="F33" s="980"/>
    </row>
    <row r="34" spans="1:6">
      <c r="A34" s="978">
        <v>107</v>
      </c>
      <c r="B34" s="978">
        <v>570</v>
      </c>
      <c r="D34" s="1" t="s">
        <v>767</v>
      </c>
      <c r="F34" s="980">
        <v>4091923.0199999996</v>
      </c>
    </row>
    <row r="35" spans="1:6">
      <c r="A35" s="978">
        <v>108</v>
      </c>
      <c r="B35" s="978">
        <v>571</v>
      </c>
      <c r="D35" s="1" t="s">
        <v>768</v>
      </c>
      <c r="F35" s="980">
        <v>14534414</v>
      </c>
    </row>
    <row r="36" spans="1:6">
      <c r="A36" s="978">
        <v>109</v>
      </c>
      <c r="B36" s="978">
        <v>572</v>
      </c>
      <c r="D36" s="1" t="s">
        <v>769</v>
      </c>
      <c r="F36" s="980"/>
    </row>
    <row r="37" spans="1:6">
      <c r="A37" s="978">
        <v>110</v>
      </c>
      <c r="B37" s="978">
        <v>573</v>
      </c>
      <c r="D37" s="1" t="s">
        <v>770</v>
      </c>
      <c r="F37" s="984"/>
    </row>
    <row r="38" spans="1:6">
      <c r="A38" s="978">
        <v>111</v>
      </c>
      <c r="B38" s="978"/>
      <c r="D38" s="1" t="s">
        <v>771</v>
      </c>
      <c r="F38" s="985">
        <f>SUM(F28:F37)</f>
        <v>19262116.949999999</v>
      </c>
    </row>
    <row r="39" spans="1:6" ht="16.2" thickBot="1">
      <c r="A39" s="978">
        <v>112</v>
      </c>
      <c r="B39" s="983"/>
      <c r="D39" s="976" t="s">
        <v>791</v>
      </c>
      <c r="F39" s="986">
        <f>F26+F38</f>
        <v>124329489.12000002</v>
      </c>
    </row>
    <row r="40" spans="1:6" ht="16.2" thickTop="1">
      <c r="A40" s="956"/>
      <c r="B40" s="987"/>
      <c r="D40" s="976"/>
      <c r="F40" s="988"/>
    </row>
    <row r="41" spans="1:6">
      <c r="A41" s="956" t="s">
        <v>226</v>
      </c>
      <c r="B41" s="987"/>
      <c r="D41" s="976"/>
      <c r="F41" s="988"/>
    </row>
    <row r="42" spans="1:6">
      <c r="A42" s="978" t="s">
        <v>225</v>
      </c>
      <c r="B42" s="987" t="s">
        <v>772</v>
      </c>
      <c r="D42" s="976"/>
      <c r="F42" s="988"/>
    </row>
    <row r="43" spans="1:6">
      <c r="A43" s="978"/>
      <c r="B43" s="987"/>
      <c r="D43" s="976"/>
      <c r="F43" s="988"/>
    </row>
    <row r="44" spans="1:6">
      <c r="A44" s="978"/>
      <c r="B44" s="987"/>
      <c r="D44" s="976"/>
      <c r="F44" s="971" t="str">
        <f>F1</f>
        <v>Attachment H -11A, Attachment 20</v>
      </c>
    </row>
    <row r="45" spans="1:6">
      <c r="A45" s="956"/>
      <c r="B45" s="987"/>
      <c r="D45" s="976"/>
      <c r="F45" s="971" t="s">
        <v>194</v>
      </c>
    </row>
    <row r="46" spans="1:6">
      <c r="A46" s="956"/>
      <c r="B46" s="987"/>
      <c r="F46" s="972" t="str">
        <f>'Attachment H-11A '!K4</f>
        <v>For the 12 months ended 12/31/2022</v>
      </c>
    </row>
    <row r="47" spans="1:6">
      <c r="B47" s="987"/>
    </row>
    <row r="49" spans="1:9">
      <c r="B49" s="973" t="s">
        <v>773</v>
      </c>
      <c r="C49" s="974"/>
      <c r="D49" s="974"/>
      <c r="E49" s="974"/>
    </row>
    <row r="51" spans="1:9" ht="31.2">
      <c r="A51" s="867" t="s">
        <v>797</v>
      </c>
      <c r="B51" s="975" t="s">
        <v>742</v>
      </c>
      <c r="D51" s="976" t="s">
        <v>649</v>
      </c>
      <c r="F51" s="977" t="s">
        <v>798</v>
      </c>
    </row>
    <row r="52" spans="1:9">
      <c r="B52" s="976"/>
      <c r="D52" s="976"/>
      <c r="F52" s="999"/>
    </row>
    <row r="53" spans="1:9" ht="16.2">
      <c r="A53" s="978">
        <v>180</v>
      </c>
      <c r="B53" s="989"/>
      <c r="D53" s="979" t="s">
        <v>743</v>
      </c>
      <c r="F53" s="999"/>
    </row>
    <row r="54" spans="1:9">
      <c r="A54" s="978">
        <v>181</v>
      </c>
      <c r="B54" s="981">
        <v>920</v>
      </c>
      <c r="D54" s="1" t="s">
        <v>774</v>
      </c>
      <c r="F54" s="980">
        <v>-859614.48</v>
      </c>
    </row>
    <row r="55" spans="1:9">
      <c r="A55" s="978">
        <v>182</v>
      </c>
      <c r="B55" s="981">
        <v>921</v>
      </c>
      <c r="D55" s="1" t="s">
        <v>775</v>
      </c>
      <c r="F55" s="980">
        <v>860356</v>
      </c>
    </row>
    <row r="56" spans="1:9">
      <c r="A56" s="978">
        <v>183</v>
      </c>
      <c r="B56" s="990" t="s">
        <v>776</v>
      </c>
      <c r="D56" s="1" t="s">
        <v>777</v>
      </c>
      <c r="F56" s="980"/>
    </row>
    <row r="57" spans="1:9">
      <c r="A57" s="978">
        <v>184</v>
      </c>
      <c r="B57" s="981">
        <v>923</v>
      </c>
      <c r="D57" s="1" t="s">
        <v>778</v>
      </c>
      <c r="F57" s="980">
        <v>54343700.210000001</v>
      </c>
      <c r="H57" s="991"/>
    </row>
    <row r="58" spans="1:9">
      <c r="A58" s="978">
        <v>185</v>
      </c>
      <c r="B58" s="981">
        <v>924</v>
      </c>
      <c r="D58" s="1" t="s">
        <v>779</v>
      </c>
      <c r="F58" s="980">
        <v>1003998</v>
      </c>
    </row>
    <row r="59" spans="1:9">
      <c r="A59" s="978">
        <v>186</v>
      </c>
      <c r="B59" s="981">
        <v>925</v>
      </c>
      <c r="D59" s="1" t="s">
        <v>780</v>
      </c>
      <c r="F59" s="980">
        <v>2845606</v>
      </c>
    </row>
    <row r="60" spans="1:9">
      <c r="A60" s="978">
        <v>187</v>
      </c>
      <c r="B60" s="981">
        <v>926</v>
      </c>
      <c r="D60" s="1" t="s">
        <v>781</v>
      </c>
      <c r="F60" s="980">
        <v>-16166768</v>
      </c>
    </row>
    <row r="61" spans="1:9">
      <c r="A61" s="978">
        <v>188</v>
      </c>
      <c r="B61" s="981">
        <v>927</v>
      </c>
      <c r="D61" s="1" t="s">
        <v>782</v>
      </c>
      <c r="F61" s="980"/>
    </row>
    <row r="62" spans="1:9">
      <c r="A62" s="978">
        <v>189</v>
      </c>
      <c r="B62" s="981">
        <v>928</v>
      </c>
      <c r="D62" s="1" t="s">
        <v>783</v>
      </c>
      <c r="F62" s="980">
        <v>3685169.3400000003</v>
      </c>
    </row>
    <row r="63" spans="1:9">
      <c r="A63" s="978">
        <v>190</v>
      </c>
      <c r="B63" s="981" t="s">
        <v>784</v>
      </c>
      <c r="D63" s="1" t="s">
        <v>785</v>
      </c>
      <c r="F63" s="980"/>
    </row>
    <row r="64" spans="1:9">
      <c r="A64" s="978">
        <v>191</v>
      </c>
      <c r="B64" s="983">
        <v>930.1</v>
      </c>
      <c r="D64" s="1" t="s">
        <v>786</v>
      </c>
      <c r="F64" s="980">
        <v>182433.24</v>
      </c>
      <c r="G64" s="2"/>
      <c r="H64" s="2"/>
      <c r="I64" s="2"/>
    </row>
    <row r="65" spans="1:6">
      <c r="A65" s="978">
        <v>192</v>
      </c>
      <c r="B65" s="983">
        <v>930.2</v>
      </c>
      <c r="D65" s="1" t="s">
        <v>787</v>
      </c>
      <c r="F65" s="980">
        <v>114295.59999999998</v>
      </c>
    </row>
    <row r="66" spans="1:6">
      <c r="A66" s="978">
        <v>193</v>
      </c>
      <c r="B66" s="981">
        <v>931</v>
      </c>
      <c r="D66" s="1" t="s">
        <v>758</v>
      </c>
      <c r="F66" s="980">
        <v>982072</v>
      </c>
    </row>
    <row r="67" spans="1:6">
      <c r="A67" s="978">
        <v>194</v>
      </c>
      <c r="B67" s="983"/>
      <c r="D67" s="976" t="s">
        <v>788</v>
      </c>
      <c r="F67" s="982">
        <f>SUM(F54:F66)</f>
        <v>46991247.910000011</v>
      </c>
    </row>
    <row r="68" spans="1:6" ht="16.2">
      <c r="A68" s="978">
        <v>195</v>
      </c>
      <c r="B68" s="989"/>
      <c r="D68" s="979" t="s">
        <v>760</v>
      </c>
      <c r="F68" s="997"/>
    </row>
    <row r="69" spans="1:6">
      <c r="A69" s="978">
        <v>196</v>
      </c>
      <c r="B69" s="981">
        <v>935</v>
      </c>
      <c r="D69" s="1" t="s">
        <v>789</v>
      </c>
      <c r="F69" s="984">
        <v>2615565</v>
      </c>
    </row>
    <row r="70" spans="1:6" ht="16.2" thickBot="1">
      <c r="A70" s="978">
        <v>197</v>
      </c>
      <c r="B70" s="989"/>
      <c r="D70" s="976" t="s">
        <v>792</v>
      </c>
      <c r="F70" s="986">
        <f>F67+F69</f>
        <v>49606812.910000011</v>
      </c>
    </row>
    <row r="71" spans="1:6" ht="16.2" thickTop="1"/>
    <row r="72" spans="1:6">
      <c r="A72" s="956" t="s">
        <v>226</v>
      </c>
      <c r="B72" s="987"/>
    </row>
    <row r="73" spans="1:6">
      <c r="A73" s="978" t="s">
        <v>239</v>
      </c>
      <c r="B73" s="987" t="s">
        <v>772</v>
      </c>
    </row>
    <row r="74" spans="1:6">
      <c r="A74" s="978"/>
      <c r="B74" s="987"/>
    </row>
    <row r="75" spans="1:6">
      <c r="B75" s="987"/>
    </row>
    <row r="155" spans="4:4">
      <c r="D155" s="1">
        <v>0</v>
      </c>
    </row>
  </sheetData>
  <customSheetViews>
    <customSheetView guid="{B991F324-919F-4749-8E3C-A09B2FA7BB10}" scale="60" showPageBreaks="1" printArea="1" view="pageBreakPreview" topLeftCell="A13">
      <selection activeCell="B107" sqref="B107"/>
      <rowBreaks count="1" manualBreakCount="1">
        <brk id="43" max="16383" man="1"/>
      </rowBreaks>
      <pageMargins left="0.7" right="0.7" top="0.75" bottom="0.75" header="0.3" footer="0.3"/>
      <pageSetup scale="66" orientation="portrait" horizontalDpi="1200" verticalDpi="1200" r:id="rId1"/>
    </customSheetView>
    <customSheetView guid="{901B528B-D65D-48CA-A638-FD9B4E5BB6D4}" scale="60" showPageBreaks="1" printArea="1" view="pageBreakPreview" topLeftCell="A13">
      <selection activeCell="B107" sqref="B107"/>
      <rowBreaks count="1" manualBreakCount="1">
        <brk id="43" max="16383" man="1"/>
      </rowBreaks>
      <pageMargins left="0.7" right="0.7" top="0.75" bottom="0.75" header="0.3" footer="0.3"/>
      <pageSetup scale="66" orientation="portrait" horizontalDpi="1200" verticalDpi="1200" r:id="rId2"/>
    </customSheetView>
    <customSheetView guid="{0DE222E8-ADD6-4F4B-9601-960D8109381F}" scale="60" showPageBreaks="1" printArea="1" view="pageBreakPreview">
      <rowBreaks count="1" manualBreakCount="1">
        <brk id="43" max="16383" man="1"/>
      </rowBreaks>
      <pageMargins left="0.7" right="0.7" top="0.75" bottom="0.75" header="0.3" footer="0.3"/>
      <pageSetup scale="66" orientation="portrait" horizontalDpi="1200" verticalDpi="1200" r:id="rId3"/>
    </customSheetView>
  </customSheetViews>
  <pageMargins left="0.7" right="0.7" top="0.75" bottom="0.75" header="0.3" footer="0.3"/>
  <pageSetup scale="66" orientation="portrait" r:id="rId4"/>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68"/>
  <sheetViews>
    <sheetView view="pageBreakPreview" zoomScale="60" zoomScaleNormal="70" workbookViewId="0">
      <selection activeCell="B35" sqref="B35"/>
    </sheetView>
  </sheetViews>
  <sheetFormatPr defaultRowHeight="13.2"/>
  <cols>
    <col min="1" max="1" width="7.1796875" style="154" customWidth="1"/>
    <col min="2" max="2" width="2.36328125" style="154" customWidth="1"/>
    <col min="3" max="3" width="6.36328125" style="154" customWidth="1"/>
    <col min="4" max="4" width="33.453125" style="154" customWidth="1"/>
    <col min="5" max="5" width="18" style="154" customWidth="1"/>
    <col min="6" max="6" width="27.6328125" style="154" customWidth="1"/>
    <col min="7" max="7" width="34.81640625" style="154" customWidth="1"/>
    <col min="8" max="8" width="3" style="154" customWidth="1"/>
    <col min="9" max="9" width="23.453125" style="154" customWidth="1"/>
    <col min="10" max="10" width="7.90625" style="154" customWidth="1"/>
    <col min="11" max="11" width="20.6328125" style="154" customWidth="1"/>
    <col min="12" max="12" width="1.6328125" style="154" customWidth="1"/>
    <col min="13" max="256" width="8.90625" style="154"/>
    <col min="257" max="257" width="7.1796875" style="154" customWidth="1"/>
    <col min="258" max="258" width="2.36328125" style="154" customWidth="1"/>
    <col min="259" max="259" width="6.36328125" style="154" customWidth="1"/>
    <col min="260" max="260" width="33.453125" style="154" customWidth="1"/>
    <col min="261" max="261" width="18" style="154" customWidth="1"/>
    <col min="262" max="262" width="27.6328125" style="154" customWidth="1"/>
    <col min="263" max="263" width="28.90625" style="154" bestFit="1" customWidth="1"/>
    <col min="264" max="264" width="3" style="154" customWidth="1"/>
    <col min="265" max="265" width="23.453125" style="154" customWidth="1"/>
    <col min="266" max="266" width="8.90625" style="154"/>
    <col min="267" max="267" width="17.90625" style="154" bestFit="1" customWidth="1"/>
    <col min="268" max="512" width="8.90625" style="154"/>
    <col min="513" max="513" width="7.1796875" style="154" customWidth="1"/>
    <col min="514" max="514" width="2.36328125" style="154" customWidth="1"/>
    <col min="515" max="515" width="6.36328125" style="154" customWidth="1"/>
    <col min="516" max="516" width="33.453125" style="154" customWidth="1"/>
    <col min="517" max="517" width="18" style="154" customWidth="1"/>
    <col min="518" max="518" width="27.6328125" style="154" customWidth="1"/>
    <col min="519" max="519" width="28.90625" style="154" bestFit="1" customWidth="1"/>
    <col min="520" max="520" width="3" style="154" customWidth="1"/>
    <col min="521" max="521" width="23.453125" style="154" customWidth="1"/>
    <col min="522" max="522" width="8.90625" style="154"/>
    <col min="523" max="523" width="17.90625" style="154" bestFit="1" customWidth="1"/>
    <col min="524" max="768" width="8.90625" style="154"/>
    <col min="769" max="769" width="7.1796875" style="154" customWidth="1"/>
    <col min="770" max="770" width="2.36328125" style="154" customWidth="1"/>
    <col min="771" max="771" width="6.36328125" style="154" customWidth="1"/>
    <col min="772" max="772" width="33.453125" style="154" customWidth="1"/>
    <col min="773" max="773" width="18" style="154" customWidth="1"/>
    <col min="774" max="774" width="27.6328125" style="154" customWidth="1"/>
    <col min="775" max="775" width="28.90625" style="154" bestFit="1" customWidth="1"/>
    <col min="776" max="776" width="3" style="154" customWidth="1"/>
    <col min="777" max="777" width="23.453125" style="154" customWidth="1"/>
    <col min="778" max="778" width="8.90625" style="154"/>
    <col min="779" max="779" width="17.90625" style="154" bestFit="1" customWidth="1"/>
    <col min="780" max="1024" width="8.90625" style="154"/>
    <col min="1025" max="1025" width="7.1796875" style="154" customWidth="1"/>
    <col min="1026" max="1026" width="2.36328125" style="154" customWidth="1"/>
    <col min="1027" max="1027" width="6.36328125" style="154" customWidth="1"/>
    <col min="1028" max="1028" width="33.453125" style="154" customWidth="1"/>
    <col min="1029" max="1029" width="18" style="154" customWidth="1"/>
    <col min="1030" max="1030" width="27.6328125" style="154" customWidth="1"/>
    <col min="1031" max="1031" width="28.90625" style="154" bestFit="1" customWidth="1"/>
    <col min="1032" max="1032" width="3" style="154" customWidth="1"/>
    <col min="1033" max="1033" width="23.453125" style="154" customWidth="1"/>
    <col min="1034" max="1034" width="8.90625" style="154"/>
    <col min="1035" max="1035" width="17.90625" style="154" bestFit="1" customWidth="1"/>
    <col min="1036" max="1280" width="8.90625" style="154"/>
    <col min="1281" max="1281" width="7.1796875" style="154" customWidth="1"/>
    <col min="1282" max="1282" width="2.36328125" style="154" customWidth="1"/>
    <col min="1283" max="1283" width="6.36328125" style="154" customWidth="1"/>
    <col min="1284" max="1284" width="33.453125" style="154" customWidth="1"/>
    <col min="1285" max="1285" width="18" style="154" customWidth="1"/>
    <col min="1286" max="1286" width="27.6328125" style="154" customWidth="1"/>
    <col min="1287" max="1287" width="28.90625" style="154" bestFit="1" customWidth="1"/>
    <col min="1288" max="1288" width="3" style="154" customWidth="1"/>
    <col min="1289" max="1289" width="23.453125" style="154" customWidth="1"/>
    <col min="1290" max="1290" width="8.90625" style="154"/>
    <col min="1291" max="1291" width="17.90625" style="154" bestFit="1" customWidth="1"/>
    <col min="1292" max="1536" width="8.90625" style="154"/>
    <col min="1537" max="1537" width="7.1796875" style="154" customWidth="1"/>
    <col min="1538" max="1538" width="2.36328125" style="154" customWidth="1"/>
    <col min="1539" max="1539" width="6.36328125" style="154" customWidth="1"/>
    <col min="1540" max="1540" width="33.453125" style="154" customWidth="1"/>
    <col min="1541" max="1541" width="18" style="154" customWidth="1"/>
    <col min="1542" max="1542" width="27.6328125" style="154" customWidth="1"/>
    <col min="1543" max="1543" width="28.90625" style="154" bestFit="1" customWidth="1"/>
    <col min="1544" max="1544" width="3" style="154" customWidth="1"/>
    <col min="1545" max="1545" width="23.453125" style="154" customWidth="1"/>
    <col min="1546" max="1546" width="8.90625" style="154"/>
    <col min="1547" max="1547" width="17.90625" style="154" bestFit="1" customWidth="1"/>
    <col min="1548" max="1792" width="8.90625" style="154"/>
    <col min="1793" max="1793" width="7.1796875" style="154" customWidth="1"/>
    <col min="1794" max="1794" width="2.36328125" style="154" customWidth="1"/>
    <col min="1795" max="1795" width="6.36328125" style="154" customWidth="1"/>
    <col min="1796" max="1796" width="33.453125" style="154" customWidth="1"/>
    <col min="1797" max="1797" width="18" style="154" customWidth="1"/>
    <col min="1798" max="1798" width="27.6328125" style="154" customWidth="1"/>
    <col min="1799" max="1799" width="28.90625" style="154" bestFit="1" customWidth="1"/>
    <col min="1800" max="1800" width="3" style="154" customWidth="1"/>
    <col min="1801" max="1801" width="23.453125" style="154" customWidth="1"/>
    <col min="1802" max="1802" width="8.90625" style="154"/>
    <col min="1803" max="1803" width="17.90625" style="154" bestFit="1" customWidth="1"/>
    <col min="1804" max="2048" width="8.90625" style="154"/>
    <col min="2049" max="2049" width="7.1796875" style="154" customWidth="1"/>
    <col min="2050" max="2050" width="2.36328125" style="154" customWidth="1"/>
    <col min="2051" max="2051" width="6.36328125" style="154" customWidth="1"/>
    <col min="2052" max="2052" width="33.453125" style="154" customWidth="1"/>
    <col min="2053" max="2053" width="18" style="154" customWidth="1"/>
    <col min="2054" max="2054" width="27.6328125" style="154" customWidth="1"/>
    <col min="2055" max="2055" width="28.90625" style="154" bestFit="1" customWidth="1"/>
    <col min="2056" max="2056" width="3" style="154" customWidth="1"/>
    <col min="2057" max="2057" width="23.453125" style="154" customWidth="1"/>
    <col min="2058" max="2058" width="8.90625" style="154"/>
    <col min="2059" max="2059" width="17.90625" style="154" bestFit="1" customWidth="1"/>
    <col min="2060" max="2304" width="8.90625" style="154"/>
    <col min="2305" max="2305" width="7.1796875" style="154" customWidth="1"/>
    <col min="2306" max="2306" width="2.36328125" style="154" customWidth="1"/>
    <col min="2307" max="2307" width="6.36328125" style="154" customWidth="1"/>
    <col min="2308" max="2308" width="33.453125" style="154" customWidth="1"/>
    <col min="2309" max="2309" width="18" style="154" customWidth="1"/>
    <col min="2310" max="2310" width="27.6328125" style="154" customWidth="1"/>
    <col min="2311" max="2311" width="28.90625" style="154" bestFit="1" customWidth="1"/>
    <col min="2312" max="2312" width="3" style="154" customWidth="1"/>
    <col min="2313" max="2313" width="23.453125" style="154" customWidth="1"/>
    <col min="2314" max="2314" width="8.90625" style="154"/>
    <col min="2315" max="2315" width="17.90625" style="154" bestFit="1" customWidth="1"/>
    <col min="2316" max="2560" width="8.90625" style="154"/>
    <col min="2561" max="2561" width="7.1796875" style="154" customWidth="1"/>
    <col min="2562" max="2562" width="2.36328125" style="154" customWidth="1"/>
    <col min="2563" max="2563" width="6.36328125" style="154" customWidth="1"/>
    <col min="2564" max="2564" width="33.453125" style="154" customWidth="1"/>
    <col min="2565" max="2565" width="18" style="154" customWidth="1"/>
    <col min="2566" max="2566" width="27.6328125" style="154" customWidth="1"/>
    <col min="2567" max="2567" width="28.90625" style="154" bestFit="1" customWidth="1"/>
    <col min="2568" max="2568" width="3" style="154" customWidth="1"/>
    <col min="2569" max="2569" width="23.453125" style="154" customWidth="1"/>
    <col min="2570" max="2570" width="8.90625" style="154"/>
    <col min="2571" max="2571" width="17.90625" style="154" bestFit="1" customWidth="1"/>
    <col min="2572" max="2816" width="8.90625" style="154"/>
    <col min="2817" max="2817" width="7.1796875" style="154" customWidth="1"/>
    <col min="2818" max="2818" width="2.36328125" style="154" customWidth="1"/>
    <col min="2819" max="2819" width="6.36328125" style="154" customWidth="1"/>
    <col min="2820" max="2820" width="33.453125" style="154" customWidth="1"/>
    <col min="2821" max="2821" width="18" style="154" customWidth="1"/>
    <col min="2822" max="2822" width="27.6328125" style="154" customWidth="1"/>
    <col min="2823" max="2823" width="28.90625" style="154" bestFit="1" customWidth="1"/>
    <col min="2824" max="2824" width="3" style="154" customWidth="1"/>
    <col min="2825" max="2825" width="23.453125" style="154" customWidth="1"/>
    <col min="2826" max="2826" width="8.90625" style="154"/>
    <col min="2827" max="2827" width="17.90625" style="154" bestFit="1" customWidth="1"/>
    <col min="2828" max="3072" width="8.90625" style="154"/>
    <col min="3073" max="3073" width="7.1796875" style="154" customWidth="1"/>
    <col min="3074" max="3074" width="2.36328125" style="154" customWidth="1"/>
    <col min="3075" max="3075" width="6.36328125" style="154" customWidth="1"/>
    <col min="3076" max="3076" width="33.453125" style="154" customWidth="1"/>
    <col min="3077" max="3077" width="18" style="154" customWidth="1"/>
    <col min="3078" max="3078" width="27.6328125" style="154" customWidth="1"/>
    <col min="3079" max="3079" width="28.90625" style="154" bestFit="1" customWidth="1"/>
    <col min="3080" max="3080" width="3" style="154" customWidth="1"/>
    <col min="3081" max="3081" width="23.453125" style="154" customWidth="1"/>
    <col min="3082" max="3082" width="8.90625" style="154"/>
    <col min="3083" max="3083" width="17.90625" style="154" bestFit="1" customWidth="1"/>
    <col min="3084" max="3328" width="8.90625" style="154"/>
    <col min="3329" max="3329" width="7.1796875" style="154" customWidth="1"/>
    <col min="3330" max="3330" width="2.36328125" style="154" customWidth="1"/>
    <col min="3331" max="3331" width="6.36328125" style="154" customWidth="1"/>
    <col min="3332" max="3332" width="33.453125" style="154" customWidth="1"/>
    <col min="3333" max="3333" width="18" style="154" customWidth="1"/>
    <col min="3334" max="3334" width="27.6328125" style="154" customWidth="1"/>
    <col min="3335" max="3335" width="28.90625" style="154" bestFit="1" customWidth="1"/>
    <col min="3336" max="3336" width="3" style="154" customWidth="1"/>
    <col min="3337" max="3337" width="23.453125" style="154" customWidth="1"/>
    <col min="3338" max="3338" width="8.90625" style="154"/>
    <col min="3339" max="3339" width="17.90625" style="154" bestFit="1" customWidth="1"/>
    <col min="3340" max="3584" width="8.90625" style="154"/>
    <col min="3585" max="3585" width="7.1796875" style="154" customWidth="1"/>
    <col min="3586" max="3586" width="2.36328125" style="154" customWidth="1"/>
    <col min="3587" max="3587" width="6.36328125" style="154" customWidth="1"/>
    <col min="3588" max="3588" width="33.453125" style="154" customWidth="1"/>
    <col min="3589" max="3589" width="18" style="154" customWidth="1"/>
    <col min="3590" max="3590" width="27.6328125" style="154" customWidth="1"/>
    <col min="3591" max="3591" width="28.90625" style="154" bestFit="1" customWidth="1"/>
    <col min="3592" max="3592" width="3" style="154" customWidth="1"/>
    <col min="3593" max="3593" width="23.453125" style="154" customWidth="1"/>
    <col min="3594" max="3594" width="8.90625" style="154"/>
    <col min="3595" max="3595" width="17.90625" style="154" bestFit="1" customWidth="1"/>
    <col min="3596" max="3840" width="8.90625" style="154"/>
    <col min="3841" max="3841" width="7.1796875" style="154" customWidth="1"/>
    <col min="3842" max="3842" width="2.36328125" style="154" customWidth="1"/>
    <col min="3843" max="3843" width="6.36328125" style="154" customWidth="1"/>
    <col min="3844" max="3844" width="33.453125" style="154" customWidth="1"/>
    <col min="3845" max="3845" width="18" style="154" customWidth="1"/>
    <col min="3846" max="3846" width="27.6328125" style="154" customWidth="1"/>
    <col min="3847" max="3847" width="28.90625" style="154" bestFit="1" customWidth="1"/>
    <col min="3848" max="3848" width="3" style="154" customWidth="1"/>
    <col min="3849" max="3849" width="23.453125" style="154" customWidth="1"/>
    <col min="3850" max="3850" width="8.90625" style="154"/>
    <col min="3851" max="3851" width="17.90625" style="154" bestFit="1" customWidth="1"/>
    <col min="3852" max="4096" width="8.90625" style="154"/>
    <col min="4097" max="4097" width="7.1796875" style="154" customWidth="1"/>
    <col min="4098" max="4098" width="2.36328125" style="154" customWidth="1"/>
    <col min="4099" max="4099" width="6.36328125" style="154" customWidth="1"/>
    <col min="4100" max="4100" width="33.453125" style="154" customWidth="1"/>
    <col min="4101" max="4101" width="18" style="154" customWidth="1"/>
    <col min="4102" max="4102" width="27.6328125" style="154" customWidth="1"/>
    <col min="4103" max="4103" width="28.90625" style="154" bestFit="1" customWidth="1"/>
    <col min="4104" max="4104" width="3" style="154" customWidth="1"/>
    <col min="4105" max="4105" width="23.453125" style="154" customWidth="1"/>
    <col min="4106" max="4106" width="8.90625" style="154"/>
    <col min="4107" max="4107" width="17.90625" style="154" bestFit="1" customWidth="1"/>
    <col min="4108" max="4352" width="8.90625" style="154"/>
    <col min="4353" max="4353" width="7.1796875" style="154" customWidth="1"/>
    <col min="4354" max="4354" width="2.36328125" style="154" customWidth="1"/>
    <col min="4355" max="4355" width="6.36328125" style="154" customWidth="1"/>
    <col min="4356" max="4356" width="33.453125" style="154" customWidth="1"/>
    <col min="4357" max="4357" width="18" style="154" customWidth="1"/>
    <col min="4358" max="4358" width="27.6328125" style="154" customWidth="1"/>
    <col min="4359" max="4359" width="28.90625" style="154" bestFit="1" customWidth="1"/>
    <col min="4360" max="4360" width="3" style="154" customWidth="1"/>
    <col min="4361" max="4361" width="23.453125" style="154" customWidth="1"/>
    <col min="4362" max="4362" width="8.90625" style="154"/>
    <col min="4363" max="4363" width="17.90625" style="154" bestFit="1" customWidth="1"/>
    <col min="4364" max="4608" width="8.90625" style="154"/>
    <col min="4609" max="4609" width="7.1796875" style="154" customWidth="1"/>
    <col min="4610" max="4610" width="2.36328125" style="154" customWidth="1"/>
    <col min="4611" max="4611" width="6.36328125" style="154" customWidth="1"/>
    <col min="4612" max="4612" width="33.453125" style="154" customWidth="1"/>
    <col min="4613" max="4613" width="18" style="154" customWidth="1"/>
    <col min="4614" max="4614" width="27.6328125" style="154" customWidth="1"/>
    <col min="4615" max="4615" width="28.90625" style="154" bestFit="1" customWidth="1"/>
    <col min="4616" max="4616" width="3" style="154" customWidth="1"/>
    <col min="4617" max="4617" width="23.453125" style="154" customWidth="1"/>
    <col min="4618" max="4618" width="8.90625" style="154"/>
    <col min="4619" max="4619" width="17.90625" style="154" bestFit="1" customWidth="1"/>
    <col min="4620" max="4864" width="8.90625" style="154"/>
    <col min="4865" max="4865" width="7.1796875" style="154" customWidth="1"/>
    <col min="4866" max="4866" width="2.36328125" style="154" customWidth="1"/>
    <col min="4867" max="4867" width="6.36328125" style="154" customWidth="1"/>
    <col min="4868" max="4868" width="33.453125" style="154" customWidth="1"/>
    <col min="4869" max="4869" width="18" style="154" customWidth="1"/>
    <col min="4870" max="4870" width="27.6328125" style="154" customWidth="1"/>
    <col min="4871" max="4871" width="28.90625" style="154" bestFit="1" customWidth="1"/>
    <col min="4872" max="4872" width="3" style="154" customWidth="1"/>
    <col min="4873" max="4873" width="23.453125" style="154" customWidth="1"/>
    <col min="4874" max="4874" width="8.90625" style="154"/>
    <col min="4875" max="4875" width="17.90625" style="154" bestFit="1" customWidth="1"/>
    <col min="4876" max="5120" width="8.90625" style="154"/>
    <col min="5121" max="5121" width="7.1796875" style="154" customWidth="1"/>
    <col min="5122" max="5122" width="2.36328125" style="154" customWidth="1"/>
    <col min="5123" max="5123" width="6.36328125" style="154" customWidth="1"/>
    <col min="5124" max="5124" width="33.453125" style="154" customWidth="1"/>
    <col min="5125" max="5125" width="18" style="154" customWidth="1"/>
    <col min="5126" max="5126" width="27.6328125" style="154" customWidth="1"/>
    <col min="5127" max="5127" width="28.90625" style="154" bestFit="1" customWidth="1"/>
    <col min="5128" max="5128" width="3" style="154" customWidth="1"/>
    <col min="5129" max="5129" width="23.453125" style="154" customWidth="1"/>
    <col min="5130" max="5130" width="8.90625" style="154"/>
    <col min="5131" max="5131" width="17.90625" style="154" bestFit="1" customWidth="1"/>
    <col min="5132" max="5376" width="8.90625" style="154"/>
    <col min="5377" max="5377" width="7.1796875" style="154" customWidth="1"/>
    <col min="5378" max="5378" width="2.36328125" style="154" customWidth="1"/>
    <col min="5379" max="5379" width="6.36328125" style="154" customWidth="1"/>
    <col min="5380" max="5380" width="33.453125" style="154" customWidth="1"/>
    <col min="5381" max="5381" width="18" style="154" customWidth="1"/>
    <col min="5382" max="5382" width="27.6328125" style="154" customWidth="1"/>
    <col min="5383" max="5383" width="28.90625" style="154" bestFit="1" customWidth="1"/>
    <col min="5384" max="5384" width="3" style="154" customWidth="1"/>
    <col min="5385" max="5385" width="23.453125" style="154" customWidth="1"/>
    <col min="5386" max="5386" width="8.90625" style="154"/>
    <col min="5387" max="5387" width="17.90625" style="154" bestFit="1" customWidth="1"/>
    <col min="5388" max="5632" width="8.90625" style="154"/>
    <col min="5633" max="5633" width="7.1796875" style="154" customWidth="1"/>
    <col min="5634" max="5634" width="2.36328125" style="154" customWidth="1"/>
    <col min="5635" max="5635" width="6.36328125" style="154" customWidth="1"/>
    <col min="5636" max="5636" width="33.453125" style="154" customWidth="1"/>
    <col min="5637" max="5637" width="18" style="154" customWidth="1"/>
    <col min="5638" max="5638" width="27.6328125" style="154" customWidth="1"/>
    <col min="5639" max="5639" width="28.90625" style="154" bestFit="1" customWidth="1"/>
    <col min="5640" max="5640" width="3" style="154" customWidth="1"/>
    <col min="5641" max="5641" width="23.453125" style="154" customWidth="1"/>
    <col min="5642" max="5642" width="8.90625" style="154"/>
    <col min="5643" max="5643" width="17.90625" style="154" bestFit="1" customWidth="1"/>
    <col min="5644" max="5888" width="8.90625" style="154"/>
    <col min="5889" max="5889" width="7.1796875" style="154" customWidth="1"/>
    <col min="5890" max="5890" width="2.36328125" style="154" customWidth="1"/>
    <col min="5891" max="5891" width="6.36328125" style="154" customWidth="1"/>
    <col min="5892" max="5892" width="33.453125" style="154" customWidth="1"/>
    <col min="5893" max="5893" width="18" style="154" customWidth="1"/>
    <col min="5894" max="5894" width="27.6328125" style="154" customWidth="1"/>
    <col min="5895" max="5895" width="28.90625" style="154" bestFit="1" customWidth="1"/>
    <col min="5896" max="5896" width="3" style="154" customWidth="1"/>
    <col min="5897" max="5897" width="23.453125" style="154" customWidth="1"/>
    <col min="5898" max="5898" width="8.90625" style="154"/>
    <col min="5899" max="5899" width="17.90625" style="154" bestFit="1" customWidth="1"/>
    <col min="5900" max="6144" width="8.90625" style="154"/>
    <col min="6145" max="6145" width="7.1796875" style="154" customWidth="1"/>
    <col min="6146" max="6146" width="2.36328125" style="154" customWidth="1"/>
    <col min="6147" max="6147" width="6.36328125" style="154" customWidth="1"/>
    <col min="6148" max="6148" width="33.453125" style="154" customWidth="1"/>
    <col min="6149" max="6149" width="18" style="154" customWidth="1"/>
    <col min="6150" max="6150" width="27.6328125" style="154" customWidth="1"/>
    <col min="6151" max="6151" width="28.90625" style="154" bestFit="1" customWidth="1"/>
    <col min="6152" max="6152" width="3" style="154" customWidth="1"/>
    <col min="6153" max="6153" width="23.453125" style="154" customWidth="1"/>
    <col min="6154" max="6154" width="8.90625" style="154"/>
    <col min="6155" max="6155" width="17.90625" style="154" bestFit="1" customWidth="1"/>
    <col min="6156" max="6400" width="8.90625" style="154"/>
    <col min="6401" max="6401" width="7.1796875" style="154" customWidth="1"/>
    <col min="6402" max="6402" width="2.36328125" style="154" customWidth="1"/>
    <col min="6403" max="6403" width="6.36328125" style="154" customWidth="1"/>
    <col min="6404" max="6404" width="33.453125" style="154" customWidth="1"/>
    <col min="6405" max="6405" width="18" style="154" customWidth="1"/>
    <col min="6406" max="6406" width="27.6328125" style="154" customWidth="1"/>
    <col min="6407" max="6407" width="28.90625" style="154" bestFit="1" customWidth="1"/>
    <col min="6408" max="6408" width="3" style="154" customWidth="1"/>
    <col min="6409" max="6409" width="23.453125" style="154" customWidth="1"/>
    <col min="6410" max="6410" width="8.90625" style="154"/>
    <col min="6411" max="6411" width="17.90625" style="154" bestFit="1" customWidth="1"/>
    <col min="6412" max="6656" width="8.90625" style="154"/>
    <col min="6657" max="6657" width="7.1796875" style="154" customWidth="1"/>
    <col min="6658" max="6658" width="2.36328125" style="154" customWidth="1"/>
    <col min="6659" max="6659" width="6.36328125" style="154" customWidth="1"/>
    <col min="6660" max="6660" width="33.453125" style="154" customWidth="1"/>
    <col min="6661" max="6661" width="18" style="154" customWidth="1"/>
    <col min="6662" max="6662" width="27.6328125" style="154" customWidth="1"/>
    <col min="6663" max="6663" width="28.90625" style="154" bestFit="1" customWidth="1"/>
    <col min="6664" max="6664" width="3" style="154" customWidth="1"/>
    <col min="6665" max="6665" width="23.453125" style="154" customWidth="1"/>
    <col min="6666" max="6666" width="8.90625" style="154"/>
    <col min="6667" max="6667" width="17.90625" style="154" bestFit="1" customWidth="1"/>
    <col min="6668" max="6912" width="8.90625" style="154"/>
    <col min="6913" max="6913" width="7.1796875" style="154" customWidth="1"/>
    <col min="6914" max="6914" width="2.36328125" style="154" customWidth="1"/>
    <col min="6915" max="6915" width="6.36328125" style="154" customWidth="1"/>
    <col min="6916" max="6916" width="33.453125" style="154" customWidth="1"/>
    <col min="6917" max="6917" width="18" style="154" customWidth="1"/>
    <col min="6918" max="6918" width="27.6328125" style="154" customWidth="1"/>
    <col min="6919" max="6919" width="28.90625" style="154" bestFit="1" customWidth="1"/>
    <col min="6920" max="6920" width="3" style="154" customWidth="1"/>
    <col min="6921" max="6921" width="23.453125" style="154" customWidth="1"/>
    <col min="6922" max="6922" width="8.90625" style="154"/>
    <col min="6923" max="6923" width="17.90625" style="154" bestFit="1" customWidth="1"/>
    <col min="6924" max="7168" width="8.90625" style="154"/>
    <col min="7169" max="7169" width="7.1796875" style="154" customWidth="1"/>
    <col min="7170" max="7170" width="2.36328125" style="154" customWidth="1"/>
    <col min="7171" max="7171" width="6.36328125" style="154" customWidth="1"/>
    <col min="7172" max="7172" width="33.453125" style="154" customWidth="1"/>
    <col min="7173" max="7173" width="18" style="154" customWidth="1"/>
    <col min="7174" max="7174" width="27.6328125" style="154" customWidth="1"/>
    <col min="7175" max="7175" width="28.90625" style="154" bestFit="1" customWidth="1"/>
    <col min="7176" max="7176" width="3" style="154" customWidth="1"/>
    <col min="7177" max="7177" width="23.453125" style="154" customWidth="1"/>
    <col min="7178" max="7178" width="8.90625" style="154"/>
    <col min="7179" max="7179" width="17.90625" style="154" bestFit="1" customWidth="1"/>
    <col min="7180" max="7424" width="8.90625" style="154"/>
    <col min="7425" max="7425" width="7.1796875" style="154" customWidth="1"/>
    <col min="7426" max="7426" width="2.36328125" style="154" customWidth="1"/>
    <col min="7427" max="7427" width="6.36328125" style="154" customWidth="1"/>
    <col min="7428" max="7428" width="33.453125" style="154" customWidth="1"/>
    <col min="7429" max="7429" width="18" style="154" customWidth="1"/>
    <col min="7430" max="7430" width="27.6328125" style="154" customWidth="1"/>
    <col min="7431" max="7431" width="28.90625" style="154" bestFit="1" customWidth="1"/>
    <col min="7432" max="7432" width="3" style="154" customWidth="1"/>
    <col min="7433" max="7433" width="23.453125" style="154" customWidth="1"/>
    <col min="7434" max="7434" width="8.90625" style="154"/>
    <col min="7435" max="7435" width="17.90625" style="154" bestFit="1" customWidth="1"/>
    <col min="7436" max="7680" width="8.90625" style="154"/>
    <col min="7681" max="7681" width="7.1796875" style="154" customWidth="1"/>
    <col min="7682" max="7682" width="2.36328125" style="154" customWidth="1"/>
    <col min="7683" max="7683" width="6.36328125" style="154" customWidth="1"/>
    <col min="7684" max="7684" width="33.453125" style="154" customWidth="1"/>
    <col min="7685" max="7685" width="18" style="154" customWidth="1"/>
    <col min="7686" max="7686" width="27.6328125" style="154" customWidth="1"/>
    <col min="7687" max="7687" width="28.90625" style="154" bestFit="1" customWidth="1"/>
    <col min="7688" max="7688" width="3" style="154" customWidth="1"/>
    <col min="7689" max="7689" width="23.453125" style="154" customWidth="1"/>
    <col min="7690" max="7690" width="8.90625" style="154"/>
    <col min="7691" max="7691" width="17.90625" style="154" bestFit="1" customWidth="1"/>
    <col min="7692" max="7936" width="8.90625" style="154"/>
    <col min="7937" max="7937" width="7.1796875" style="154" customWidth="1"/>
    <col min="7938" max="7938" width="2.36328125" style="154" customWidth="1"/>
    <col min="7939" max="7939" width="6.36328125" style="154" customWidth="1"/>
    <col min="7940" max="7940" width="33.453125" style="154" customWidth="1"/>
    <col min="7941" max="7941" width="18" style="154" customWidth="1"/>
    <col min="7942" max="7942" width="27.6328125" style="154" customWidth="1"/>
    <col min="7943" max="7943" width="28.90625" style="154" bestFit="1" customWidth="1"/>
    <col min="7944" max="7944" width="3" style="154" customWidth="1"/>
    <col min="7945" max="7945" width="23.453125" style="154" customWidth="1"/>
    <col min="7946" max="7946" width="8.90625" style="154"/>
    <col min="7947" max="7947" width="17.90625" style="154" bestFit="1" customWidth="1"/>
    <col min="7948" max="8192" width="8.90625" style="154"/>
    <col min="8193" max="8193" width="7.1796875" style="154" customWidth="1"/>
    <col min="8194" max="8194" width="2.36328125" style="154" customWidth="1"/>
    <col min="8195" max="8195" width="6.36328125" style="154" customWidth="1"/>
    <col min="8196" max="8196" width="33.453125" style="154" customWidth="1"/>
    <col min="8197" max="8197" width="18" style="154" customWidth="1"/>
    <col min="8198" max="8198" width="27.6328125" style="154" customWidth="1"/>
    <col min="8199" max="8199" width="28.90625" style="154" bestFit="1" customWidth="1"/>
    <col min="8200" max="8200" width="3" style="154" customWidth="1"/>
    <col min="8201" max="8201" width="23.453125" style="154" customWidth="1"/>
    <col min="8202" max="8202" width="8.90625" style="154"/>
    <col min="8203" max="8203" width="17.90625" style="154" bestFit="1" customWidth="1"/>
    <col min="8204" max="8448" width="8.90625" style="154"/>
    <col min="8449" max="8449" width="7.1796875" style="154" customWidth="1"/>
    <col min="8450" max="8450" width="2.36328125" style="154" customWidth="1"/>
    <col min="8451" max="8451" width="6.36328125" style="154" customWidth="1"/>
    <col min="8452" max="8452" width="33.453125" style="154" customWidth="1"/>
    <col min="8453" max="8453" width="18" style="154" customWidth="1"/>
    <col min="8454" max="8454" width="27.6328125" style="154" customWidth="1"/>
    <col min="8455" max="8455" width="28.90625" style="154" bestFit="1" customWidth="1"/>
    <col min="8456" max="8456" width="3" style="154" customWidth="1"/>
    <col min="8457" max="8457" width="23.453125" style="154" customWidth="1"/>
    <col min="8458" max="8458" width="8.90625" style="154"/>
    <col min="8459" max="8459" width="17.90625" style="154" bestFit="1" customWidth="1"/>
    <col min="8460" max="8704" width="8.90625" style="154"/>
    <col min="8705" max="8705" width="7.1796875" style="154" customWidth="1"/>
    <col min="8706" max="8706" width="2.36328125" style="154" customWidth="1"/>
    <col min="8707" max="8707" width="6.36328125" style="154" customWidth="1"/>
    <col min="8708" max="8708" width="33.453125" style="154" customWidth="1"/>
    <col min="8709" max="8709" width="18" style="154" customWidth="1"/>
    <col min="8710" max="8710" width="27.6328125" style="154" customWidth="1"/>
    <col min="8711" max="8711" width="28.90625" style="154" bestFit="1" customWidth="1"/>
    <col min="8712" max="8712" width="3" style="154" customWidth="1"/>
    <col min="8713" max="8713" width="23.453125" style="154" customWidth="1"/>
    <col min="8714" max="8714" width="8.90625" style="154"/>
    <col min="8715" max="8715" width="17.90625" style="154" bestFit="1" customWidth="1"/>
    <col min="8716" max="8960" width="8.90625" style="154"/>
    <col min="8961" max="8961" width="7.1796875" style="154" customWidth="1"/>
    <col min="8962" max="8962" width="2.36328125" style="154" customWidth="1"/>
    <col min="8963" max="8963" width="6.36328125" style="154" customWidth="1"/>
    <col min="8964" max="8964" width="33.453125" style="154" customWidth="1"/>
    <col min="8965" max="8965" width="18" style="154" customWidth="1"/>
    <col min="8966" max="8966" width="27.6328125" style="154" customWidth="1"/>
    <col min="8967" max="8967" width="28.90625" style="154" bestFit="1" customWidth="1"/>
    <col min="8968" max="8968" width="3" style="154" customWidth="1"/>
    <col min="8969" max="8969" width="23.453125" style="154" customWidth="1"/>
    <col min="8970" max="8970" width="8.90625" style="154"/>
    <col min="8971" max="8971" width="17.90625" style="154" bestFit="1" customWidth="1"/>
    <col min="8972" max="9216" width="8.90625" style="154"/>
    <col min="9217" max="9217" width="7.1796875" style="154" customWidth="1"/>
    <col min="9218" max="9218" width="2.36328125" style="154" customWidth="1"/>
    <col min="9219" max="9219" width="6.36328125" style="154" customWidth="1"/>
    <col min="9220" max="9220" width="33.453125" style="154" customWidth="1"/>
    <col min="9221" max="9221" width="18" style="154" customWidth="1"/>
    <col min="9222" max="9222" width="27.6328125" style="154" customWidth="1"/>
    <col min="9223" max="9223" width="28.90625" style="154" bestFit="1" customWidth="1"/>
    <col min="9224" max="9224" width="3" style="154" customWidth="1"/>
    <col min="9225" max="9225" width="23.453125" style="154" customWidth="1"/>
    <col min="9226" max="9226" width="8.90625" style="154"/>
    <col min="9227" max="9227" width="17.90625" style="154" bestFit="1" customWidth="1"/>
    <col min="9228" max="9472" width="8.90625" style="154"/>
    <col min="9473" max="9473" width="7.1796875" style="154" customWidth="1"/>
    <col min="9474" max="9474" width="2.36328125" style="154" customWidth="1"/>
    <col min="9475" max="9475" width="6.36328125" style="154" customWidth="1"/>
    <col min="9476" max="9476" width="33.453125" style="154" customWidth="1"/>
    <col min="9477" max="9477" width="18" style="154" customWidth="1"/>
    <col min="9478" max="9478" width="27.6328125" style="154" customWidth="1"/>
    <col min="9479" max="9479" width="28.90625" style="154" bestFit="1" customWidth="1"/>
    <col min="9480" max="9480" width="3" style="154" customWidth="1"/>
    <col min="9481" max="9481" width="23.453125" style="154" customWidth="1"/>
    <col min="9482" max="9482" width="8.90625" style="154"/>
    <col min="9483" max="9483" width="17.90625" style="154" bestFit="1" customWidth="1"/>
    <col min="9484" max="9728" width="8.90625" style="154"/>
    <col min="9729" max="9729" width="7.1796875" style="154" customWidth="1"/>
    <col min="9730" max="9730" width="2.36328125" style="154" customWidth="1"/>
    <col min="9731" max="9731" width="6.36328125" style="154" customWidth="1"/>
    <col min="9732" max="9732" width="33.453125" style="154" customWidth="1"/>
    <col min="9733" max="9733" width="18" style="154" customWidth="1"/>
    <col min="9734" max="9734" width="27.6328125" style="154" customWidth="1"/>
    <col min="9735" max="9735" width="28.90625" style="154" bestFit="1" customWidth="1"/>
    <col min="9736" max="9736" width="3" style="154" customWidth="1"/>
    <col min="9737" max="9737" width="23.453125" style="154" customWidth="1"/>
    <col min="9738" max="9738" width="8.90625" style="154"/>
    <col min="9739" max="9739" width="17.90625" style="154" bestFit="1" customWidth="1"/>
    <col min="9740" max="9984" width="8.90625" style="154"/>
    <col min="9985" max="9985" width="7.1796875" style="154" customWidth="1"/>
    <col min="9986" max="9986" width="2.36328125" style="154" customWidth="1"/>
    <col min="9987" max="9987" width="6.36328125" style="154" customWidth="1"/>
    <col min="9988" max="9988" width="33.453125" style="154" customWidth="1"/>
    <col min="9989" max="9989" width="18" style="154" customWidth="1"/>
    <col min="9990" max="9990" width="27.6328125" style="154" customWidth="1"/>
    <col min="9991" max="9991" width="28.90625" style="154" bestFit="1" customWidth="1"/>
    <col min="9992" max="9992" width="3" style="154" customWidth="1"/>
    <col min="9993" max="9993" width="23.453125" style="154" customWidth="1"/>
    <col min="9994" max="9994" width="8.90625" style="154"/>
    <col min="9995" max="9995" width="17.90625" style="154" bestFit="1" customWidth="1"/>
    <col min="9996" max="10240" width="8.90625" style="154"/>
    <col min="10241" max="10241" width="7.1796875" style="154" customWidth="1"/>
    <col min="10242" max="10242" width="2.36328125" style="154" customWidth="1"/>
    <col min="10243" max="10243" width="6.36328125" style="154" customWidth="1"/>
    <col min="10244" max="10244" width="33.453125" style="154" customWidth="1"/>
    <col min="10245" max="10245" width="18" style="154" customWidth="1"/>
    <col min="10246" max="10246" width="27.6328125" style="154" customWidth="1"/>
    <col min="10247" max="10247" width="28.90625" style="154" bestFit="1" customWidth="1"/>
    <col min="10248" max="10248" width="3" style="154" customWidth="1"/>
    <col min="10249" max="10249" width="23.453125" style="154" customWidth="1"/>
    <col min="10250" max="10250" width="8.90625" style="154"/>
    <col min="10251" max="10251" width="17.90625" style="154" bestFit="1" customWidth="1"/>
    <col min="10252" max="10496" width="8.90625" style="154"/>
    <col min="10497" max="10497" width="7.1796875" style="154" customWidth="1"/>
    <col min="10498" max="10498" width="2.36328125" style="154" customWidth="1"/>
    <col min="10499" max="10499" width="6.36328125" style="154" customWidth="1"/>
    <col min="10500" max="10500" width="33.453125" style="154" customWidth="1"/>
    <col min="10501" max="10501" width="18" style="154" customWidth="1"/>
    <col min="10502" max="10502" width="27.6328125" style="154" customWidth="1"/>
    <col min="10503" max="10503" width="28.90625" style="154" bestFit="1" customWidth="1"/>
    <col min="10504" max="10504" width="3" style="154" customWidth="1"/>
    <col min="10505" max="10505" width="23.453125" style="154" customWidth="1"/>
    <col min="10506" max="10506" width="8.90625" style="154"/>
    <col min="10507" max="10507" width="17.90625" style="154" bestFit="1" customWidth="1"/>
    <col min="10508" max="10752" width="8.90625" style="154"/>
    <col min="10753" max="10753" width="7.1796875" style="154" customWidth="1"/>
    <col min="10754" max="10754" width="2.36328125" style="154" customWidth="1"/>
    <col min="10755" max="10755" width="6.36328125" style="154" customWidth="1"/>
    <col min="10756" max="10756" width="33.453125" style="154" customWidth="1"/>
    <col min="10757" max="10757" width="18" style="154" customWidth="1"/>
    <col min="10758" max="10758" width="27.6328125" style="154" customWidth="1"/>
    <col min="10759" max="10759" width="28.90625" style="154" bestFit="1" customWidth="1"/>
    <col min="10760" max="10760" width="3" style="154" customWidth="1"/>
    <col min="10761" max="10761" width="23.453125" style="154" customWidth="1"/>
    <col min="10762" max="10762" width="8.90625" style="154"/>
    <col min="10763" max="10763" width="17.90625" style="154" bestFit="1" customWidth="1"/>
    <col min="10764" max="11008" width="8.90625" style="154"/>
    <col min="11009" max="11009" width="7.1796875" style="154" customWidth="1"/>
    <col min="11010" max="11010" width="2.36328125" style="154" customWidth="1"/>
    <col min="11011" max="11011" width="6.36328125" style="154" customWidth="1"/>
    <col min="11012" max="11012" width="33.453125" style="154" customWidth="1"/>
    <col min="11013" max="11013" width="18" style="154" customWidth="1"/>
    <col min="11014" max="11014" width="27.6328125" style="154" customWidth="1"/>
    <col min="11015" max="11015" width="28.90625" style="154" bestFit="1" customWidth="1"/>
    <col min="11016" max="11016" width="3" style="154" customWidth="1"/>
    <col min="11017" max="11017" width="23.453125" style="154" customWidth="1"/>
    <col min="11018" max="11018" width="8.90625" style="154"/>
    <col min="11019" max="11019" width="17.90625" style="154" bestFit="1" customWidth="1"/>
    <col min="11020" max="11264" width="8.90625" style="154"/>
    <col min="11265" max="11265" width="7.1796875" style="154" customWidth="1"/>
    <col min="11266" max="11266" width="2.36328125" style="154" customWidth="1"/>
    <col min="11267" max="11267" width="6.36328125" style="154" customWidth="1"/>
    <col min="11268" max="11268" width="33.453125" style="154" customWidth="1"/>
    <col min="11269" max="11269" width="18" style="154" customWidth="1"/>
    <col min="11270" max="11270" width="27.6328125" style="154" customWidth="1"/>
    <col min="11271" max="11271" width="28.90625" style="154" bestFit="1" customWidth="1"/>
    <col min="11272" max="11272" width="3" style="154" customWidth="1"/>
    <col min="11273" max="11273" width="23.453125" style="154" customWidth="1"/>
    <col min="11274" max="11274" width="8.90625" style="154"/>
    <col min="11275" max="11275" width="17.90625" style="154" bestFit="1" customWidth="1"/>
    <col min="11276" max="11520" width="8.90625" style="154"/>
    <col min="11521" max="11521" width="7.1796875" style="154" customWidth="1"/>
    <col min="11522" max="11522" width="2.36328125" style="154" customWidth="1"/>
    <col min="11523" max="11523" width="6.36328125" style="154" customWidth="1"/>
    <col min="11524" max="11524" width="33.453125" style="154" customWidth="1"/>
    <col min="11525" max="11525" width="18" style="154" customWidth="1"/>
    <col min="11526" max="11526" width="27.6328125" style="154" customWidth="1"/>
    <col min="11527" max="11527" width="28.90625" style="154" bestFit="1" customWidth="1"/>
    <col min="11528" max="11528" width="3" style="154" customWidth="1"/>
    <col min="11529" max="11529" width="23.453125" style="154" customWidth="1"/>
    <col min="11530" max="11530" width="8.90625" style="154"/>
    <col min="11531" max="11531" width="17.90625" style="154" bestFit="1" customWidth="1"/>
    <col min="11532" max="11776" width="8.90625" style="154"/>
    <col min="11777" max="11777" width="7.1796875" style="154" customWidth="1"/>
    <col min="11778" max="11778" width="2.36328125" style="154" customWidth="1"/>
    <col min="11779" max="11779" width="6.36328125" style="154" customWidth="1"/>
    <col min="11780" max="11780" width="33.453125" style="154" customWidth="1"/>
    <col min="11781" max="11781" width="18" style="154" customWidth="1"/>
    <col min="11782" max="11782" width="27.6328125" style="154" customWidth="1"/>
    <col min="11783" max="11783" width="28.90625" style="154" bestFit="1" customWidth="1"/>
    <col min="11784" max="11784" width="3" style="154" customWidth="1"/>
    <col min="11785" max="11785" width="23.453125" style="154" customWidth="1"/>
    <col min="11786" max="11786" width="8.90625" style="154"/>
    <col min="11787" max="11787" width="17.90625" style="154" bestFit="1" customWidth="1"/>
    <col min="11788" max="12032" width="8.90625" style="154"/>
    <col min="12033" max="12033" width="7.1796875" style="154" customWidth="1"/>
    <col min="12034" max="12034" width="2.36328125" style="154" customWidth="1"/>
    <col min="12035" max="12035" width="6.36328125" style="154" customWidth="1"/>
    <col min="12036" max="12036" width="33.453125" style="154" customWidth="1"/>
    <col min="12037" max="12037" width="18" style="154" customWidth="1"/>
    <col min="12038" max="12038" width="27.6328125" style="154" customWidth="1"/>
    <col min="12039" max="12039" width="28.90625" style="154" bestFit="1" customWidth="1"/>
    <col min="12040" max="12040" width="3" style="154" customWidth="1"/>
    <col min="12041" max="12041" width="23.453125" style="154" customWidth="1"/>
    <col min="12042" max="12042" width="8.90625" style="154"/>
    <col min="12043" max="12043" width="17.90625" style="154" bestFit="1" customWidth="1"/>
    <col min="12044" max="12288" width="8.90625" style="154"/>
    <col min="12289" max="12289" width="7.1796875" style="154" customWidth="1"/>
    <col min="12290" max="12290" width="2.36328125" style="154" customWidth="1"/>
    <col min="12291" max="12291" width="6.36328125" style="154" customWidth="1"/>
    <col min="12292" max="12292" width="33.453125" style="154" customWidth="1"/>
    <col min="12293" max="12293" width="18" style="154" customWidth="1"/>
    <col min="12294" max="12294" width="27.6328125" style="154" customWidth="1"/>
    <col min="12295" max="12295" width="28.90625" style="154" bestFit="1" customWidth="1"/>
    <col min="12296" max="12296" width="3" style="154" customWidth="1"/>
    <col min="12297" max="12297" width="23.453125" style="154" customWidth="1"/>
    <col min="12298" max="12298" width="8.90625" style="154"/>
    <col min="12299" max="12299" width="17.90625" style="154" bestFit="1" customWidth="1"/>
    <col min="12300" max="12544" width="8.90625" style="154"/>
    <col min="12545" max="12545" width="7.1796875" style="154" customWidth="1"/>
    <col min="12546" max="12546" width="2.36328125" style="154" customWidth="1"/>
    <col min="12547" max="12547" width="6.36328125" style="154" customWidth="1"/>
    <col min="12548" max="12548" width="33.453125" style="154" customWidth="1"/>
    <col min="12549" max="12549" width="18" style="154" customWidth="1"/>
    <col min="12550" max="12550" width="27.6328125" style="154" customWidth="1"/>
    <col min="12551" max="12551" width="28.90625" style="154" bestFit="1" customWidth="1"/>
    <col min="12552" max="12552" width="3" style="154" customWidth="1"/>
    <col min="12553" max="12553" width="23.453125" style="154" customWidth="1"/>
    <col min="12554" max="12554" width="8.90625" style="154"/>
    <col min="12555" max="12555" width="17.90625" style="154" bestFit="1" customWidth="1"/>
    <col min="12556" max="12800" width="8.90625" style="154"/>
    <col min="12801" max="12801" width="7.1796875" style="154" customWidth="1"/>
    <col min="12802" max="12802" width="2.36328125" style="154" customWidth="1"/>
    <col min="12803" max="12803" width="6.36328125" style="154" customWidth="1"/>
    <col min="12804" max="12804" width="33.453125" style="154" customWidth="1"/>
    <col min="12805" max="12805" width="18" style="154" customWidth="1"/>
    <col min="12806" max="12806" width="27.6328125" style="154" customWidth="1"/>
    <col min="12807" max="12807" width="28.90625" style="154" bestFit="1" customWidth="1"/>
    <col min="12808" max="12808" width="3" style="154" customWidth="1"/>
    <col min="12809" max="12809" width="23.453125" style="154" customWidth="1"/>
    <col min="12810" max="12810" width="8.90625" style="154"/>
    <col min="12811" max="12811" width="17.90625" style="154" bestFit="1" customWidth="1"/>
    <col min="12812" max="13056" width="8.90625" style="154"/>
    <col min="13057" max="13057" width="7.1796875" style="154" customWidth="1"/>
    <col min="13058" max="13058" width="2.36328125" style="154" customWidth="1"/>
    <col min="13059" max="13059" width="6.36328125" style="154" customWidth="1"/>
    <col min="13060" max="13060" width="33.453125" style="154" customWidth="1"/>
    <col min="13061" max="13061" width="18" style="154" customWidth="1"/>
    <col min="13062" max="13062" width="27.6328125" style="154" customWidth="1"/>
    <col min="13063" max="13063" width="28.90625" style="154" bestFit="1" customWidth="1"/>
    <col min="13064" max="13064" width="3" style="154" customWidth="1"/>
    <col min="13065" max="13065" width="23.453125" style="154" customWidth="1"/>
    <col min="13066" max="13066" width="8.90625" style="154"/>
    <col min="13067" max="13067" width="17.90625" style="154" bestFit="1" customWidth="1"/>
    <col min="13068" max="13312" width="8.90625" style="154"/>
    <col min="13313" max="13313" width="7.1796875" style="154" customWidth="1"/>
    <col min="13314" max="13314" width="2.36328125" style="154" customWidth="1"/>
    <col min="13315" max="13315" width="6.36328125" style="154" customWidth="1"/>
    <col min="13316" max="13316" width="33.453125" style="154" customWidth="1"/>
    <col min="13317" max="13317" width="18" style="154" customWidth="1"/>
    <col min="13318" max="13318" width="27.6328125" style="154" customWidth="1"/>
    <col min="13319" max="13319" width="28.90625" style="154" bestFit="1" customWidth="1"/>
    <col min="13320" max="13320" width="3" style="154" customWidth="1"/>
    <col min="13321" max="13321" width="23.453125" style="154" customWidth="1"/>
    <col min="13322" max="13322" width="8.90625" style="154"/>
    <col min="13323" max="13323" width="17.90625" style="154" bestFit="1" customWidth="1"/>
    <col min="13324" max="13568" width="8.90625" style="154"/>
    <col min="13569" max="13569" width="7.1796875" style="154" customWidth="1"/>
    <col min="13570" max="13570" width="2.36328125" style="154" customWidth="1"/>
    <col min="13571" max="13571" width="6.36328125" style="154" customWidth="1"/>
    <col min="13572" max="13572" width="33.453125" style="154" customWidth="1"/>
    <col min="13573" max="13573" width="18" style="154" customWidth="1"/>
    <col min="13574" max="13574" width="27.6328125" style="154" customWidth="1"/>
    <col min="13575" max="13575" width="28.90625" style="154" bestFit="1" customWidth="1"/>
    <col min="13576" max="13576" width="3" style="154" customWidth="1"/>
    <col min="13577" max="13577" width="23.453125" style="154" customWidth="1"/>
    <col min="13578" max="13578" width="8.90625" style="154"/>
    <col min="13579" max="13579" width="17.90625" style="154" bestFit="1" customWidth="1"/>
    <col min="13580" max="13824" width="8.90625" style="154"/>
    <col min="13825" max="13825" width="7.1796875" style="154" customWidth="1"/>
    <col min="13826" max="13826" width="2.36328125" style="154" customWidth="1"/>
    <col min="13827" max="13827" width="6.36328125" style="154" customWidth="1"/>
    <col min="13828" max="13828" width="33.453125" style="154" customWidth="1"/>
    <col min="13829" max="13829" width="18" style="154" customWidth="1"/>
    <col min="13830" max="13830" width="27.6328125" style="154" customWidth="1"/>
    <col min="13831" max="13831" width="28.90625" style="154" bestFit="1" customWidth="1"/>
    <col min="13832" max="13832" width="3" style="154" customWidth="1"/>
    <col min="13833" max="13833" width="23.453125" style="154" customWidth="1"/>
    <col min="13834" max="13834" width="8.90625" style="154"/>
    <col min="13835" max="13835" width="17.90625" style="154" bestFit="1" customWidth="1"/>
    <col min="13836" max="14080" width="8.90625" style="154"/>
    <col min="14081" max="14081" width="7.1796875" style="154" customWidth="1"/>
    <col min="14082" max="14082" width="2.36328125" style="154" customWidth="1"/>
    <col min="14083" max="14083" width="6.36328125" style="154" customWidth="1"/>
    <col min="14084" max="14084" width="33.453125" style="154" customWidth="1"/>
    <col min="14085" max="14085" width="18" style="154" customWidth="1"/>
    <col min="14086" max="14086" width="27.6328125" style="154" customWidth="1"/>
    <col min="14087" max="14087" width="28.90625" style="154" bestFit="1" customWidth="1"/>
    <col min="14088" max="14088" width="3" style="154" customWidth="1"/>
    <col min="14089" max="14089" width="23.453125" style="154" customWidth="1"/>
    <col min="14090" max="14090" width="8.90625" style="154"/>
    <col min="14091" max="14091" width="17.90625" style="154" bestFit="1" customWidth="1"/>
    <col min="14092" max="14336" width="8.90625" style="154"/>
    <col min="14337" max="14337" width="7.1796875" style="154" customWidth="1"/>
    <col min="14338" max="14338" width="2.36328125" style="154" customWidth="1"/>
    <col min="14339" max="14339" width="6.36328125" style="154" customWidth="1"/>
    <col min="14340" max="14340" width="33.453125" style="154" customWidth="1"/>
    <col min="14341" max="14341" width="18" style="154" customWidth="1"/>
    <col min="14342" max="14342" width="27.6328125" style="154" customWidth="1"/>
    <col min="14343" max="14343" width="28.90625" style="154" bestFit="1" customWidth="1"/>
    <col min="14344" max="14344" width="3" style="154" customWidth="1"/>
    <col min="14345" max="14345" width="23.453125" style="154" customWidth="1"/>
    <col min="14346" max="14346" width="8.90625" style="154"/>
    <col min="14347" max="14347" width="17.90625" style="154" bestFit="1" customWidth="1"/>
    <col min="14348" max="14592" width="8.90625" style="154"/>
    <col min="14593" max="14593" width="7.1796875" style="154" customWidth="1"/>
    <col min="14594" max="14594" width="2.36328125" style="154" customWidth="1"/>
    <col min="14595" max="14595" width="6.36328125" style="154" customWidth="1"/>
    <col min="14596" max="14596" width="33.453125" style="154" customWidth="1"/>
    <col min="14597" max="14597" width="18" style="154" customWidth="1"/>
    <col min="14598" max="14598" width="27.6328125" style="154" customWidth="1"/>
    <col min="14599" max="14599" width="28.90625" style="154" bestFit="1" customWidth="1"/>
    <col min="14600" max="14600" width="3" style="154" customWidth="1"/>
    <col min="14601" max="14601" width="23.453125" style="154" customWidth="1"/>
    <col min="14602" max="14602" width="8.90625" style="154"/>
    <col min="14603" max="14603" width="17.90625" style="154" bestFit="1" customWidth="1"/>
    <col min="14604" max="14848" width="8.90625" style="154"/>
    <col min="14849" max="14849" width="7.1796875" style="154" customWidth="1"/>
    <col min="14850" max="14850" width="2.36328125" style="154" customWidth="1"/>
    <col min="14851" max="14851" width="6.36328125" style="154" customWidth="1"/>
    <col min="14852" max="14852" width="33.453125" style="154" customWidth="1"/>
    <col min="14853" max="14853" width="18" style="154" customWidth="1"/>
    <col min="14854" max="14854" width="27.6328125" style="154" customWidth="1"/>
    <col min="14855" max="14855" width="28.90625" style="154" bestFit="1" customWidth="1"/>
    <col min="14856" max="14856" width="3" style="154" customWidth="1"/>
    <col min="14857" max="14857" width="23.453125" style="154" customWidth="1"/>
    <col min="14858" max="14858" width="8.90625" style="154"/>
    <col min="14859" max="14859" width="17.90625" style="154" bestFit="1" customWidth="1"/>
    <col min="14860" max="15104" width="8.90625" style="154"/>
    <col min="15105" max="15105" width="7.1796875" style="154" customWidth="1"/>
    <col min="15106" max="15106" width="2.36328125" style="154" customWidth="1"/>
    <col min="15107" max="15107" width="6.36328125" style="154" customWidth="1"/>
    <col min="15108" max="15108" width="33.453125" style="154" customWidth="1"/>
    <col min="15109" max="15109" width="18" style="154" customWidth="1"/>
    <col min="15110" max="15110" width="27.6328125" style="154" customWidth="1"/>
    <col min="15111" max="15111" width="28.90625" style="154" bestFit="1" customWidth="1"/>
    <col min="15112" max="15112" width="3" style="154" customWidth="1"/>
    <col min="15113" max="15113" width="23.453125" style="154" customWidth="1"/>
    <col min="15114" max="15114" width="8.90625" style="154"/>
    <col min="15115" max="15115" width="17.90625" style="154" bestFit="1" customWidth="1"/>
    <col min="15116" max="15360" width="8.90625" style="154"/>
    <col min="15361" max="15361" width="7.1796875" style="154" customWidth="1"/>
    <col min="15362" max="15362" width="2.36328125" style="154" customWidth="1"/>
    <col min="15363" max="15363" width="6.36328125" style="154" customWidth="1"/>
    <col min="15364" max="15364" width="33.453125" style="154" customWidth="1"/>
    <col min="15365" max="15365" width="18" style="154" customWidth="1"/>
    <col min="15366" max="15366" width="27.6328125" style="154" customWidth="1"/>
    <col min="15367" max="15367" width="28.90625" style="154" bestFit="1" customWidth="1"/>
    <col min="15368" max="15368" width="3" style="154" customWidth="1"/>
    <col min="15369" max="15369" width="23.453125" style="154" customWidth="1"/>
    <col min="15370" max="15370" width="8.90625" style="154"/>
    <col min="15371" max="15371" width="17.90625" style="154" bestFit="1" customWidth="1"/>
    <col min="15372" max="15616" width="8.90625" style="154"/>
    <col min="15617" max="15617" width="7.1796875" style="154" customWidth="1"/>
    <col min="15618" max="15618" width="2.36328125" style="154" customWidth="1"/>
    <col min="15619" max="15619" width="6.36328125" style="154" customWidth="1"/>
    <col min="15620" max="15620" width="33.453125" style="154" customWidth="1"/>
    <col min="15621" max="15621" width="18" style="154" customWidth="1"/>
    <col min="15622" max="15622" width="27.6328125" style="154" customWidth="1"/>
    <col min="15623" max="15623" width="28.90625" style="154" bestFit="1" customWidth="1"/>
    <col min="15624" max="15624" width="3" style="154" customWidth="1"/>
    <col min="15625" max="15625" width="23.453125" style="154" customWidth="1"/>
    <col min="15626" max="15626" width="8.90625" style="154"/>
    <col min="15627" max="15627" width="17.90625" style="154" bestFit="1" customWidth="1"/>
    <col min="15628" max="15872" width="8.90625" style="154"/>
    <col min="15873" max="15873" width="7.1796875" style="154" customWidth="1"/>
    <col min="15874" max="15874" width="2.36328125" style="154" customWidth="1"/>
    <col min="15875" max="15875" width="6.36328125" style="154" customWidth="1"/>
    <col min="15876" max="15876" width="33.453125" style="154" customWidth="1"/>
    <col min="15877" max="15877" width="18" style="154" customWidth="1"/>
    <col min="15878" max="15878" width="27.6328125" style="154" customWidth="1"/>
    <col min="15879" max="15879" width="28.90625" style="154" bestFit="1" customWidth="1"/>
    <col min="15880" max="15880" width="3" style="154" customWidth="1"/>
    <col min="15881" max="15881" width="23.453125" style="154" customWidth="1"/>
    <col min="15882" max="15882" width="8.90625" style="154"/>
    <col min="15883" max="15883" width="17.90625" style="154" bestFit="1" customWidth="1"/>
    <col min="15884" max="16128" width="8.90625" style="154"/>
    <col min="16129" max="16129" width="7.1796875" style="154" customWidth="1"/>
    <col min="16130" max="16130" width="2.36328125" style="154" customWidth="1"/>
    <col min="16131" max="16131" width="6.36328125" style="154" customWidth="1"/>
    <col min="16132" max="16132" width="33.453125" style="154" customWidth="1"/>
    <col min="16133" max="16133" width="18" style="154" customWidth="1"/>
    <col min="16134" max="16134" width="27.6328125" style="154" customWidth="1"/>
    <col min="16135" max="16135" width="28.90625" style="154" bestFit="1" customWidth="1"/>
    <col min="16136" max="16136" width="3" style="154" customWidth="1"/>
    <col min="16137" max="16137" width="23.453125" style="154" customWidth="1"/>
    <col min="16138" max="16138" width="8.90625" style="154"/>
    <col min="16139" max="16139" width="17.90625" style="154" bestFit="1" customWidth="1"/>
    <col min="16140" max="16384" width="8.90625" style="154"/>
  </cols>
  <sheetData>
    <row r="1" spans="1:12" ht="17.399999999999999">
      <c r="A1" s="1320"/>
      <c r="B1" s="1321"/>
      <c r="C1" s="1321"/>
      <c r="D1" s="1321"/>
      <c r="E1" s="1321"/>
      <c r="F1" s="1321"/>
      <c r="G1" s="1321"/>
      <c r="H1" s="1321"/>
      <c r="I1" s="1321"/>
      <c r="J1" s="1324" t="str">
        <f>'Attachment H-11A '!K1&amp;""&amp;", Attachment 2"</f>
        <v>Attachment H -11A, Attachment 2</v>
      </c>
      <c r="K1" s="1324"/>
    </row>
    <row r="2" spans="1:12" ht="18">
      <c r="A2" s="1322" t="s">
        <v>921</v>
      </c>
      <c r="B2" s="1322"/>
      <c r="C2" s="1322"/>
      <c r="D2" s="1322"/>
      <c r="E2" s="1322"/>
      <c r="F2" s="1322"/>
      <c r="G2" s="1322"/>
      <c r="H2" s="1322"/>
      <c r="I2" s="1322"/>
      <c r="J2" s="1324" t="s">
        <v>1055</v>
      </c>
      <c r="K2" s="1324"/>
    </row>
    <row r="3" spans="1:12" ht="18">
      <c r="A3" s="250"/>
      <c r="B3" s="250"/>
      <c r="C3" s="250"/>
      <c r="D3" s="250"/>
      <c r="E3" s="250"/>
      <c r="F3" s="250"/>
      <c r="G3" s="250"/>
      <c r="H3" s="250"/>
      <c r="I3" s="250"/>
      <c r="J3" s="1325" t="str">
        <f>'Attachment H-11A '!K4</f>
        <v>For the 12 months ended 12/31/2022</v>
      </c>
      <c r="K3" s="1325"/>
      <c r="L3" s="916"/>
    </row>
    <row r="4" spans="1:12" s="160" customFormat="1" ht="15">
      <c r="A4" s="157"/>
      <c r="B4" s="157"/>
      <c r="C4" s="156"/>
      <c r="D4" s="156"/>
      <c r="E4" s="156"/>
      <c r="F4" s="156"/>
      <c r="G4" s="156"/>
      <c r="H4" s="156"/>
    </row>
    <row r="5" spans="1:12" s="160" customFormat="1" ht="15.6">
      <c r="A5" s="161" t="s">
        <v>321</v>
      </c>
      <c r="B5" s="162"/>
      <c r="C5" s="162"/>
      <c r="D5" s="162"/>
      <c r="E5" s="162"/>
      <c r="F5" s="162"/>
      <c r="G5" s="162"/>
      <c r="H5" s="162"/>
      <c r="I5" s="162"/>
    </row>
    <row r="6" spans="1:12" s="160" customFormat="1" ht="15.6">
      <c r="A6" s="163"/>
      <c r="G6" s="164" t="s">
        <v>1187</v>
      </c>
    </row>
    <row r="7" spans="1:12" s="156" customFormat="1" ht="15">
      <c r="A7" s="160"/>
      <c r="D7" s="160"/>
      <c r="E7" s="160"/>
      <c r="F7" s="160"/>
      <c r="G7" s="160"/>
      <c r="H7" s="160"/>
      <c r="I7" s="165"/>
      <c r="J7" s="160"/>
    </row>
    <row r="8" spans="1:12" s="156" customFormat="1" ht="15">
      <c r="A8" s="166">
        <v>1</v>
      </c>
      <c r="C8" s="167" t="s">
        <v>541</v>
      </c>
      <c r="D8" s="168"/>
      <c r="E8" s="160"/>
      <c r="F8" s="168"/>
      <c r="G8" s="230" t="s">
        <v>1066</v>
      </c>
      <c r="H8" s="168"/>
      <c r="I8" s="1298">
        <f>'Attachment H-11A '!I83</f>
        <v>317662051.03076422</v>
      </c>
      <c r="J8" s="160"/>
    </row>
    <row r="9" spans="1:12" s="156" customFormat="1" ht="15">
      <c r="A9" s="160"/>
      <c r="G9" s="167"/>
      <c r="I9" s="170"/>
    </row>
    <row r="10" spans="1:12" s="156" customFormat="1" ht="15">
      <c r="A10" s="171"/>
      <c r="B10" s="167"/>
      <c r="C10" s="172"/>
      <c r="D10" s="172"/>
      <c r="E10" s="173"/>
      <c r="F10" s="174"/>
      <c r="G10" s="167"/>
      <c r="H10" s="174"/>
      <c r="I10" s="175"/>
    </row>
    <row r="11" spans="1:12" s="156" customFormat="1" ht="15.6">
      <c r="A11" s="171">
        <f>A8+1</f>
        <v>2</v>
      </c>
      <c r="B11" s="167"/>
      <c r="C11" s="167" t="s">
        <v>542</v>
      </c>
      <c r="D11" s="176"/>
      <c r="F11" s="173" t="s">
        <v>543</v>
      </c>
      <c r="G11" s="169" t="s">
        <v>1067</v>
      </c>
      <c r="H11" s="174"/>
      <c r="I11" s="158">
        <f>'Attachment H-11A '!I245</f>
        <v>0</v>
      </c>
    </row>
    <row r="12" spans="1:12" s="156" customFormat="1" ht="15">
      <c r="A12" s="171"/>
      <c r="B12" s="167"/>
      <c r="C12" s="172"/>
      <c r="D12" s="172"/>
      <c r="E12" s="173"/>
      <c r="F12" s="177"/>
      <c r="G12" s="178"/>
      <c r="H12" s="174"/>
      <c r="I12" s="175"/>
    </row>
    <row r="13" spans="1:12" s="156" customFormat="1" ht="15.6">
      <c r="A13" s="171"/>
      <c r="B13" s="167"/>
      <c r="C13" s="172" t="s">
        <v>91</v>
      </c>
      <c r="D13" s="1296"/>
      <c r="E13" s="184"/>
      <c r="F13" s="184"/>
      <c r="G13" s="196"/>
      <c r="H13" s="175"/>
      <c r="I13" s="175"/>
    </row>
    <row r="14" spans="1:12" s="156" customFormat="1" ht="15">
      <c r="A14" s="171">
        <f>A11+1</f>
        <v>3</v>
      </c>
      <c r="B14" s="167"/>
      <c r="C14" s="167"/>
      <c r="D14" s="183" t="s">
        <v>544</v>
      </c>
      <c r="E14" s="175"/>
      <c r="F14" s="175"/>
      <c r="G14" s="230" t="s">
        <v>565</v>
      </c>
      <c r="H14" s="175"/>
      <c r="I14" s="158">
        <f>'Attachment 8 - Cap Structure'!E23</f>
        <v>1375128081.6598222</v>
      </c>
    </row>
    <row r="15" spans="1:12" s="156" customFormat="1" ht="15">
      <c r="A15" s="171">
        <f>A14+1</f>
        <v>4</v>
      </c>
      <c r="B15" s="168"/>
      <c r="C15" s="168"/>
      <c r="D15" s="183" t="s">
        <v>326</v>
      </c>
      <c r="E15" s="175"/>
      <c r="F15" s="175"/>
      <c r="G15" s="230" t="s">
        <v>1152</v>
      </c>
      <c r="H15" s="175"/>
      <c r="I15" s="158">
        <f>'Attachment 8 - Cap Structure'!G23</f>
        <v>0</v>
      </c>
    </row>
    <row r="16" spans="1:12" s="160" customFormat="1" ht="15">
      <c r="A16" s="171">
        <f>A15+1</f>
        <v>5</v>
      </c>
      <c r="B16" s="168"/>
      <c r="C16" s="168"/>
      <c r="D16" s="183" t="s">
        <v>327</v>
      </c>
      <c r="E16" s="175"/>
      <c r="F16" s="175"/>
      <c r="G16" s="230" t="s">
        <v>566</v>
      </c>
      <c r="H16" s="175"/>
      <c r="I16" s="158">
        <f>'Attachment 8 - Cap Structure'!J23</f>
        <v>-293047.44240280951</v>
      </c>
    </row>
    <row r="17" spans="1:11" s="156" customFormat="1" ht="15">
      <c r="A17" s="171">
        <f>+A16+1</f>
        <v>6</v>
      </c>
      <c r="B17" s="167"/>
      <c r="C17" s="172"/>
      <c r="D17" s="1287" t="s">
        <v>1153</v>
      </c>
      <c r="E17" s="181"/>
      <c r="F17" s="181"/>
      <c r="G17" s="1288" t="s">
        <v>1154</v>
      </c>
      <c r="H17" s="181"/>
      <c r="I17" s="181">
        <f>'Attachment 8 - Cap Structure'!H23+'Attachment 8 - Cap Structure'!K23+'Attachment 8 - Cap Structure'!F23+'Attachment 8 - Cap Structure'!I23</f>
        <v>45775822.700000018</v>
      </c>
    </row>
    <row r="18" spans="1:11" s="156" customFormat="1" ht="15">
      <c r="A18" s="171">
        <f>A17+1</f>
        <v>7</v>
      </c>
      <c r="B18" s="167"/>
      <c r="C18" s="172"/>
      <c r="D18" s="183" t="s">
        <v>91</v>
      </c>
      <c r="E18" s="175"/>
      <c r="F18" s="175"/>
      <c r="G18" s="230" t="s">
        <v>1155</v>
      </c>
      <c r="H18" s="175"/>
      <c r="I18" s="158">
        <f>'Attachment 8 - Cap Structure'!L23</f>
        <v>1329645306.4022253</v>
      </c>
    </row>
    <row r="19" spans="1:11" s="156" customFormat="1" ht="15">
      <c r="A19" s="171"/>
      <c r="B19" s="167"/>
      <c r="C19" s="172"/>
      <c r="D19" s="172"/>
      <c r="E19" s="174"/>
      <c r="F19" s="175"/>
      <c r="G19" s="169"/>
      <c r="H19" s="174"/>
      <c r="I19" s="158"/>
    </row>
    <row r="20" spans="1:11" s="156" customFormat="1" ht="15">
      <c r="A20" s="171"/>
      <c r="B20" s="167"/>
      <c r="C20" s="172"/>
      <c r="D20" s="172"/>
      <c r="E20" s="174"/>
      <c r="F20" s="175"/>
      <c r="G20" s="169"/>
      <c r="H20" s="174"/>
      <c r="I20" s="158"/>
    </row>
    <row r="21" spans="1:11" s="156" customFormat="1" ht="15.6">
      <c r="A21" s="171"/>
      <c r="B21" s="167"/>
      <c r="C21" s="172" t="s">
        <v>545</v>
      </c>
      <c r="D21" s="179"/>
      <c r="F21" s="173"/>
      <c r="G21" s="178"/>
      <c r="H21" s="173"/>
      <c r="I21" s="175"/>
    </row>
    <row r="22" spans="1:11" s="156" customFormat="1" ht="15">
      <c r="A22" s="171">
        <f>+A18+1</f>
        <v>8</v>
      </c>
      <c r="B22" s="167"/>
      <c r="C22" s="167"/>
      <c r="D22" s="172" t="s">
        <v>250</v>
      </c>
      <c r="F22" s="173"/>
      <c r="G22" s="169" t="s">
        <v>1068</v>
      </c>
      <c r="H22" s="173"/>
      <c r="I22" s="158">
        <f>'Attachment H-11A '!D250</f>
        <v>1649999999.9999957</v>
      </c>
    </row>
    <row r="23" spans="1:11" s="156" customFormat="1" ht="15">
      <c r="A23" s="171">
        <f>A22+1</f>
        <v>9</v>
      </c>
      <c r="B23" s="168"/>
      <c r="C23" s="168"/>
      <c r="D23" s="183" t="s">
        <v>248</v>
      </c>
      <c r="E23" s="184"/>
      <c r="F23" s="185"/>
      <c r="G23" s="169" t="s">
        <v>1069</v>
      </c>
      <c r="H23" s="184"/>
      <c r="I23" s="158">
        <f>'Attachment H-11A '!D251</f>
        <v>0</v>
      </c>
    </row>
    <row r="24" spans="1:11" s="156" customFormat="1" ht="15">
      <c r="A24" s="171">
        <f t="shared" ref="A24:A25" si="0">A23+1</f>
        <v>10</v>
      </c>
      <c r="B24" s="167"/>
      <c r="C24" s="167"/>
      <c r="D24" s="172" t="s">
        <v>91</v>
      </c>
      <c r="E24" s="173"/>
      <c r="F24" s="177"/>
      <c r="G24" s="182" t="s">
        <v>1070</v>
      </c>
      <c r="H24" s="173"/>
      <c r="I24" s="158">
        <f>'Attachment H-11A '!D252</f>
        <v>1329645306.4022253</v>
      </c>
    </row>
    <row r="25" spans="1:11" s="156" customFormat="1" ht="15.6">
      <c r="A25" s="171">
        <f t="shared" si="0"/>
        <v>11</v>
      </c>
      <c r="B25" s="167"/>
      <c r="C25" s="167"/>
      <c r="D25" s="172" t="s">
        <v>1188</v>
      </c>
      <c r="E25" s="186"/>
      <c r="F25" s="187"/>
      <c r="G25" s="169" t="s">
        <v>1071</v>
      </c>
      <c r="H25" s="188"/>
      <c r="I25" s="189">
        <f>'Attachment H-11A '!D253</f>
        <v>2979645306.4022207</v>
      </c>
    </row>
    <row r="26" spans="1:11" s="156" customFormat="1" ht="15">
      <c r="A26" s="171"/>
      <c r="B26" s="167"/>
      <c r="C26" s="167"/>
      <c r="D26" s="172"/>
      <c r="E26" s="173"/>
      <c r="F26" s="177"/>
      <c r="G26" s="167"/>
      <c r="H26" s="174"/>
      <c r="I26" s="190"/>
    </row>
    <row r="27" spans="1:11" s="156" customFormat="1" ht="15">
      <c r="A27" s="171">
        <f>A25+1</f>
        <v>12</v>
      </c>
      <c r="B27" s="167"/>
      <c r="C27" s="167"/>
      <c r="D27" s="172" t="s">
        <v>546</v>
      </c>
      <c r="E27" s="191"/>
      <c r="F27" s="180" t="s">
        <v>1191</v>
      </c>
      <c r="G27" s="169" t="s">
        <v>1072</v>
      </c>
      <c r="H27" s="174"/>
      <c r="I27" s="192">
        <f>'Attachment H-11A '!E250</f>
        <v>0.55375718594918666</v>
      </c>
      <c r="J27" s="160"/>
      <c r="K27" s="160"/>
    </row>
    <row r="28" spans="1:11" s="156" customFormat="1" ht="15">
      <c r="A28" s="171">
        <f>A27+1</f>
        <v>13</v>
      </c>
      <c r="B28" s="167"/>
      <c r="C28" s="167"/>
      <c r="D28" s="172" t="s">
        <v>547</v>
      </c>
      <c r="E28" s="177"/>
      <c r="F28" s="180" t="s">
        <v>248</v>
      </c>
      <c r="G28" s="169" t="s">
        <v>1073</v>
      </c>
      <c r="H28" s="174"/>
      <c r="I28" s="192">
        <f>'Attachment H-11A '!E251</f>
        <v>0</v>
      </c>
      <c r="J28" s="160"/>
    </row>
    <row r="29" spans="1:11" s="156" customFormat="1" ht="15">
      <c r="A29" s="171">
        <f>A28+1</f>
        <v>14</v>
      </c>
      <c r="B29" s="167"/>
      <c r="C29" s="167"/>
      <c r="D29" s="172" t="s">
        <v>548</v>
      </c>
      <c r="E29" s="177"/>
      <c r="F29" s="180" t="s">
        <v>91</v>
      </c>
      <c r="G29" s="169" t="s">
        <v>1074</v>
      </c>
      <c r="H29" s="174"/>
      <c r="I29" s="192">
        <f>'Attachment H-11A '!E252</f>
        <v>0.44624281405081345</v>
      </c>
      <c r="J29" s="160"/>
      <c r="K29" s="160"/>
    </row>
    <row r="30" spans="1:11" s="156" customFormat="1" ht="15">
      <c r="A30" s="171"/>
      <c r="B30" s="167"/>
      <c r="C30" s="167"/>
      <c r="D30" s="172"/>
      <c r="E30" s="173"/>
      <c r="F30" s="178"/>
      <c r="G30" s="167"/>
      <c r="H30" s="174"/>
      <c r="I30" s="190"/>
    </row>
    <row r="31" spans="1:11" s="156" customFormat="1" ht="15">
      <c r="A31" s="171">
        <f>A29+1</f>
        <v>15</v>
      </c>
      <c r="B31" s="167"/>
      <c r="C31" s="167"/>
      <c r="D31" s="172" t="s">
        <v>405</v>
      </c>
      <c r="E31" s="191"/>
      <c r="F31" s="178" t="s">
        <v>1191</v>
      </c>
      <c r="G31" s="169" t="s">
        <v>1075</v>
      </c>
      <c r="H31" s="174"/>
      <c r="I31" s="193">
        <f>'Attachment H-11A '!G250</f>
        <v>4.2299999999999997E-2</v>
      </c>
      <c r="J31" s="194"/>
      <c r="K31" s="195"/>
    </row>
    <row r="32" spans="1:11" s="156" customFormat="1" ht="15">
      <c r="A32" s="171">
        <f>A31+1</f>
        <v>16</v>
      </c>
      <c r="B32" s="167"/>
      <c r="C32" s="167"/>
      <c r="D32" s="172" t="s">
        <v>549</v>
      </c>
      <c r="E32" s="177"/>
      <c r="F32" s="178" t="s">
        <v>248</v>
      </c>
      <c r="G32" s="169" t="s">
        <v>1076</v>
      </c>
      <c r="H32" s="174"/>
      <c r="I32" s="193">
        <f>'Attachment H-11A '!G251</f>
        <v>0</v>
      </c>
      <c r="J32" s="194"/>
    </row>
    <row r="33" spans="1:11" s="156" customFormat="1" ht="15">
      <c r="A33" s="171">
        <f>A32+1</f>
        <v>17</v>
      </c>
      <c r="B33" s="167"/>
      <c r="C33" s="167"/>
      <c r="D33" s="172" t="s">
        <v>550</v>
      </c>
      <c r="F33" s="196" t="s">
        <v>91</v>
      </c>
      <c r="G33" s="169" t="s">
        <v>1077</v>
      </c>
      <c r="H33" s="174"/>
      <c r="I33" s="542">
        <f>'Attachment H-11A '!G252</f>
        <v>0.1135</v>
      </c>
      <c r="J33" s="194"/>
      <c r="K33" s="195"/>
    </row>
    <row r="34" spans="1:11" s="156" customFormat="1" ht="15">
      <c r="A34" s="171"/>
      <c r="B34" s="167"/>
      <c r="C34" s="167"/>
      <c r="D34" s="172"/>
      <c r="E34" s="173"/>
      <c r="F34" s="178"/>
      <c r="G34" s="167"/>
      <c r="H34" s="174"/>
      <c r="I34" s="173"/>
    </row>
    <row r="35" spans="1:11" s="156" customFormat="1" ht="15">
      <c r="A35" s="171">
        <f>A33+1</f>
        <v>18</v>
      </c>
      <c r="B35" s="167"/>
      <c r="C35" s="167"/>
      <c r="D35" s="172" t="s">
        <v>551</v>
      </c>
      <c r="E35" s="191"/>
      <c r="F35" s="180" t="s">
        <v>1192</v>
      </c>
      <c r="G35" s="167" t="s">
        <v>345</v>
      </c>
      <c r="H35" s="197"/>
      <c r="I35" s="198">
        <f>I31*I27</f>
        <v>2.3423928965650594E-2</v>
      </c>
    </row>
    <row r="36" spans="1:11" s="156" customFormat="1" ht="15">
      <c r="A36" s="171">
        <f>A35+1</f>
        <v>19</v>
      </c>
      <c r="B36" s="167"/>
      <c r="C36" s="167"/>
      <c r="D36" s="172" t="s">
        <v>552</v>
      </c>
      <c r="E36" s="177"/>
      <c r="F36" s="180" t="s">
        <v>248</v>
      </c>
      <c r="G36" s="167" t="s">
        <v>346</v>
      </c>
      <c r="H36" s="199"/>
      <c r="I36" s="198">
        <f>I32*I28</f>
        <v>0</v>
      </c>
    </row>
    <row r="37" spans="1:11" s="156" customFormat="1" ht="15">
      <c r="A37" s="171">
        <f>A36+1</f>
        <v>20</v>
      </c>
      <c r="B37" s="167"/>
      <c r="C37" s="167"/>
      <c r="D37" s="200" t="s">
        <v>553</v>
      </c>
      <c r="E37" s="201"/>
      <c r="F37" s="200" t="s">
        <v>91</v>
      </c>
      <c r="G37" s="202" t="s">
        <v>347</v>
      </c>
      <c r="H37" s="203"/>
      <c r="I37" s="204">
        <f>I33*I29</f>
        <v>5.0648559394767326E-2</v>
      </c>
    </row>
    <row r="38" spans="1:11" s="156" customFormat="1" ht="15.6">
      <c r="A38" s="171">
        <f>A37+1</f>
        <v>21</v>
      </c>
      <c r="B38" s="167"/>
      <c r="C38" s="167" t="s">
        <v>1190</v>
      </c>
      <c r="D38" s="167"/>
      <c r="E38" s="205"/>
      <c r="F38" s="206"/>
      <c r="G38" s="167" t="str">
        <f>"(Sum Lines "&amp;A35&amp;" to "&amp;A37&amp;")"</f>
        <v>(Sum Lines 18 to 20)</v>
      </c>
      <c r="H38" s="207"/>
      <c r="I38" s="208">
        <f>SUM(I35:I37)</f>
        <v>7.4072488360417924E-2</v>
      </c>
    </row>
    <row r="39" spans="1:11" s="156" customFormat="1" ht="15.6">
      <c r="A39" s="209"/>
      <c r="B39" s="167"/>
      <c r="C39" s="167"/>
      <c r="D39" s="167"/>
      <c r="E39" s="205"/>
      <c r="F39" s="206"/>
      <c r="G39" s="210"/>
      <c r="H39" s="207"/>
      <c r="I39" s="208"/>
    </row>
    <row r="40" spans="1:11" s="156" customFormat="1" ht="16.2" thickBot="1">
      <c r="A40" s="171">
        <f>A38+1</f>
        <v>22</v>
      </c>
      <c r="B40" s="167"/>
      <c r="C40" s="167" t="s">
        <v>554</v>
      </c>
      <c r="D40" s="167"/>
      <c r="E40" s="211"/>
      <c r="F40" s="212"/>
      <c r="G40" s="213" t="str">
        <f>"(Line "&amp;A8&amp;" * Line "&amp;A38&amp;")"</f>
        <v>(Line 1 * Line 21)</v>
      </c>
      <c r="H40" s="214"/>
      <c r="I40" s="215">
        <f>+I38*I8</f>
        <v>23530018.577522766</v>
      </c>
    </row>
    <row r="41" spans="1:11" s="156" customFormat="1" ht="15.6" thickTop="1">
      <c r="A41" s="171"/>
      <c r="B41" s="216"/>
      <c r="C41" s="216"/>
      <c r="D41" s="177"/>
      <c r="E41" s="173"/>
      <c r="F41" s="157"/>
      <c r="G41" s="174"/>
      <c r="H41" s="174"/>
      <c r="I41" s="198"/>
    </row>
    <row r="42" spans="1:11" s="156" customFormat="1" ht="15.6">
      <c r="A42" s="217" t="s">
        <v>328</v>
      </c>
      <c r="B42" s="218"/>
      <c r="C42" s="219"/>
      <c r="D42" s="220"/>
      <c r="E42" s="221"/>
      <c r="F42" s="222"/>
      <c r="G42" s="162"/>
      <c r="H42" s="162"/>
      <c r="I42" s="223"/>
    </row>
    <row r="43" spans="1:11" s="156" customFormat="1" ht="15.6">
      <c r="A43" s="183"/>
      <c r="B43" s="183"/>
      <c r="C43" s="216"/>
      <c r="D43" s="224"/>
      <c r="E43" s="184"/>
      <c r="F43" s="225"/>
      <c r="G43" s="173"/>
      <c r="H43" s="173"/>
      <c r="I43" s="226"/>
      <c r="K43" s="227"/>
    </row>
    <row r="44" spans="1:11" s="156" customFormat="1" ht="15.6">
      <c r="A44" s="171" t="s">
        <v>3</v>
      </c>
      <c r="B44" s="216"/>
      <c r="C44" s="228" t="s">
        <v>322</v>
      </c>
      <c r="D44" s="173"/>
      <c r="E44" s="173"/>
      <c r="F44" s="225"/>
      <c r="G44" s="174"/>
      <c r="H44" s="229"/>
      <c r="I44" s="173"/>
    </row>
    <row r="45" spans="1:11" s="156" customFormat="1" ht="15">
      <c r="A45" s="171">
        <f>+A40+1</f>
        <v>23</v>
      </c>
      <c r="B45" s="166"/>
      <c r="C45" s="171"/>
      <c r="D45" s="287" t="s">
        <v>65</v>
      </c>
      <c r="E45" s="184"/>
      <c r="F45" s="166"/>
      <c r="G45" s="230" t="s">
        <v>1086</v>
      </c>
      <c r="H45" s="231"/>
      <c r="I45" s="232">
        <f>'Attachment H-11A '!D149</f>
        <v>0.25659611969999996</v>
      </c>
    </row>
    <row r="46" spans="1:11" s="156" customFormat="1" ht="15">
      <c r="A46" s="171">
        <f>+A45+1</f>
        <v>24</v>
      </c>
      <c r="B46" s="166"/>
      <c r="C46" s="171"/>
      <c r="D46" s="288" t="s">
        <v>960</v>
      </c>
      <c r="E46" s="233"/>
      <c r="F46" s="166"/>
      <c r="G46" s="230" t="s">
        <v>334</v>
      </c>
      <c r="H46" s="231"/>
      <c r="I46" s="253">
        <f>(I45/(1-I45)*(1-I35/I38))</f>
        <v>0.23601272741960991</v>
      </c>
    </row>
    <row r="47" spans="1:11" s="156" customFormat="1" ht="15">
      <c r="A47" s="171"/>
      <c r="B47" s="166"/>
      <c r="C47" s="171"/>
      <c r="D47" s="289"/>
      <c r="E47" s="231"/>
      <c r="F47" s="166"/>
      <c r="G47" s="230"/>
      <c r="H47" s="231"/>
      <c r="I47" s="234"/>
    </row>
    <row r="48" spans="1:11" s="156" customFormat="1" ht="15">
      <c r="A48" s="171"/>
      <c r="B48" s="166"/>
      <c r="C48" s="171"/>
      <c r="D48" s="289"/>
      <c r="E48" s="235"/>
      <c r="F48" s="166"/>
      <c r="G48" s="230"/>
      <c r="H48" s="231"/>
      <c r="I48" s="232"/>
    </row>
    <row r="49" spans="1:11" s="156" customFormat="1" ht="30.6">
      <c r="A49" s="171">
        <v>25</v>
      </c>
      <c r="B49" s="157"/>
      <c r="C49" s="216"/>
      <c r="D49" s="287" t="s">
        <v>961</v>
      </c>
      <c r="E49" s="236"/>
      <c r="F49" s="157"/>
      <c r="G49" s="959" t="s">
        <v>1087</v>
      </c>
      <c r="H49" s="231"/>
      <c r="I49" s="127">
        <f>'Attachment H-11A '!D153</f>
        <v>1.3451638153898939</v>
      </c>
      <c r="K49" s="237"/>
    </row>
    <row r="50" spans="1:11" s="156" customFormat="1" ht="15">
      <c r="A50" s="171">
        <v>26</v>
      </c>
      <c r="B50" s="216"/>
      <c r="C50" s="216"/>
      <c r="D50" s="289" t="s">
        <v>270</v>
      </c>
      <c r="E50" s="173"/>
      <c r="F50" s="238"/>
      <c r="G50" s="230" t="s">
        <v>1078</v>
      </c>
      <c r="H50" s="229"/>
      <c r="I50" s="251">
        <f>'Attachment H-11A '!D154</f>
        <v>0</v>
      </c>
    </row>
    <row r="51" spans="1:11" s="156" customFormat="1" ht="15">
      <c r="A51" s="171">
        <v>27</v>
      </c>
      <c r="B51" s="216"/>
      <c r="C51" s="216"/>
      <c r="D51" s="290" t="s">
        <v>325</v>
      </c>
      <c r="E51" s="173"/>
      <c r="F51" s="238"/>
      <c r="G51" s="230" t="s">
        <v>1079</v>
      </c>
      <c r="H51" s="229"/>
      <c r="I51" s="251">
        <f>'Attachment H-11A '!D155</f>
        <v>17893.508726860229</v>
      </c>
    </row>
    <row r="52" spans="1:11" s="156" customFormat="1" ht="15">
      <c r="A52" s="171">
        <v>28</v>
      </c>
      <c r="B52" s="216"/>
      <c r="C52" s="216"/>
      <c r="D52" s="290" t="s">
        <v>332</v>
      </c>
      <c r="E52" s="173"/>
      <c r="F52" s="238"/>
      <c r="G52" s="230" t="s">
        <v>1080</v>
      </c>
      <c r="H52" s="229"/>
      <c r="I52" s="251">
        <f>'Attachment H-11A '!D156</f>
        <v>-223134.29994168924</v>
      </c>
    </row>
    <row r="53" spans="1:11" s="156" customFormat="1" ht="15">
      <c r="A53" s="171">
        <v>29</v>
      </c>
      <c r="B53" s="216"/>
      <c r="C53" s="216"/>
      <c r="D53" s="291" t="s">
        <v>329</v>
      </c>
      <c r="E53" s="173"/>
      <c r="F53" s="238"/>
      <c r="G53" s="235" t="s">
        <v>349</v>
      </c>
      <c r="H53" s="229"/>
      <c r="I53" s="251">
        <f>I46*I40</f>
        <v>5553383.8607152374</v>
      </c>
    </row>
    <row r="54" spans="1:11" s="156" customFormat="1" ht="15">
      <c r="A54" s="171">
        <v>30</v>
      </c>
      <c r="B54" s="216"/>
      <c r="C54" s="216"/>
      <c r="D54" s="292" t="s">
        <v>330</v>
      </c>
      <c r="E54" s="173"/>
      <c r="F54" s="238"/>
      <c r="G54" s="230" t="s">
        <v>1088</v>
      </c>
      <c r="H54" s="229"/>
      <c r="I54" s="251">
        <f>'Attachment H-11A '!I158</f>
        <v>0</v>
      </c>
    </row>
    <row r="55" spans="1:11" s="156" customFormat="1" ht="15">
      <c r="A55" s="171">
        <v>31</v>
      </c>
      <c r="B55" s="216"/>
      <c r="C55" s="216"/>
      <c r="D55" s="292" t="s">
        <v>331</v>
      </c>
      <c r="E55" s="173"/>
      <c r="F55" s="238"/>
      <c r="G55" s="230" t="s">
        <v>1081</v>
      </c>
      <c r="H55" s="229"/>
      <c r="I55" s="251">
        <f>'Attachment H-11A '!I159</f>
        <v>24069.700469735668</v>
      </c>
    </row>
    <row r="56" spans="1:11" s="156" customFormat="1" ht="15.6" thickBot="1">
      <c r="A56" s="171">
        <v>32</v>
      </c>
      <c r="B56" s="216"/>
      <c r="C56" s="216"/>
      <c r="D56" s="292" t="s">
        <v>333</v>
      </c>
      <c r="E56" s="173"/>
      <c r="F56" s="238"/>
      <c r="G56" s="230" t="s">
        <v>1082</v>
      </c>
      <c r="H56" s="229"/>
      <c r="I56" s="252">
        <f>'Attachment H-11A '!D160</f>
        <v>-300152.18625391572</v>
      </c>
    </row>
    <row r="57" spans="1:11" s="156" customFormat="1" ht="15">
      <c r="A57" s="171">
        <v>33</v>
      </c>
      <c r="B57" s="171"/>
      <c r="C57" s="171"/>
      <c r="D57" s="291" t="s">
        <v>67</v>
      </c>
      <c r="E57" s="184"/>
      <c r="F57" s="284"/>
      <c r="G57" s="235" t="s">
        <v>348</v>
      </c>
      <c r="H57" s="285"/>
      <c r="I57" s="286">
        <f>SUM(I53:I56)</f>
        <v>5277301.3749310579</v>
      </c>
    </row>
    <row r="58" spans="1:11" s="156" customFormat="1" ht="15">
      <c r="A58" s="171"/>
      <c r="B58" s="216"/>
      <c r="C58" s="216"/>
      <c r="D58" s="173"/>
      <c r="E58" s="173"/>
      <c r="F58" s="238"/>
      <c r="G58" s="239"/>
      <c r="H58" s="229"/>
      <c r="I58" s="240"/>
    </row>
    <row r="59" spans="1:11" s="156" customFormat="1" ht="15.6">
      <c r="A59" s="217" t="s">
        <v>922</v>
      </c>
      <c r="B59" s="218"/>
      <c r="C59" s="219"/>
      <c r="D59" s="220"/>
      <c r="E59" s="221"/>
      <c r="F59" s="222"/>
      <c r="G59" s="162"/>
      <c r="H59" s="162"/>
      <c r="I59" s="223"/>
    </row>
    <row r="60" spans="1:11" s="156" customFormat="1" ht="15.6">
      <c r="A60" s="277"/>
      <c r="B60" s="278"/>
      <c r="C60" s="279"/>
      <c r="D60" s="280"/>
      <c r="E60" s="184"/>
      <c r="F60" s="281"/>
      <c r="G60" s="160"/>
      <c r="H60" s="160"/>
      <c r="I60" s="282"/>
    </row>
    <row r="61" spans="1:11" s="156" customFormat="1" ht="15">
      <c r="A61" s="171">
        <v>34</v>
      </c>
      <c r="B61" s="216"/>
      <c r="C61" s="216"/>
      <c r="D61" s="184" t="s">
        <v>923</v>
      </c>
      <c r="E61" s="184"/>
      <c r="F61" s="238"/>
      <c r="G61" s="239" t="s">
        <v>350</v>
      </c>
      <c r="H61" s="229"/>
      <c r="I61" s="251">
        <f>I40+I57</f>
        <v>28807319.952453822</v>
      </c>
    </row>
    <row r="62" spans="1:11" s="156" customFormat="1" ht="15">
      <c r="A62" s="171"/>
      <c r="B62" s="216"/>
      <c r="C62" s="216"/>
      <c r="D62" s="173"/>
      <c r="E62" s="173"/>
      <c r="F62" s="238"/>
      <c r="G62" s="235"/>
      <c r="H62" s="229"/>
      <c r="I62" s="251"/>
    </row>
    <row r="63" spans="1:11" s="156" customFormat="1" ht="15">
      <c r="A63" s="171">
        <v>35</v>
      </c>
      <c r="B63" s="216"/>
      <c r="C63" s="216"/>
      <c r="D63" s="184" t="s">
        <v>967</v>
      </c>
      <c r="E63" s="173"/>
      <c r="F63" s="238"/>
      <c r="G63" s="235" t="s">
        <v>1083</v>
      </c>
      <c r="H63" s="229"/>
      <c r="I63" s="251">
        <f>'Attachment H-11A '!I163</f>
        <v>23530018.577522766</v>
      </c>
    </row>
    <row r="64" spans="1:11" s="156" customFormat="1" ht="15">
      <c r="A64" s="171">
        <v>36</v>
      </c>
      <c r="B64" s="216"/>
      <c r="C64" s="216"/>
      <c r="D64" s="184" t="s">
        <v>968</v>
      </c>
      <c r="E64" s="173"/>
      <c r="F64" s="238"/>
      <c r="G64" s="235" t="s">
        <v>1111</v>
      </c>
      <c r="H64" s="229"/>
      <c r="I64" s="251">
        <f>'Attachment H-11A '!I161</f>
        <v>5277301.3749310579</v>
      </c>
    </row>
    <row r="65" spans="1:11" s="156" customFormat="1" ht="15">
      <c r="A65" s="171"/>
      <c r="B65" s="216"/>
      <c r="C65" s="216"/>
      <c r="D65" s="173"/>
      <c r="E65" s="173"/>
      <c r="F65" s="238"/>
      <c r="G65" s="239"/>
      <c r="H65" s="229"/>
      <c r="I65" s="251"/>
    </row>
    <row r="66" spans="1:11" s="156" customFormat="1" ht="15.6">
      <c r="A66" s="171" t="s">
        <v>226</v>
      </c>
      <c r="B66" s="216"/>
      <c r="C66" s="216"/>
      <c r="D66" s="173"/>
      <c r="E66" s="173"/>
      <c r="F66" s="238"/>
      <c r="G66" s="239"/>
      <c r="H66" s="229"/>
      <c r="I66" s="241"/>
    </row>
    <row r="67" spans="1:11" s="160" customFormat="1" ht="22.2" customHeight="1">
      <c r="A67" s="171"/>
      <c r="B67" s="1323" t="s">
        <v>1084</v>
      </c>
      <c r="C67" s="1323"/>
      <c r="D67" s="1323"/>
      <c r="E67" s="1323"/>
      <c r="F67" s="1323"/>
      <c r="G67" s="1323"/>
      <c r="H67" s="1323"/>
      <c r="I67" s="1323"/>
      <c r="J67" s="1323"/>
      <c r="K67" s="1323"/>
    </row>
    <row r="68" spans="1:11" s="156" customFormat="1" ht="15.6">
      <c r="A68" s="171"/>
      <c r="B68" s="216"/>
      <c r="C68" s="260"/>
      <c r="D68" s="180"/>
      <c r="E68" s="243"/>
      <c r="F68" s="244"/>
      <c r="G68" s="242"/>
      <c r="H68" s="245"/>
      <c r="I68" s="246"/>
      <c r="J68" s="194"/>
    </row>
  </sheetData>
  <customSheetViews>
    <customSheetView guid="{B991F324-919F-4749-8E3C-A09B2FA7BB10}" scale="60" showPageBreaks="1" fitToPage="1" printArea="1" view="pageBreakPreview" topLeftCell="A12">
      <selection activeCell="F35" sqref="F35"/>
      <pageMargins left="0.5" right="0.33" top="0.5" bottom="0.5" header="0.5" footer="0.5"/>
      <printOptions horizontalCentered="1"/>
      <pageSetup scale="42" orientation="portrait" r:id="rId1"/>
      <headerFooter alignWithMargins="0"/>
    </customSheetView>
    <customSheetView guid="{901B528B-D65D-48CA-A638-FD9B4E5BB6D4}" scale="60" showPageBreaks="1" fitToPage="1" printArea="1" view="pageBreakPreview" topLeftCell="A12">
      <selection activeCell="F35" sqref="F35"/>
      <pageMargins left="0.5" right="0.33" top="0.5" bottom="0.5" header="0.5" footer="0.5"/>
      <printOptions horizontalCentered="1"/>
      <pageSetup scale="44" orientation="portrait" r:id="rId2"/>
      <headerFooter alignWithMargins="0"/>
    </customSheetView>
    <customSheetView guid="{0DE222E8-ADD6-4F4B-9601-960D8109381F}" scale="60" showPageBreaks="1" fitToPage="1" printArea="1" view="pageBreakPreview">
      <selection sqref="A1:I1"/>
      <pageMargins left="0.5" right="0.33" top="0.5" bottom="0.5" header="0.5" footer="0.5"/>
      <printOptions horizontalCentered="1"/>
      <pageSetup scale="43" orientation="portrait" r:id="rId3"/>
      <headerFooter alignWithMargins="0"/>
    </customSheetView>
  </customSheetViews>
  <mergeCells count="6">
    <mergeCell ref="A1:I1"/>
    <mergeCell ref="A2:I2"/>
    <mergeCell ref="B67:K67"/>
    <mergeCell ref="J2:K2"/>
    <mergeCell ref="J1:K1"/>
    <mergeCell ref="J3:K3"/>
  </mergeCells>
  <printOptions horizontalCentered="1"/>
  <pageMargins left="0.5" right="0.33" top="0.5" bottom="0.5" header="0.5" footer="0.5"/>
  <pageSetup scale="42" orientation="portrait" r:id="rId4"/>
  <headerFooter alignWithMargins="0"/>
  <ignoredErrors>
    <ignoredError sqref="I8"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18E6-003C-4755-8E72-04C2D224B9A1}">
  <dimension ref="A1:L72"/>
  <sheetViews>
    <sheetView view="pageBreakPreview" zoomScale="60" zoomScaleNormal="70" workbookViewId="0">
      <selection activeCell="B35" sqref="B35"/>
    </sheetView>
  </sheetViews>
  <sheetFormatPr defaultRowHeight="13.2"/>
  <cols>
    <col min="1" max="1" width="7.1796875" style="154" customWidth="1"/>
    <col min="2" max="2" width="2.36328125" style="154" customWidth="1"/>
    <col min="3" max="3" width="6.36328125" style="154" customWidth="1"/>
    <col min="4" max="4" width="33.453125" style="154" customWidth="1"/>
    <col min="5" max="5" width="18" style="154" customWidth="1"/>
    <col min="6" max="6" width="27.6328125" style="154" customWidth="1"/>
    <col min="7" max="7" width="54.36328125" style="154" customWidth="1"/>
    <col min="8" max="8" width="0.54296875" style="154" customWidth="1"/>
    <col min="9" max="9" width="23.453125" style="154" customWidth="1"/>
    <col min="10" max="10" width="7.90625" style="154" customWidth="1"/>
    <col min="11" max="11" width="17.90625" style="154" bestFit="1" customWidth="1"/>
    <col min="12" max="12" width="6.1796875" style="154" customWidth="1"/>
    <col min="13" max="256" width="8.90625" style="154"/>
    <col min="257" max="257" width="7.1796875" style="154" customWidth="1"/>
    <col min="258" max="258" width="2.36328125" style="154" customWidth="1"/>
    <col min="259" max="259" width="6.36328125" style="154" customWidth="1"/>
    <col min="260" max="260" width="33.453125" style="154" customWidth="1"/>
    <col min="261" max="261" width="18" style="154" customWidth="1"/>
    <col min="262" max="262" width="27.6328125" style="154" customWidth="1"/>
    <col min="263" max="263" width="28.90625" style="154" bestFit="1" customWidth="1"/>
    <col min="264" max="264" width="3" style="154" customWidth="1"/>
    <col min="265" max="265" width="23.453125" style="154" customWidth="1"/>
    <col min="266" max="266" width="8.90625" style="154"/>
    <col min="267" max="267" width="17.90625" style="154" bestFit="1" customWidth="1"/>
    <col min="268" max="512" width="8.90625" style="154"/>
    <col min="513" max="513" width="7.1796875" style="154" customWidth="1"/>
    <col min="514" max="514" width="2.36328125" style="154" customWidth="1"/>
    <col min="515" max="515" width="6.36328125" style="154" customWidth="1"/>
    <col min="516" max="516" width="33.453125" style="154" customWidth="1"/>
    <col min="517" max="517" width="18" style="154" customWidth="1"/>
    <col min="518" max="518" width="27.6328125" style="154" customWidth="1"/>
    <col min="519" max="519" width="28.90625" style="154" bestFit="1" customWidth="1"/>
    <col min="520" max="520" width="3" style="154" customWidth="1"/>
    <col min="521" max="521" width="23.453125" style="154" customWidth="1"/>
    <col min="522" max="522" width="8.90625" style="154"/>
    <col min="523" max="523" width="17.90625" style="154" bestFit="1" customWidth="1"/>
    <col min="524" max="768" width="8.90625" style="154"/>
    <col min="769" max="769" width="7.1796875" style="154" customWidth="1"/>
    <col min="770" max="770" width="2.36328125" style="154" customWidth="1"/>
    <col min="771" max="771" width="6.36328125" style="154" customWidth="1"/>
    <col min="772" max="772" width="33.453125" style="154" customWidth="1"/>
    <col min="773" max="773" width="18" style="154" customWidth="1"/>
    <col min="774" max="774" width="27.6328125" style="154" customWidth="1"/>
    <col min="775" max="775" width="28.90625" style="154" bestFit="1" customWidth="1"/>
    <col min="776" max="776" width="3" style="154" customWidth="1"/>
    <col min="777" max="777" width="23.453125" style="154" customWidth="1"/>
    <col min="778" max="778" width="8.90625" style="154"/>
    <col min="779" max="779" width="17.90625" style="154" bestFit="1" customWidth="1"/>
    <col min="780" max="1024" width="8.90625" style="154"/>
    <col min="1025" max="1025" width="7.1796875" style="154" customWidth="1"/>
    <col min="1026" max="1026" width="2.36328125" style="154" customWidth="1"/>
    <col min="1027" max="1027" width="6.36328125" style="154" customWidth="1"/>
    <col min="1028" max="1028" width="33.453125" style="154" customWidth="1"/>
    <col min="1029" max="1029" width="18" style="154" customWidth="1"/>
    <col min="1030" max="1030" width="27.6328125" style="154" customWidth="1"/>
    <col min="1031" max="1031" width="28.90625" style="154" bestFit="1" customWidth="1"/>
    <col min="1032" max="1032" width="3" style="154" customWidth="1"/>
    <col min="1033" max="1033" width="23.453125" style="154" customWidth="1"/>
    <col min="1034" max="1034" width="8.90625" style="154"/>
    <col min="1035" max="1035" width="17.90625" style="154" bestFit="1" customWidth="1"/>
    <col min="1036" max="1280" width="8.90625" style="154"/>
    <col min="1281" max="1281" width="7.1796875" style="154" customWidth="1"/>
    <col min="1282" max="1282" width="2.36328125" style="154" customWidth="1"/>
    <col min="1283" max="1283" width="6.36328125" style="154" customWidth="1"/>
    <col min="1284" max="1284" width="33.453125" style="154" customWidth="1"/>
    <col min="1285" max="1285" width="18" style="154" customWidth="1"/>
    <col min="1286" max="1286" width="27.6328125" style="154" customWidth="1"/>
    <col min="1287" max="1287" width="28.90625" style="154" bestFit="1" customWidth="1"/>
    <col min="1288" max="1288" width="3" style="154" customWidth="1"/>
    <col min="1289" max="1289" width="23.453125" style="154" customWidth="1"/>
    <col min="1290" max="1290" width="8.90625" style="154"/>
    <col min="1291" max="1291" width="17.90625" style="154" bestFit="1" customWidth="1"/>
    <col min="1292" max="1536" width="8.90625" style="154"/>
    <col min="1537" max="1537" width="7.1796875" style="154" customWidth="1"/>
    <col min="1538" max="1538" width="2.36328125" style="154" customWidth="1"/>
    <col min="1539" max="1539" width="6.36328125" style="154" customWidth="1"/>
    <col min="1540" max="1540" width="33.453125" style="154" customWidth="1"/>
    <col min="1541" max="1541" width="18" style="154" customWidth="1"/>
    <col min="1542" max="1542" width="27.6328125" style="154" customWidth="1"/>
    <col min="1543" max="1543" width="28.90625" style="154" bestFit="1" customWidth="1"/>
    <col min="1544" max="1544" width="3" style="154" customWidth="1"/>
    <col min="1545" max="1545" width="23.453125" style="154" customWidth="1"/>
    <col min="1546" max="1546" width="8.90625" style="154"/>
    <col min="1547" max="1547" width="17.90625" style="154" bestFit="1" customWidth="1"/>
    <col min="1548" max="1792" width="8.90625" style="154"/>
    <col min="1793" max="1793" width="7.1796875" style="154" customWidth="1"/>
    <col min="1794" max="1794" width="2.36328125" style="154" customWidth="1"/>
    <col min="1795" max="1795" width="6.36328125" style="154" customWidth="1"/>
    <col min="1796" max="1796" width="33.453125" style="154" customWidth="1"/>
    <col min="1797" max="1797" width="18" style="154" customWidth="1"/>
    <col min="1798" max="1798" width="27.6328125" style="154" customWidth="1"/>
    <col min="1799" max="1799" width="28.90625" style="154" bestFit="1" customWidth="1"/>
    <col min="1800" max="1800" width="3" style="154" customWidth="1"/>
    <col min="1801" max="1801" width="23.453125" style="154" customWidth="1"/>
    <col min="1802" max="1802" width="8.90625" style="154"/>
    <col min="1803" max="1803" width="17.90625" style="154" bestFit="1" customWidth="1"/>
    <col min="1804" max="2048" width="8.90625" style="154"/>
    <col min="2049" max="2049" width="7.1796875" style="154" customWidth="1"/>
    <col min="2050" max="2050" width="2.36328125" style="154" customWidth="1"/>
    <col min="2051" max="2051" width="6.36328125" style="154" customWidth="1"/>
    <col min="2052" max="2052" width="33.453125" style="154" customWidth="1"/>
    <col min="2053" max="2053" width="18" style="154" customWidth="1"/>
    <col min="2054" max="2054" width="27.6328125" style="154" customWidth="1"/>
    <col min="2055" max="2055" width="28.90625" style="154" bestFit="1" customWidth="1"/>
    <col min="2056" max="2056" width="3" style="154" customWidth="1"/>
    <col min="2057" max="2057" width="23.453125" style="154" customWidth="1"/>
    <col min="2058" max="2058" width="8.90625" style="154"/>
    <col min="2059" max="2059" width="17.90625" style="154" bestFit="1" customWidth="1"/>
    <col min="2060" max="2304" width="8.90625" style="154"/>
    <col min="2305" max="2305" width="7.1796875" style="154" customWidth="1"/>
    <col min="2306" max="2306" width="2.36328125" style="154" customWidth="1"/>
    <col min="2307" max="2307" width="6.36328125" style="154" customWidth="1"/>
    <col min="2308" max="2308" width="33.453125" style="154" customWidth="1"/>
    <col min="2309" max="2309" width="18" style="154" customWidth="1"/>
    <col min="2310" max="2310" width="27.6328125" style="154" customWidth="1"/>
    <col min="2311" max="2311" width="28.90625" style="154" bestFit="1" customWidth="1"/>
    <col min="2312" max="2312" width="3" style="154" customWidth="1"/>
    <col min="2313" max="2313" width="23.453125" style="154" customWidth="1"/>
    <col min="2314" max="2314" width="8.90625" style="154"/>
    <col min="2315" max="2315" width="17.90625" style="154" bestFit="1" customWidth="1"/>
    <col min="2316" max="2560" width="8.90625" style="154"/>
    <col min="2561" max="2561" width="7.1796875" style="154" customWidth="1"/>
    <col min="2562" max="2562" width="2.36328125" style="154" customWidth="1"/>
    <col min="2563" max="2563" width="6.36328125" style="154" customWidth="1"/>
    <col min="2564" max="2564" width="33.453125" style="154" customWidth="1"/>
    <col min="2565" max="2565" width="18" style="154" customWidth="1"/>
    <col min="2566" max="2566" width="27.6328125" style="154" customWidth="1"/>
    <col min="2567" max="2567" width="28.90625" style="154" bestFit="1" customWidth="1"/>
    <col min="2568" max="2568" width="3" style="154" customWidth="1"/>
    <col min="2569" max="2569" width="23.453125" style="154" customWidth="1"/>
    <col min="2570" max="2570" width="8.90625" style="154"/>
    <col min="2571" max="2571" width="17.90625" style="154" bestFit="1" customWidth="1"/>
    <col min="2572" max="2816" width="8.90625" style="154"/>
    <col min="2817" max="2817" width="7.1796875" style="154" customWidth="1"/>
    <col min="2818" max="2818" width="2.36328125" style="154" customWidth="1"/>
    <col min="2819" max="2819" width="6.36328125" style="154" customWidth="1"/>
    <col min="2820" max="2820" width="33.453125" style="154" customWidth="1"/>
    <col min="2821" max="2821" width="18" style="154" customWidth="1"/>
    <col min="2822" max="2822" width="27.6328125" style="154" customWidth="1"/>
    <col min="2823" max="2823" width="28.90625" style="154" bestFit="1" customWidth="1"/>
    <col min="2824" max="2824" width="3" style="154" customWidth="1"/>
    <col min="2825" max="2825" width="23.453125" style="154" customWidth="1"/>
    <col min="2826" max="2826" width="8.90625" style="154"/>
    <col min="2827" max="2827" width="17.90625" style="154" bestFit="1" customWidth="1"/>
    <col min="2828" max="3072" width="8.90625" style="154"/>
    <col min="3073" max="3073" width="7.1796875" style="154" customWidth="1"/>
    <col min="3074" max="3074" width="2.36328125" style="154" customWidth="1"/>
    <col min="3075" max="3075" width="6.36328125" style="154" customWidth="1"/>
    <col min="3076" max="3076" width="33.453125" style="154" customWidth="1"/>
    <col min="3077" max="3077" width="18" style="154" customWidth="1"/>
    <col min="3078" max="3078" width="27.6328125" style="154" customWidth="1"/>
    <col min="3079" max="3079" width="28.90625" style="154" bestFit="1" customWidth="1"/>
    <col min="3080" max="3080" width="3" style="154" customWidth="1"/>
    <col min="3081" max="3081" width="23.453125" style="154" customWidth="1"/>
    <col min="3082" max="3082" width="8.90625" style="154"/>
    <col min="3083" max="3083" width="17.90625" style="154" bestFit="1" customWidth="1"/>
    <col min="3084" max="3328" width="8.90625" style="154"/>
    <col min="3329" max="3329" width="7.1796875" style="154" customWidth="1"/>
    <col min="3330" max="3330" width="2.36328125" style="154" customWidth="1"/>
    <col min="3331" max="3331" width="6.36328125" style="154" customWidth="1"/>
    <col min="3332" max="3332" width="33.453125" style="154" customWidth="1"/>
    <col min="3333" max="3333" width="18" style="154" customWidth="1"/>
    <col min="3334" max="3334" width="27.6328125" style="154" customWidth="1"/>
    <col min="3335" max="3335" width="28.90625" style="154" bestFit="1" customWidth="1"/>
    <col min="3336" max="3336" width="3" style="154" customWidth="1"/>
    <col min="3337" max="3337" width="23.453125" style="154" customWidth="1"/>
    <col min="3338" max="3338" width="8.90625" style="154"/>
    <col min="3339" max="3339" width="17.90625" style="154" bestFit="1" customWidth="1"/>
    <col min="3340" max="3584" width="8.90625" style="154"/>
    <col min="3585" max="3585" width="7.1796875" style="154" customWidth="1"/>
    <col min="3586" max="3586" width="2.36328125" style="154" customWidth="1"/>
    <col min="3587" max="3587" width="6.36328125" style="154" customWidth="1"/>
    <col min="3588" max="3588" width="33.453125" style="154" customWidth="1"/>
    <col min="3589" max="3589" width="18" style="154" customWidth="1"/>
    <col min="3590" max="3590" width="27.6328125" style="154" customWidth="1"/>
    <col min="3591" max="3591" width="28.90625" style="154" bestFit="1" customWidth="1"/>
    <col min="3592" max="3592" width="3" style="154" customWidth="1"/>
    <col min="3593" max="3593" width="23.453125" style="154" customWidth="1"/>
    <col min="3594" max="3594" width="8.90625" style="154"/>
    <col min="3595" max="3595" width="17.90625" style="154" bestFit="1" customWidth="1"/>
    <col min="3596" max="3840" width="8.90625" style="154"/>
    <col min="3841" max="3841" width="7.1796875" style="154" customWidth="1"/>
    <col min="3842" max="3842" width="2.36328125" style="154" customWidth="1"/>
    <col min="3843" max="3843" width="6.36328125" style="154" customWidth="1"/>
    <col min="3844" max="3844" width="33.453125" style="154" customWidth="1"/>
    <col min="3845" max="3845" width="18" style="154" customWidth="1"/>
    <col min="3846" max="3846" width="27.6328125" style="154" customWidth="1"/>
    <col min="3847" max="3847" width="28.90625" style="154" bestFit="1" customWidth="1"/>
    <col min="3848" max="3848" width="3" style="154" customWidth="1"/>
    <col min="3849" max="3849" width="23.453125" style="154" customWidth="1"/>
    <col min="3850" max="3850" width="8.90625" style="154"/>
    <col min="3851" max="3851" width="17.90625" style="154" bestFit="1" customWidth="1"/>
    <col min="3852" max="4096" width="8.90625" style="154"/>
    <col min="4097" max="4097" width="7.1796875" style="154" customWidth="1"/>
    <col min="4098" max="4098" width="2.36328125" style="154" customWidth="1"/>
    <col min="4099" max="4099" width="6.36328125" style="154" customWidth="1"/>
    <col min="4100" max="4100" width="33.453125" style="154" customWidth="1"/>
    <col min="4101" max="4101" width="18" style="154" customWidth="1"/>
    <col min="4102" max="4102" width="27.6328125" style="154" customWidth="1"/>
    <col min="4103" max="4103" width="28.90625" style="154" bestFit="1" customWidth="1"/>
    <col min="4104" max="4104" width="3" style="154" customWidth="1"/>
    <col min="4105" max="4105" width="23.453125" style="154" customWidth="1"/>
    <col min="4106" max="4106" width="8.90625" style="154"/>
    <col min="4107" max="4107" width="17.90625" style="154" bestFit="1" customWidth="1"/>
    <col min="4108" max="4352" width="8.90625" style="154"/>
    <col min="4353" max="4353" width="7.1796875" style="154" customWidth="1"/>
    <col min="4354" max="4354" width="2.36328125" style="154" customWidth="1"/>
    <col min="4355" max="4355" width="6.36328125" style="154" customWidth="1"/>
    <col min="4356" max="4356" width="33.453125" style="154" customWidth="1"/>
    <col min="4357" max="4357" width="18" style="154" customWidth="1"/>
    <col min="4358" max="4358" width="27.6328125" style="154" customWidth="1"/>
    <col min="4359" max="4359" width="28.90625" style="154" bestFit="1" customWidth="1"/>
    <col min="4360" max="4360" width="3" style="154" customWidth="1"/>
    <col min="4361" max="4361" width="23.453125" style="154" customWidth="1"/>
    <col min="4362" max="4362" width="8.90625" style="154"/>
    <col min="4363" max="4363" width="17.90625" style="154" bestFit="1" customWidth="1"/>
    <col min="4364" max="4608" width="8.90625" style="154"/>
    <col min="4609" max="4609" width="7.1796875" style="154" customWidth="1"/>
    <col min="4610" max="4610" width="2.36328125" style="154" customWidth="1"/>
    <col min="4611" max="4611" width="6.36328125" style="154" customWidth="1"/>
    <col min="4612" max="4612" width="33.453125" style="154" customWidth="1"/>
    <col min="4613" max="4613" width="18" style="154" customWidth="1"/>
    <col min="4614" max="4614" width="27.6328125" style="154" customWidth="1"/>
    <col min="4615" max="4615" width="28.90625" style="154" bestFit="1" customWidth="1"/>
    <col min="4616" max="4616" width="3" style="154" customWidth="1"/>
    <col min="4617" max="4617" width="23.453125" style="154" customWidth="1"/>
    <col min="4618" max="4618" width="8.90625" style="154"/>
    <col min="4619" max="4619" width="17.90625" style="154" bestFit="1" customWidth="1"/>
    <col min="4620" max="4864" width="8.90625" style="154"/>
    <col min="4865" max="4865" width="7.1796875" style="154" customWidth="1"/>
    <col min="4866" max="4866" width="2.36328125" style="154" customWidth="1"/>
    <col min="4867" max="4867" width="6.36328125" style="154" customWidth="1"/>
    <col min="4868" max="4868" width="33.453125" style="154" customWidth="1"/>
    <col min="4869" max="4869" width="18" style="154" customWidth="1"/>
    <col min="4870" max="4870" width="27.6328125" style="154" customWidth="1"/>
    <col min="4871" max="4871" width="28.90625" style="154" bestFit="1" customWidth="1"/>
    <col min="4872" max="4872" width="3" style="154" customWidth="1"/>
    <col min="4873" max="4873" width="23.453125" style="154" customWidth="1"/>
    <col min="4874" max="4874" width="8.90625" style="154"/>
    <col min="4875" max="4875" width="17.90625" style="154" bestFit="1" customWidth="1"/>
    <col min="4876" max="5120" width="8.90625" style="154"/>
    <col min="5121" max="5121" width="7.1796875" style="154" customWidth="1"/>
    <col min="5122" max="5122" width="2.36328125" style="154" customWidth="1"/>
    <col min="5123" max="5123" width="6.36328125" style="154" customWidth="1"/>
    <col min="5124" max="5124" width="33.453125" style="154" customWidth="1"/>
    <col min="5125" max="5125" width="18" style="154" customWidth="1"/>
    <col min="5126" max="5126" width="27.6328125" style="154" customWidth="1"/>
    <col min="5127" max="5127" width="28.90625" style="154" bestFit="1" customWidth="1"/>
    <col min="5128" max="5128" width="3" style="154" customWidth="1"/>
    <col min="5129" max="5129" width="23.453125" style="154" customWidth="1"/>
    <col min="5130" max="5130" width="8.90625" style="154"/>
    <col min="5131" max="5131" width="17.90625" style="154" bestFit="1" customWidth="1"/>
    <col min="5132" max="5376" width="8.90625" style="154"/>
    <col min="5377" max="5377" width="7.1796875" style="154" customWidth="1"/>
    <col min="5378" max="5378" width="2.36328125" style="154" customWidth="1"/>
    <col min="5379" max="5379" width="6.36328125" style="154" customWidth="1"/>
    <col min="5380" max="5380" width="33.453125" style="154" customWidth="1"/>
    <col min="5381" max="5381" width="18" style="154" customWidth="1"/>
    <col min="5382" max="5382" width="27.6328125" style="154" customWidth="1"/>
    <col min="5383" max="5383" width="28.90625" style="154" bestFit="1" customWidth="1"/>
    <col min="5384" max="5384" width="3" style="154" customWidth="1"/>
    <col min="5385" max="5385" width="23.453125" style="154" customWidth="1"/>
    <col min="5386" max="5386" width="8.90625" style="154"/>
    <col min="5387" max="5387" width="17.90625" style="154" bestFit="1" customWidth="1"/>
    <col min="5388" max="5632" width="8.90625" style="154"/>
    <col min="5633" max="5633" width="7.1796875" style="154" customWidth="1"/>
    <col min="5634" max="5634" width="2.36328125" style="154" customWidth="1"/>
    <col min="5635" max="5635" width="6.36328125" style="154" customWidth="1"/>
    <col min="5636" max="5636" width="33.453125" style="154" customWidth="1"/>
    <col min="5637" max="5637" width="18" style="154" customWidth="1"/>
    <col min="5638" max="5638" width="27.6328125" style="154" customWidth="1"/>
    <col min="5639" max="5639" width="28.90625" style="154" bestFit="1" customWidth="1"/>
    <col min="5640" max="5640" width="3" style="154" customWidth="1"/>
    <col min="5641" max="5641" width="23.453125" style="154" customWidth="1"/>
    <col min="5642" max="5642" width="8.90625" style="154"/>
    <col min="5643" max="5643" width="17.90625" style="154" bestFit="1" customWidth="1"/>
    <col min="5644" max="5888" width="8.90625" style="154"/>
    <col min="5889" max="5889" width="7.1796875" style="154" customWidth="1"/>
    <col min="5890" max="5890" width="2.36328125" style="154" customWidth="1"/>
    <col min="5891" max="5891" width="6.36328125" style="154" customWidth="1"/>
    <col min="5892" max="5892" width="33.453125" style="154" customWidth="1"/>
    <col min="5893" max="5893" width="18" style="154" customWidth="1"/>
    <col min="5894" max="5894" width="27.6328125" style="154" customWidth="1"/>
    <col min="5895" max="5895" width="28.90625" style="154" bestFit="1" customWidth="1"/>
    <col min="5896" max="5896" width="3" style="154" customWidth="1"/>
    <col min="5897" max="5897" width="23.453125" style="154" customWidth="1"/>
    <col min="5898" max="5898" width="8.90625" style="154"/>
    <col min="5899" max="5899" width="17.90625" style="154" bestFit="1" customWidth="1"/>
    <col min="5900" max="6144" width="8.90625" style="154"/>
    <col min="6145" max="6145" width="7.1796875" style="154" customWidth="1"/>
    <col min="6146" max="6146" width="2.36328125" style="154" customWidth="1"/>
    <col min="6147" max="6147" width="6.36328125" style="154" customWidth="1"/>
    <col min="6148" max="6148" width="33.453125" style="154" customWidth="1"/>
    <col min="6149" max="6149" width="18" style="154" customWidth="1"/>
    <col min="6150" max="6150" width="27.6328125" style="154" customWidth="1"/>
    <col min="6151" max="6151" width="28.90625" style="154" bestFit="1" customWidth="1"/>
    <col min="6152" max="6152" width="3" style="154" customWidth="1"/>
    <col min="6153" max="6153" width="23.453125" style="154" customWidth="1"/>
    <col min="6154" max="6154" width="8.90625" style="154"/>
    <col min="6155" max="6155" width="17.90625" style="154" bestFit="1" customWidth="1"/>
    <col min="6156" max="6400" width="8.90625" style="154"/>
    <col min="6401" max="6401" width="7.1796875" style="154" customWidth="1"/>
    <col min="6402" max="6402" width="2.36328125" style="154" customWidth="1"/>
    <col min="6403" max="6403" width="6.36328125" style="154" customWidth="1"/>
    <col min="6404" max="6404" width="33.453125" style="154" customWidth="1"/>
    <col min="6405" max="6405" width="18" style="154" customWidth="1"/>
    <col min="6406" max="6406" width="27.6328125" style="154" customWidth="1"/>
    <col min="6407" max="6407" width="28.90625" style="154" bestFit="1" customWidth="1"/>
    <col min="6408" max="6408" width="3" style="154" customWidth="1"/>
    <col min="6409" max="6409" width="23.453125" style="154" customWidth="1"/>
    <col min="6410" max="6410" width="8.90625" style="154"/>
    <col min="6411" max="6411" width="17.90625" style="154" bestFit="1" customWidth="1"/>
    <col min="6412" max="6656" width="8.90625" style="154"/>
    <col min="6657" max="6657" width="7.1796875" style="154" customWidth="1"/>
    <col min="6658" max="6658" width="2.36328125" style="154" customWidth="1"/>
    <col min="6659" max="6659" width="6.36328125" style="154" customWidth="1"/>
    <col min="6660" max="6660" width="33.453125" style="154" customWidth="1"/>
    <col min="6661" max="6661" width="18" style="154" customWidth="1"/>
    <col min="6662" max="6662" width="27.6328125" style="154" customWidth="1"/>
    <col min="6663" max="6663" width="28.90625" style="154" bestFit="1" customWidth="1"/>
    <col min="6664" max="6664" width="3" style="154" customWidth="1"/>
    <col min="6665" max="6665" width="23.453125" style="154" customWidth="1"/>
    <col min="6666" max="6666" width="8.90625" style="154"/>
    <col min="6667" max="6667" width="17.90625" style="154" bestFit="1" customWidth="1"/>
    <col min="6668" max="6912" width="8.90625" style="154"/>
    <col min="6913" max="6913" width="7.1796875" style="154" customWidth="1"/>
    <col min="6914" max="6914" width="2.36328125" style="154" customWidth="1"/>
    <col min="6915" max="6915" width="6.36328125" style="154" customWidth="1"/>
    <col min="6916" max="6916" width="33.453125" style="154" customWidth="1"/>
    <col min="6917" max="6917" width="18" style="154" customWidth="1"/>
    <col min="6918" max="6918" width="27.6328125" style="154" customWidth="1"/>
    <col min="6919" max="6919" width="28.90625" style="154" bestFit="1" customWidth="1"/>
    <col min="6920" max="6920" width="3" style="154" customWidth="1"/>
    <col min="6921" max="6921" width="23.453125" style="154" customWidth="1"/>
    <col min="6922" max="6922" width="8.90625" style="154"/>
    <col min="6923" max="6923" width="17.90625" style="154" bestFit="1" customWidth="1"/>
    <col min="6924" max="7168" width="8.90625" style="154"/>
    <col min="7169" max="7169" width="7.1796875" style="154" customWidth="1"/>
    <col min="7170" max="7170" width="2.36328125" style="154" customWidth="1"/>
    <col min="7171" max="7171" width="6.36328125" style="154" customWidth="1"/>
    <col min="7172" max="7172" width="33.453125" style="154" customWidth="1"/>
    <col min="7173" max="7173" width="18" style="154" customWidth="1"/>
    <col min="7174" max="7174" width="27.6328125" style="154" customWidth="1"/>
    <col min="7175" max="7175" width="28.90625" style="154" bestFit="1" customWidth="1"/>
    <col min="7176" max="7176" width="3" style="154" customWidth="1"/>
    <col min="7177" max="7177" width="23.453125" style="154" customWidth="1"/>
    <col min="7178" max="7178" width="8.90625" style="154"/>
    <col min="7179" max="7179" width="17.90625" style="154" bestFit="1" customWidth="1"/>
    <col min="7180" max="7424" width="8.90625" style="154"/>
    <col min="7425" max="7425" width="7.1796875" style="154" customWidth="1"/>
    <col min="7426" max="7426" width="2.36328125" style="154" customWidth="1"/>
    <col min="7427" max="7427" width="6.36328125" style="154" customWidth="1"/>
    <col min="7428" max="7428" width="33.453125" style="154" customWidth="1"/>
    <col min="7429" max="7429" width="18" style="154" customWidth="1"/>
    <col min="7430" max="7430" width="27.6328125" style="154" customWidth="1"/>
    <col min="7431" max="7431" width="28.90625" style="154" bestFit="1" customWidth="1"/>
    <col min="7432" max="7432" width="3" style="154" customWidth="1"/>
    <col min="7433" max="7433" width="23.453125" style="154" customWidth="1"/>
    <col min="7434" max="7434" width="8.90625" style="154"/>
    <col min="7435" max="7435" width="17.90625" style="154" bestFit="1" customWidth="1"/>
    <col min="7436" max="7680" width="8.90625" style="154"/>
    <col min="7681" max="7681" width="7.1796875" style="154" customWidth="1"/>
    <col min="7682" max="7682" width="2.36328125" style="154" customWidth="1"/>
    <col min="7683" max="7683" width="6.36328125" style="154" customWidth="1"/>
    <col min="7684" max="7684" width="33.453125" style="154" customWidth="1"/>
    <col min="7685" max="7685" width="18" style="154" customWidth="1"/>
    <col min="7686" max="7686" width="27.6328125" style="154" customWidth="1"/>
    <col min="7687" max="7687" width="28.90625" style="154" bestFit="1" customWidth="1"/>
    <col min="7688" max="7688" width="3" style="154" customWidth="1"/>
    <col min="7689" max="7689" width="23.453125" style="154" customWidth="1"/>
    <col min="7690" max="7690" width="8.90625" style="154"/>
    <col min="7691" max="7691" width="17.90625" style="154" bestFit="1" customWidth="1"/>
    <col min="7692" max="7936" width="8.90625" style="154"/>
    <col min="7937" max="7937" width="7.1796875" style="154" customWidth="1"/>
    <col min="7938" max="7938" width="2.36328125" style="154" customWidth="1"/>
    <col min="7939" max="7939" width="6.36328125" style="154" customWidth="1"/>
    <col min="7940" max="7940" width="33.453125" style="154" customWidth="1"/>
    <col min="7941" max="7941" width="18" style="154" customWidth="1"/>
    <col min="7942" max="7942" width="27.6328125" style="154" customWidth="1"/>
    <col min="7943" max="7943" width="28.90625" style="154" bestFit="1" customWidth="1"/>
    <col min="7944" max="7944" width="3" style="154" customWidth="1"/>
    <col min="7945" max="7945" width="23.453125" style="154" customWidth="1"/>
    <col min="7946" max="7946" width="8.90625" style="154"/>
    <col min="7947" max="7947" width="17.90625" style="154" bestFit="1" customWidth="1"/>
    <col min="7948" max="8192" width="8.90625" style="154"/>
    <col min="8193" max="8193" width="7.1796875" style="154" customWidth="1"/>
    <col min="8194" max="8194" width="2.36328125" style="154" customWidth="1"/>
    <col min="8195" max="8195" width="6.36328125" style="154" customWidth="1"/>
    <col min="8196" max="8196" width="33.453125" style="154" customWidth="1"/>
    <col min="8197" max="8197" width="18" style="154" customWidth="1"/>
    <col min="8198" max="8198" width="27.6328125" style="154" customWidth="1"/>
    <col min="8199" max="8199" width="28.90625" style="154" bestFit="1" customWidth="1"/>
    <col min="8200" max="8200" width="3" style="154" customWidth="1"/>
    <col min="8201" max="8201" width="23.453125" style="154" customWidth="1"/>
    <col min="8202" max="8202" width="8.90625" style="154"/>
    <col min="8203" max="8203" width="17.90625" style="154" bestFit="1" customWidth="1"/>
    <col min="8204" max="8448" width="8.90625" style="154"/>
    <col min="8449" max="8449" width="7.1796875" style="154" customWidth="1"/>
    <col min="8450" max="8450" width="2.36328125" style="154" customWidth="1"/>
    <col min="8451" max="8451" width="6.36328125" style="154" customWidth="1"/>
    <col min="8452" max="8452" width="33.453125" style="154" customWidth="1"/>
    <col min="8453" max="8453" width="18" style="154" customWidth="1"/>
    <col min="8454" max="8454" width="27.6328125" style="154" customWidth="1"/>
    <col min="8455" max="8455" width="28.90625" style="154" bestFit="1" customWidth="1"/>
    <col min="8456" max="8456" width="3" style="154" customWidth="1"/>
    <col min="8457" max="8457" width="23.453125" style="154" customWidth="1"/>
    <col min="8458" max="8458" width="8.90625" style="154"/>
    <col min="8459" max="8459" width="17.90625" style="154" bestFit="1" customWidth="1"/>
    <col min="8460" max="8704" width="8.90625" style="154"/>
    <col min="8705" max="8705" width="7.1796875" style="154" customWidth="1"/>
    <col min="8706" max="8706" width="2.36328125" style="154" customWidth="1"/>
    <col min="8707" max="8707" width="6.36328125" style="154" customWidth="1"/>
    <col min="8708" max="8708" width="33.453125" style="154" customWidth="1"/>
    <col min="8709" max="8709" width="18" style="154" customWidth="1"/>
    <col min="8710" max="8710" width="27.6328125" style="154" customWidth="1"/>
    <col min="8711" max="8711" width="28.90625" style="154" bestFit="1" customWidth="1"/>
    <col min="8712" max="8712" width="3" style="154" customWidth="1"/>
    <col min="8713" max="8713" width="23.453125" style="154" customWidth="1"/>
    <col min="8714" max="8714" width="8.90625" style="154"/>
    <col min="8715" max="8715" width="17.90625" style="154" bestFit="1" customWidth="1"/>
    <col min="8716" max="8960" width="8.90625" style="154"/>
    <col min="8961" max="8961" width="7.1796875" style="154" customWidth="1"/>
    <col min="8962" max="8962" width="2.36328125" style="154" customWidth="1"/>
    <col min="8963" max="8963" width="6.36328125" style="154" customWidth="1"/>
    <col min="8964" max="8964" width="33.453125" style="154" customWidth="1"/>
    <col min="8965" max="8965" width="18" style="154" customWidth="1"/>
    <col min="8966" max="8966" width="27.6328125" style="154" customWidth="1"/>
    <col min="8967" max="8967" width="28.90625" style="154" bestFit="1" customWidth="1"/>
    <col min="8968" max="8968" width="3" style="154" customWidth="1"/>
    <col min="8969" max="8969" width="23.453125" style="154" customWidth="1"/>
    <col min="8970" max="8970" width="8.90625" style="154"/>
    <col min="8971" max="8971" width="17.90625" style="154" bestFit="1" customWidth="1"/>
    <col min="8972" max="9216" width="8.90625" style="154"/>
    <col min="9217" max="9217" width="7.1796875" style="154" customWidth="1"/>
    <col min="9218" max="9218" width="2.36328125" style="154" customWidth="1"/>
    <col min="9219" max="9219" width="6.36328125" style="154" customWidth="1"/>
    <col min="9220" max="9220" width="33.453125" style="154" customWidth="1"/>
    <col min="9221" max="9221" width="18" style="154" customWidth="1"/>
    <col min="9222" max="9222" width="27.6328125" style="154" customWidth="1"/>
    <col min="9223" max="9223" width="28.90625" style="154" bestFit="1" customWidth="1"/>
    <col min="9224" max="9224" width="3" style="154" customWidth="1"/>
    <col min="9225" max="9225" width="23.453125" style="154" customWidth="1"/>
    <col min="9226" max="9226" width="8.90625" style="154"/>
    <col min="9227" max="9227" width="17.90625" style="154" bestFit="1" customWidth="1"/>
    <col min="9228" max="9472" width="8.90625" style="154"/>
    <col min="9473" max="9473" width="7.1796875" style="154" customWidth="1"/>
    <col min="9474" max="9474" width="2.36328125" style="154" customWidth="1"/>
    <col min="9475" max="9475" width="6.36328125" style="154" customWidth="1"/>
    <col min="9476" max="9476" width="33.453125" style="154" customWidth="1"/>
    <col min="9477" max="9477" width="18" style="154" customWidth="1"/>
    <col min="9478" max="9478" width="27.6328125" style="154" customWidth="1"/>
    <col min="9479" max="9479" width="28.90625" style="154" bestFit="1" customWidth="1"/>
    <col min="9480" max="9480" width="3" style="154" customWidth="1"/>
    <col min="9481" max="9481" width="23.453125" style="154" customWidth="1"/>
    <col min="9482" max="9482" width="8.90625" style="154"/>
    <col min="9483" max="9483" width="17.90625" style="154" bestFit="1" customWidth="1"/>
    <col min="9484" max="9728" width="8.90625" style="154"/>
    <col min="9729" max="9729" width="7.1796875" style="154" customWidth="1"/>
    <col min="9730" max="9730" width="2.36328125" style="154" customWidth="1"/>
    <col min="9731" max="9731" width="6.36328125" style="154" customWidth="1"/>
    <col min="9732" max="9732" width="33.453125" style="154" customWidth="1"/>
    <col min="9733" max="9733" width="18" style="154" customWidth="1"/>
    <col min="9734" max="9734" width="27.6328125" style="154" customWidth="1"/>
    <col min="9735" max="9735" width="28.90625" style="154" bestFit="1" customWidth="1"/>
    <col min="9736" max="9736" width="3" style="154" customWidth="1"/>
    <col min="9737" max="9737" width="23.453125" style="154" customWidth="1"/>
    <col min="9738" max="9738" width="8.90625" style="154"/>
    <col min="9739" max="9739" width="17.90625" style="154" bestFit="1" customWidth="1"/>
    <col min="9740" max="9984" width="8.90625" style="154"/>
    <col min="9985" max="9985" width="7.1796875" style="154" customWidth="1"/>
    <col min="9986" max="9986" width="2.36328125" style="154" customWidth="1"/>
    <col min="9987" max="9987" width="6.36328125" style="154" customWidth="1"/>
    <col min="9988" max="9988" width="33.453125" style="154" customWidth="1"/>
    <col min="9989" max="9989" width="18" style="154" customWidth="1"/>
    <col min="9990" max="9990" width="27.6328125" style="154" customWidth="1"/>
    <col min="9991" max="9991" width="28.90625" style="154" bestFit="1" customWidth="1"/>
    <col min="9992" max="9992" width="3" style="154" customWidth="1"/>
    <col min="9993" max="9993" width="23.453125" style="154" customWidth="1"/>
    <col min="9994" max="9994" width="8.90625" style="154"/>
    <col min="9995" max="9995" width="17.90625" style="154" bestFit="1" customWidth="1"/>
    <col min="9996" max="10240" width="8.90625" style="154"/>
    <col min="10241" max="10241" width="7.1796875" style="154" customWidth="1"/>
    <col min="10242" max="10242" width="2.36328125" style="154" customWidth="1"/>
    <col min="10243" max="10243" width="6.36328125" style="154" customWidth="1"/>
    <col min="10244" max="10244" width="33.453125" style="154" customWidth="1"/>
    <col min="10245" max="10245" width="18" style="154" customWidth="1"/>
    <col min="10246" max="10246" width="27.6328125" style="154" customWidth="1"/>
    <col min="10247" max="10247" width="28.90625" style="154" bestFit="1" customWidth="1"/>
    <col min="10248" max="10248" width="3" style="154" customWidth="1"/>
    <col min="10249" max="10249" width="23.453125" style="154" customWidth="1"/>
    <col min="10250" max="10250" width="8.90625" style="154"/>
    <col min="10251" max="10251" width="17.90625" style="154" bestFit="1" customWidth="1"/>
    <col min="10252" max="10496" width="8.90625" style="154"/>
    <col min="10497" max="10497" width="7.1796875" style="154" customWidth="1"/>
    <col min="10498" max="10498" width="2.36328125" style="154" customWidth="1"/>
    <col min="10499" max="10499" width="6.36328125" style="154" customWidth="1"/>
    <col min="10500" max="10500" width="33.453125" style="154" customWidth="1"/>
    <col min="10501" max="10501" width="18" style="154" customWidth="1"/>
    <col min="10502" max="10502" width="27.6328125" style="154" customWidth="1"/>
    <col min="10503" max="10503" width="28.90625" style="154" bestFit="1" customWidth="1"/>
    <col min="10504" max="10504" width="3" style="154" customWidth="1"/>
    <col min="10505" max="10505" width="23.453125" style="154" customWidth="1"/>
    <col min="10506" max="10506" width="8.90625" style="154"/>
    <col min="10507" max="10507" width="17.90625" style="154" bestFit="1" customWidth="1"/>
    <col min="10508" max="10752" width="8.90625" style="154"/>
    <col min="10753" max="10753" width="7.1796875" style="154" customWidth="1"/>
    <col min="10754" max="10754" width="2.36328125" style="154" customWidth="1"/>
    <col min="10755" max="10755" width="6.36328125" style="154" customWidth="1"/>
    <col min="10756" max="10756" width="33.453125" style="154" customWidth="1"/>
    <col min="10757" max="10757" width="18" style="154" customWidth="1"/>
    <col min="10758" max="10758" width="27.6328125" style="154" customWidth="1"/>
    <col min="10759" max="10759" width="28.90625" style="154" bestFit="1" customWidth="1"/>
    <col min="10760" max="10760" width="3" style="154" customWidth="1"/>
    <col min="10761" max="10761" width="23.453125" style="154" customWidth="1"/>
    <col min="10762" max="10762" width="8.90625" style="154"/>
    <col min="10763" max="10763" width="17.90625" style="154" bestFit="1" customWidth="1"/>
    <col min="10764" max="11008" width="8.90625" style="154"/>
    <col min="11009" max="11009" width="7.1796875" style="154" customWidth="1"/>
    <col min="11010" max="11010" width="2.36328125" style="154" customWidth="1"/>
    <col min="11011" max="11011" width="6.36328125" style="154" customWidth="1"/>
    <col min="11012" max="11012" width="33.453125" style="154" customWidth="1"/>
    <col min="11013" max="11013" width="18" style="154" customWidth="1"/>
    <col min="11014" max="11014" width="27.6328125" style="154" customWidth="1"/>
    <col min="11015" max="11015" width="28.90625" style="154" bestFit="1" customWidth="1"/>
    <col min="11016" max="11016" width="3" style="154" customWidth="1"/>
    <col min="11017" max="11017" width="23.453125" style="154" customWidth="1"/>
    <col min="11018" max="11018" width="8.90625" style="154"/>
    <col min="11019" max="11019" width="17.90625" style="154" bestFit="1" customWidth="1"/>
    <col min="11020" max="11264" width="8.90625" style="154"/>
    <col min="11265" max="11265" width="7.1796875" style="154" customWidth="1"/>
    <col min="11266" max="11266" width="2.36328125" style="154" customWidth="1"/>
    <col min="11267" max="11267" width="6.36328125" style="154" customWidth="1"/>
    <col min="11268" max="11268" width="33.453125" style="154" customWidth="1"/>
    <col min="11269" max="11269" width="18" style="154" customWidth="1"/>
    <col min="11270" max="11270" width="27.6328125" style="154" customWidth="1"/>
    <col min="11271" max="11271" width="28.90625" style="154" bestFit="1" customWidth="1"/>
    <col min="11272" max="11272" width="3" style="154" customWidth="1"/>
    <col min="11273" max="11273" width="23.453125" style="154" customWidth="1"/>
    <col min="11274" max="11274" width="8.90625" style="154"/>
    <col min="11275" max="11275" width="17.90625" style="154" bestFit="1" customWidth="1"/>
    <col min="11276" max="11520" width="8.90625" style="154"/>
    <col min="11521" max="11521" width="7.1796875" style="154" customWidth="1"/>
    <col min="11522" max="11522" width="2.36328125" style="154" customWidth="1"/>
    <col min="11523" max="11523" width="6.36328125" style="154" customWidth="1"/>
    <col min="11524" max="11524" width="33.453125" style="154" customWidth="1"/>
    <col min="11525" max="11525" width="18" style="154" customWidth="1"/>
    <col min="11526" max="11526" width="27.6328125" style="154" customWidth="1"/>
    <col min="11527" max="11527" width="28.90625" style="154" bestFit="1" customWidth="1"/>
    <col min="11528" max="11528" width="3" style="154" customWidth="1"/>
    <col min="11529" max="11529" width="23.453125" style="154" customWidth="1"/>
    <col min="11530" max="11530" width="8.90625" style="154"/>
    <col min="11531" max="11531" width="17.90625" style="154" bestFit="1" customWidth="1"/>
    <col min="11532" max="11776" width="8.90625" style="154"/>
    <col min="11777" max="11777" width="7.1796875" style="154" customWidth="1"/>
    <col min="11778" max="11778" width="2.36328125" style="154" customWidth="1"/>
    <col min="11779" max="11779" width="6.36328125" style="154" customWidth="1"/>
    <col min="11780" max="11780" width="33.453125" style="154" customWidth="1"/>
    <col min="11781" max="11781" width="18" style="154" customWidth="1"/>
    <col min="11782" max="11782" width="27.6328125" style="154" customWidth="1"/>
    <col min="11783" max="11783" width="28.90625" style="154" bestFit="1" customWidth="1"/>
    <col min="11784" max="11784" width="3" style="154" customWidth="1"/>
    <col min="11785" max="11785" width="23.453125" style="154" customWidth="1"/>
    <col min="11786" max="11786" width="8.90625" style="154"/>
    <col min="11787" max="11787" width="17.90625" style="154" bestFit="1" customWidth="1"/>
    <col min="11788" max="12032" width="8.90625" style="154"/>
    <col min="12033" max="12033" width="7.1796875" style="154" customWidth="1"/>
    <col min="12034" max="12034" width="2.36328125" style="154" customWidth="1"/>
    <col min="12035" max="12035" width="6.36328125" style="154" customWidth="1"/>
    <col min="12036" max="12036" width="33.453125" style="154" customWidth="1"/>
    <col min="12037" max="12037" width="18" style="154" customWidth="1"/>
    <col min="12038" max="12038" width="27.6328125" style="154" customWidth="1"/>
    <col min="12039" max="12039" width="28.90625" style="154" bestFit="1" customWidth="1"/>
    <col min="12040" max="12040" width="3" style="154" customWidth="1"/>
    <col min="12041" max="12041" width="23.453125" style="154" customWidth="1"/>
    <col min="12042" max="12042" width="8.90625" style="154"/>
    <col min="12043" max="12043" width="17.90625" style="154" bestFit="1" customWidth="1"/>
    <col min="12044" max="12288" width="8.90625" style="154"/>
    <col min="12289" max="12289" width="7.1796875" style="154" customWidth="1"/>
    <col min="12290" max="12290" width="2.36328125" style="154" customWidth="1"/>
    <col min="12291" max="12291" width="6.36328125" style="154" customWidth="1"/>
    <col min="12292" max="12292" width="33.453125" style="154" customWidth="1"/>
    <col min="12293" max="12293" width="18" style="154" customWidth="1"/>
    <col min="12294" max="12294" width="27.6328125" style="154" customWidth="1"/>
    <col min="12295" max="12295" width="28.90625" style="154" bestFit="1" customWidth="1"/>
    <col min="12296" max="12296" width="3" style="154" customWidth="1"/>
    <col min="12297" max="12297" width="23.453125" style="154" customWidth="1"/>
    <col min="12298" max="12298" width="8.90625" style="154"/>
    <col min="12299" max="12299" width="17.90625" style="154" bestFit="1" customWidth="1"/>
    <col min="12300" max="12544" width="8.90625" style="154"/>
    <col min="12545" max="12545" width="7.1796875" style="154" customWidth="1"/>
    <col min="12546" max="12546" width="2.36328125" style="154" customWidth="1"/>
    <col min="12547" max="12547" width="6.36328125" style="154" customWidth="1"/>
    <col min="12548" max="12548" width="33.453125" style="154" customWidth="1"/>
    <col min="12549" max="12549" width="18" style="154" customWidth="1"/>
    <col min="12550" max="12550" width="27.6328125" style="154" customWidth="1"/>
    <col min="12551" max="12551" width="28.90625" style="154" bestFit="1" customWidth="1"/>
    <col min="12552" max="12552" width="3" style="154" customWidth="1"/>
    <col min="12553" max="12553" width="23.453125" style="154" customWidth="1"/>
    <col min="12554" max="12554" width="8.90625" style="154"/>
    <col min="12555" max="12555" width="17.90625" style="154" bestFit="1" customWidth="1"/>
    <col min="12556" max="12800" width="8.90625" style="154"/>
    <col min="12801" max="12801" width="7.1796875" style="154" customWidth="1"/>
    <col min="12802" max="12802" width="2.36328125" style="154" customWidth="1"/>
    <col min="12803" max="12803" width="6.36328125" style="154" customWidth="1"/>
    <col min="12804" max="12804" width="33.453125" style="154" customWidth="1"/>
    <col min="12805" max="12805" width="18" style="154" customWidth="1"/>
    <col min="12806" max="12806" width="27.6328125" style="154" customWidth="1"/>
    <col min="12807" max="12807" width="28.90625" style="154" bestFit="1" customWidth="1"/>
    <col min="12808" max="12808" width="3" style="154" customWidth="1"/>
    <col min="12809" max="12809" width="23.453125" style="154" customWidth="1"/>
    <col min="12810" max="12810" width="8.90625" style="154"/>
    <col min="12811" max="12811" width="17.90625" style="154" bestFit="1" customWidth="1"/>
    <col min="12812" max="13056" width="8.90625" style="154"/>
    <col min="13057" max="13057" width="7.1796875" style="154" customWidth="1"/>
    <col min="13058" max="13058" width="2.36328125" style="154" customWidth="1"/>
    <col min="13059" max="13059" width="6.36328125" style="154" customWidth="1"/>
    <col min="13060" max="13060" width="33.453125" style="154" customWidth="1"/>
    <col min="13061" max="13061" width="18" style="154" customWidth="1"/>
    <col min="13062" max="13062" width="27.6328125" style="154" customWidth="1"/>
    <col min="13063" max="13063" width="28.90625" style="154" bestFit="1" customWidth="1"/>
    <col min="13064" max="13064" width="3" style="154" customWidth="1"/>
    <col min="13065" max="13065" width="23.453125" style="154" customWidth="1"/>
    <col min="13066" max="13066" width="8.90625" style="154"/>
    <col min="13067" max="13067" width="17.90625" style="154" bestFit="1" customWidth="1"/>
    <col min="13068" max="13312" width="8.90625" style="154"/>
    <col min="13313" max="13313" width="7.1796875" style="154" customWidth="1"/>
    <col min="13314" max="13314" width="2.36328125" style="154" customWidth="1"/>
    <col min="13315" max="13315" width="6.36328125" style="154" customWidth="1"/>
    <col min="13316" max="13316" width="33.453125" style="154" customWidth="1"/>
    <col min="13317" max="13317" width="18" style="154" customWidth="1"/>
    <col min="13318" max="13318" width="27.6328125" style="154" customWidth="1"/>
    <col min="13319" max="13319" width="28.90625" style="154" bestFit="1" customWidth="1"/>
    <col min="13320" max="13320" width="3" style="154" customWidth="1"/>
    <col min="13321" max="13321" width="23.453125" style="154" customWidth="1"/>
    <col min="13322" max="13322" width="8.90625" style="154"/>
    <col min="13323" max="13323" width="17.90625" style="154" bestFit="1" customWidth="1"/>
    <col min="13324" max="13568" width="8.90625" style="154"/>
    <col min="13569" max="13569" width="7.1796875" style="154" customWidth="1"/>
    <col min="13570" max="13570" width="2.36328125" style="154" customWidth="1"/>
    <col min="13571" max="13571" width="6.36328125" style="154" customWidth="1"/>
    <col min="13572" max="13572" width="33.453125" style="154" customWidth="1"/>
    <col min="13573" max="13573" width="18" style="154" customWidth="1"/>
    <col min="13574" max="13574" width="27.6328125" style="154" customWidth="1"/>
    <col min="13575" max="13575" width="28.90625" style="154" bestFit="1" customWidth="1"/>
    <col min="13576" max="13576" width="3" style="154" customWidth="1"/>
    <col min="13577" max="13577" width="23.453125" style="154" customWidth="1"/>
    <col min="13578" max="13578" width="8.90625" style="154"/>
    <col min="13579" max="13579" width="17.90625" style="154" bestFit="1" customWidth="1"/>
    <col min="13580" max="13824" width="8.90625" style="154"/>
    <col min="13825" max="13825" width="7.1796875" style="154" customWidth="1"/>
    <col min="13826" max="13826" width="2.36328125" style="154" customWidth="1"/>
    <col min="13827" max="13827" width="6.36328125" style="154" customWidth="1"/>
    <col min="13828" max="13828" width="33.453125" style="154" customWidth="1"/>
    <col min="13829" max="13829" width="18" style="154" customWidth="1"/>
    <col min="13830" max="13830" width="27.6328125" style="154" customWidth="1"/>
    <col min="13831" max="13831" width="28.90625" style="154" bestFit="1" customWidth="1"/>
    <col min="13832" max="13832" width="3" style="154" customWidth="1"/>
    <col min="13833" max="13833" width="23.453125" style="154" customWidth="1"/>
    <col min="13834" max="13834" width="8.90625" style="154"/>
    <col min="13835" max="13835" width="17.90625" style="154" bestFit="1" customWidth="1"/>
    <col min="13836" max="14080" width="8.90625" style="154"/>
    <col min="14081" max="14081" width="7.1796875" style="154" customWidth="1"/>
    <col min="14082" max="14082" width="2.36328125" style="154" customWidth="1"/>
    <col min="14083" max="14083" width="6.36328125" style="154" customWidth="1"/>
    <col min="14084" max="14084" width="33.453125" style="154" customWidth="1"/>
    <col min="14085" max="14085" width="18" style="154" customWidth="1"/>
    <col min="14086" max="14086" width="27.6328125" style="154" customWidth="1"/>
    <col min="14087" max="14087" width="28.90625" style="154" bestFit="1" customWidth="1"/>
    <col min="14088" max="14088" width="3" style="154" customWidth="1"/>
    <col min="14089" max="14089" width="23.453125" style="154" customWidth="1"/>
    <col min="14090" max="14090" width="8.90625" style="154"/>
    <col min="14091" max="14091" width="17.90625" style="154" bestFit="1" customWidth="1"/>
    <col min="14092" max="14336" width="8.90625" style="154"/>
    <col min="14337" max="14337" width="7.1796875" style="154" customWidth="1"/>
    <col min="14338" max="14338" width="2.36328125" style="154" customWidth="1"/>
    <col min="14339" max="14339" width="6.36328125" style="154" customWidth="1"/>
    <col min="14340" max="14340" width="33.453125" style="154" customWidth="1"/>
    <col min="14341" max="14341" width="18" style="154" customWidth="1"/>
    <col min="14342" max="14342" width="27.6328125" style="154" customWidth="1"/>
    <col min="14343" max="14343" width="28.90625" style="154" bestFit="1" customWidth="1"/>
    <col min="14344" max="14344" width="3" style="154" customWidth="1"/>
    <col min="14345" max="14345" width="23.453125" style="154" customWidth="1"/>
    <col min="14346" max="14346" width="8.90625" style="154"/>
    <col min="14347" max="14347" width="17.90625" style="154" bestFit="1" customWidth="1"/>
    <col min="14348" max="14592" width="8.90625" style="154"/>
    <col min="14593" max="14593" width="7.1796875" style="154" customWidth="1"/>
    <col min="14594" max="14594" width="2.36328125" style="154" customWidth="1"/>
    <col min="14595" max="14595" width="6.36328125" style="154" customWidth="1"/>
    <col min="14596" max="14596" width="33.453125" style="154" customWidth="1"/>
    <col min="14597" max="14597" width="18" style="154" customWidth="1"/>
    <col min="14598" max="14598" width="27.6328125" style="154" customWidth="1"/>
    <col min="14599" max="14599" width="28.90625" style="154" bestFit="1" customWidth="1"/>
    <col min="14600" max="14600" width="3" style="154" customWidth="1"/>
    <col min="14601" max="14601" width="23.453125" style="154" customWidth="1"/>
    <col min="14602" max="14602" width="8.90625" style="154"/>
    <col min="14603" max="14603" width="17.90625" style="154" bestFit="1" customWidth="1"/>
    <col min="14604" max="14848" width="8.90625" style="154"/>
    <col min="14849" max="14849" width="7.1796875" style="154" customWidth="1"/>
    <col min="14850" max="14850" width="2.36328125" style="154" customWidth="1"/>
    <col min="14851" max="14851" width="6.36328125" style="154" customWidth="1"/>
    <col min="14852" max="14852" width="33.453125" style="154" customWidth="1"/>
    <col min="14853" max="14853" width="18" style="154" customWidth="1"/>
    <col min="14854" max="14854" width="27.6328125" style="154" customWidth="1"/>
    <col min="14855" max="14855" width="28.90625" style="154" bestFit="1" customWidth="1"/>
    <col min="14856" max="14856" width="3" style="154" customWidth="1"/>
    <col min="14857" max="14857" width="23.453125" style="154" customWidth="1"/>
    <col min="14858" max="14858" width="8.90625" style="154"/>
    <col min="14859" max="14859" width="17.90625" style="154" bestFit="1" customWidth="1"/>
    <col min="14860" max="15104" width="8.90625" style="154"/>
    <col min="15105" max="15105" width="7.1796875" style="154" customWidth="1"/>
    <col min="15106" max="15106" width="2.36328125" style="154" customWidth="1"/>
    <col min="15107" max="15107" width="6.36328125" style="154" customWidth="1"/>
    <col min="15108" max="15108" width="33.453125" style="154" customWidth="1"/>
    <col min="15109" max="15109" width="18" style="154" customWidth="1"/>
    <col min="15110" max="15110" width="27.6328125" style="154" customWidth="1"/>
    <col min="15111" max="15111" width="28.90625" style="154" bestFit="1" customWidth="1"/>
    <col min="15112" max="15112" width="3" style="154" customWidth="1"/>
    <col min="15113" max="15113" width="23.453125" style="154" customWidth="1"/>
    <col min="15114" max="15114" width="8.90625" style="154"/>
    <col min="15115" max="15115" width="17.90625" style="154" bestFit="1" customWidth="1"/>
    <col min="15116" max="15360" width="8.90625" style="154"/>
    <col min="15361" max="15361" width="7.1796875" style="154" customWidth="1"/>
    <col min="15362" max="15362" width="2.36328125" style="154" customWidth="1"/>
    <col min="15363" max="15363" width="6.36328125" style="154" customWidth="1"/>
    <col min="15364" max="15364" width="33.453125" style="154" customWidth="1"/>
    <col min="15365" max="15365" width="18" style="154" customWidth="1"/>
    <col min="15366" max="15366" width="27.6328125" style="154" customWidth="1"/>
    <col min="15367" max="15367" width="28.90625" style="154" bestFit="1" customWidth="1"/>
    <col min="15368" max="15368" width="3" style="154" customWidth="1"/>
    <col min="15369" max="15369" width="23.453125" style="154" customWidth="1"/>
    <col min="15370" max="15370" width="8.90625" style="154"/>
    <col min="15371" max="15371" width="17.90625" style="154" bestFit="1" customWidth="1"/>
    <col min="15372" max="15616" width="8.90625" style="154"/>
    <col min="15617" max="15617" width="7.1796875" style="154" customWidth="1"/>
    <col min="15618" max="15618" width="2.36328125" style="154" customWidth="1"/>
    <col min="15619" max="15619" width="6.36328125" style="154" customWidth="1"/>
    <col min="15620" max="15620" width="33.453125" style="154" customWidth="1"/>
    <col min="15621" max="15621" width="18" style="154" customWidth="1"/>
    <col min="15622" max="15622" width="27.6328125" style="154" customWidth="1"/>
    <col min="15623" max="15623" width="28.90625" style="154" bestFit="1" customWidth="1"/>
    <col min="15624" max="15624" width="3" style="154" customWidth="1"/>
    <col min="15625" max="15625" width="23.453125" style="154" customWidth="1"/>
    <col min="15626" max="15626" width="8.90625" style="154"/>
    <col min="15627" max="15627" width="17.90625" style="154" bestFit="1" customWidth="1"/>
    <col min="15628" max="15872" width="8.90625" style="154"/>
    <col min="15873" max="15873" width="7.1796875" style="154" customWidth="1"/>
    <col min="15874" max="15874" width="2.36328125" style="154" customWidth="1"/>
    <col min="15875" max="15875" width="6.36328125" style="154" customWidth="1"/>
    <col min="15876" max="15876" width="33.453125" style="154" customWidth="1"/>
    <col min="15877" max="15877" width="18" style="154" customWidth="1"/>
    <col min="15878" max="15878" width="27.6328125" style="154" customWidth="1"/>
    <col min="15879" max="15879" width="28.90625" style="154" bestFit="1" customWidth="1"/>
    <col min="15880" max="15880" width="3" style="154" customWidth="1"/>
    <col min="15881" max="15881" width="23.453125" style="154" customWidth="1"/>
    <col min="15882" max="15882" width="8.90625" style="154"/>
    <col min="15883" max="15883" width="17.90625" style="154" bestFit="1" customWidth="1"/>
    <col min="15884" max="16128" width="8.90625" style="154"/>
    <col min="16129" max="16129" width="7.1796875" style="154" customWidth="1"/>
    <col min="16130" max="16130" width="2.36328125" style="154" customWidth="1"/>
    <col min="16131" max="16131" width="6.36328125" style="154" customWidth="1"/>
    <col min="16132" max="16132" width="33.453125" style="154" customWidth="1"/>
    <col min="16133" max="16133" width="18" style="154" customWidth="1"/>
    <col min="16134" max="16134" width="27.6328125" style="154" customWidth="1"/>
    <col min="16135" max="16135" width="28.90625" style="154" bestFit="1" customWidth="1"/>
    <col min="16136" max="16136" width="3" style="154" customWidth="1"/>
    <col min="16137" max="16137" width="23.453125" style="154" customWidth="1"/>
    <col min="16138" max="16138" width="8.90625" style="154"/>
    <col min="16139" max="16139" width="17.90625" style="154" bestFit="1" customWidth="1"/>
    <col min="16140" max="16384" width="8.90625" style="154"/>
  </cols>
  <sheetData>
    <row r="1" spans="1:12" ht="17.399999999999999">
      <c r="A1" s="1320"/>
      <c r="B1" s="1321"/>
      <c r="C1" s="1321"/>
      <c r="D1" s="1321"/>
      <c r="E1" s="1321"/>
      <c r="F1" s="1321"/>
      <c r="G1" s="1321"/>
      <c r="H1" s="1321"/>
      <c r="I1" s="1321"/>
      <c r="J1" s="1327" t="str">
        <f>'Attachment H-11A '!K1&amp;""&amp;", Attachment 2a"</f>
        <v>Attachment H -11A, Attachment 2a</v>
      </c>
      <c r="K1" s="1327"/>
      <c r="L1" s="1327"/>
    </row>
    <row r="2" spans="1:12" ht="18">
      <c r="A2" s="1322" t="s">
        <v>555</v>
      </c>
      <c r="B2" s="1322"/>
      <c r="C2" s="1322"/>
      <c r="D2" s="1322"/>
      <c r="E2" s="1322"/>
      <c r="F2" s="1322"/>
      <c r="G2" s="1322"/>
      <c r="H2" s="1322"/>
      <c r="I2" s="1322"/>
      <c r="J2" s="1011"/>
      <c r="K2" s="1327" t="s">
        <v>188</v>
      </c>
      <c r="L2" s="1327"/>
    </row>
    <row r="3" spans="1:12" ht="18">
      <c r="A3" s="250"/>
      <c r="B3" s="250"/>
      <c r="C3" s="250"/>
      <c r="D3" s="250"/>
      <c r="E3" s="250"/>
      <c r="F3" s="250"/>
      <c r="G3" s="250"/>
      <c r="H3" s="250"/>
      <c r="I3" s="250"/>
      <c r="J3" s="1324" t="str">
        <f>'Attachment H-11A '!K4</f>
        <v>For the 12 months ended 12/31/2022</v>
      </c>
      <c r="K3" s="1324"/>
      <c r="L3" s="1324"/>
    </row>
    <row r="4" spans="1:12" s="160" customFormat="1" ht="15">
      <c r="A4" s="157"/>
      <c r="B4" s="157"/>
      <c r="C4" s="156"/>
      <c r="D4" s="156"/>
      <c r="E4" s="156"/>
      <c r="F4" s="156"/>
      <c r="G4" s="156"/>
      <c r="H4" s="156"/>
    </row>
    <row r="5" spans="1:12" s="160" customFormat="1" ht="15.6">
      <c r="A5" s="161" t="s">
        <v>321</v>
      </c>
      <c r="B5" s="162"/>
      <c r="C5" s="162"/>
      <c r="D5" s="162"/>
      <c r="E5" s="162"/>
      <c r="F5" s="162"/>
      <c r="G5" s="162"/>
      <c r="H5" s="162"/>
      <c r="I5" s="162"/>
    </row>
    <row r="6" spans="1:12" s="160" customFormat="1" ht="15.6">
      <c r="A6" s="163"/>
      <c r="G6" s="1009" t="s">
        <v>1187</v>
      </c>
    </row>
    <row r="7" spans="1:12" s="156" customFormat="1" ht="15">
      <c r="A7" s="160"/>
      <c r="D7" s="160"/>
      <c r="E7" s="160"/>
      <c r="F7" s="160"/>
      <c r="G7" s="160"/>
      <c r="H7" s="160"/>
      <c r="I7" s="165"/>
      <c r="J7" s="160"/>
    </row>
    <row r="8" spans="1:12" s="156" customFormat="1" ht="15">
      <c r="A8" s="166">
        <v>1</v>
      </c>
      <c r="C8" s="167" t="s">
        <v>541</v>
      </c>
      <c r="D8" s="168"/>
      <c r="E8" s="160"/>
      <c r="F8" s="168"/>
      <c r="G8" s="230" t="s">
        <v>1066</v>
      </c>
      <c r="H8" s="168"/>
      <c r="I8" s="159">
        <f>'Attachment H-11A '!I83</f>
        <v>317662051.03076422</v>
      </c>
      <c r="J8" s="160"/>
    </row>
    <row r="9" spans="1:12" s="156" customFormat="1" ht="15">
      <c r="A9" s="160"/>
      <c r="G9" s="167"/>
      <c r="I9" s="170"/>
    </row>
    <row r="10" spans="1:12" s="156" customFormat="1" ht="15">
      <c r="A10" s="171"/>
      <c r="B10" s="167"/>
      <c r="C10" s="172"/>
      <c r="D10" s="172"/>
      <c r="E10" s="173"/>
      <c r="F10" s="174"/>
      <c r="G10" s="167"/>
      <c r="H10" s="174"/>
      <c r="I10" s="175"/>
    </row>
    <row r="11" spans="1:12" s="156" customFormat="1" ht="15.6">
      <c r="A11" s="171">
        <f>A8+1</f>
        <v>2</v>
      </c>
      <c r="B11" s="167"/>
      <c r="C11" s="167" t="s">
        <v>542</v>
      </c>
      <c r="D11" s="176"/>
      <c r="F11" s="173" t="s">
        <v>543</v>
      </c>
      <c r="G11" s="169" t="s">
        <v>1067</v>
      </c>
      <c r="H11" s="174"/>
      <c r="I11" s="158">
        <f>'Attachment H-11A '!I245</f>
        <v>0</v>
      </c>
    </row>
    <row r="12" spans="1:12" s="156" customFormat="1" ht="15">
      <c r="A12" s="171"/>
      <c r="B12" s="167"/>
      <c r="C12" s="172"/>
      <c r="D12" s="172"/>
      <c r="E12" s="173"/>
      <c r="F12" s="177"/>
      <c r="G12" s="178"/>
      <c r="H12" s="174"/>
      <c r="I12" s="175"/>
    </row>
    <row r="13" spans="1:12" s="156" customFormat="1" ht="15.6">
      <c r="A13" s="171"/>
      <c r="B13" s="167"/>
      <c r="C13" s="172" t="s">
        <v>91</v>
      </c>
      <c r="D13" s="179"/>
      <c r="E13" s="173"/>
      <c r="F13" s="173"/>
      <c r="G13" s="178"/>
      <c r="H13" s="174"/>
      <c r="I13" s="175"/>
    </row>
    <row r="14" spans="1:12" s="156" customFormat="1" ht="15">
      <c r="A14" s="171">
        <f>A11+1</f>
        <v>3</v>
      </c>
      <c r="B14" s="167"/>
      <c r="C14" s="167"/>
      <c r="D14" s="183" t="s">
        <v>544</v>
      </c>
      <c r="E14" s="175"/>
      <c r="F14" s="175"/>
      <c r="G14" s="230" t="s">
        <v>565</v>
      </c>
      <c r="H14" s="175"/>
      <c r="I14" s="158">
        <f>'Attachment 8 - Cap Structure'!E23</f>
        <v>1375128081.6598222</v>
      </c>
    </row>
    <row r="15" spans="1:12" s="156" customFormat="1" ht="15">
      <c r="A15" s="171">
        <f>A14+1</f>
        <v>4</v>
      </c>
      <c r="B15" s="168"/>
      <c r="C15" s="168"/>
      <c r="D15" s="183" t="s">
        <v>326</v>
      </c>
      <c r="E15" s="175"/>
      <c r="F15" s="175"/>
      <c r="G15" s="230" t="s">
        <v>1152</v>
      </c>
      <c r="H15" s="175"/>
      <c r="I15" s="158">
        <f>'Attachment 8 - Cap Structure'!G23</f>
        <v>0</v>
      </c>
    </row>
    <row r="16" spans="1:12" s="160" customFormat="1" ht="15">
      <c r="A16" s="171">
        <f>A15+1</f>
        <v>5</v>
      </c>
      <c r="B16" s="168"/>
      <c r="C16" s="168"/>
      <c r="D16" s="183" t="s">
        <v>327</v>
      </c>
      <c r="E16" s="175"/>
      <c r="F16" s="175"/>
      <c r="G16" s="230" t="s">
        <v>566</v>
      </c>
      <c r="H16" s="175"/>
      <c r="I16" s="158">
        <f>'Attachment 8 - Cap Structure'!J23</f>
        <v>-293047.44240280951</v>
      </c>
    </row>
    <row r="17" spans="1:11" s="156" customFormat="1" ht="15">
      <c r="A17" s="171">
        <f>+A16+1</f>
        <v>6</v>
      </c>
      <c r="B17" s="167"/>
      <c r="C17" s="172"/>
      <c r="D17" s="1287" t="s">
        <v>1153</v>
      </c>
      <c r="E17" s="181"/>
      <c r="F17" s="181"/>
      <c r="G17" s="1288" t="s">
        <v>1154</v>
      </c>
      <c r="H17" s="181"/>
      <c r="I17" s="181">
        <f>'Attachment 8 - Cap Structure'!H23+'Attachment 8 - Cap Structure'!K23+'Attachment 8 - Cap Structure'!F23+'Attachment 8 - Cap Structure'!I23</f>
        <v>45775822.700000018</v>
      </c>
    </row>
    <row r="18" spans="1:11" s="156" customFormat="1" ht="15">
      <c r="A18" s="171">
        <f>A17+1</f>
        <v>7</v>
      </c>
      <c r="B18" s="167"/>
      <c r="C18" s="172"/>
      <c r="D18" s="183" t="s">
        <v>91</v>
      </c>
      <c r="E18" s="175"/>
      <c r="F18" s="175"/>
      <c r="G18" s="230" t="s">
        <v>1155</v>
      </c>
      <c r="H18" s="175"/>
      <c r="I18" s="158">
        <f>'Attachment 8 - Cap Structure'!L23</f>
        <v>1329645306.4022253</v>
      </c>
    </row>
    <row r="19" spans="1:11" s="156" customFormat="1" ht="15">
      <c r="A19" s="171"/>
      <c r="B19" s="167"/>
      <c r="C19" s="172"/>
      <c r="D19" s="172"/>
      <c r="E19" s="174"/>
      <c r="F19" s="175"/>
      <c r="G19" s="169"/>
      <c r="H19" s="174"/>
      <c r="I19" s="158"/>
    </row>
    <row r="20" spans="1:11" s="156" customFormat="1" ht="15">
      <c r="A20" s="171"/>
      <c r="B20" s="167"/>
      <c r="C20" s="172"/>
      <c r="D20" s="172"/>
      <c r="E20" s="174"/>
      <c r="F20" s="175"/>
      <c r="G20" s="169"/>
      <c r="H20" s="174"/>
      <c r="I20" s="158"/>
    </row>
    <row r="21" spans="1:11" s="156" customFormat="1" ht="15.6">
      <c r="A21" s="171"/>
      <c r="B21" s="167"/>
      <c r="C21" s="172" t="s">
        <v>545</v>
      </c>
      <c r="D21" s="179"/>
      <c r="F21" s="173"/>
      <c r="G21" s="178"/>
      <c r="H21" s="173"/>
      <c r="I21" s="175"/>
    </row>
    <row r="22" spans="1:11" s="156" customFormat="1" ht="15">
      <c r="A22" s="171">
        <f>+A18+1</f>
        <v>8</v>
      </c>
      <c r="B22" s="167"/>
      <c r="C22" s="167"/>
      <c r="D22" s="172" t="s">
        <v>250</v>
      </c>
      <c r="F22" s="173"/>
      <c r="G22" s="169" t="s">
        <v>1068</v>
      </c>
      <c r="H22" s="173"/>
      <c r="I22" s="158">
        <f>'Attachment H-11A '!D250</f>
        <v>1649999999.9999957</v>
      </c>
    </row>
    <row r="23" spans="1:11" s="156" customFormat="1" ht="15">
      <c r="A23" s="171">
        <f>A22+1</f>
        <v>9</v>
      </c>
      <c r="B23" s="168"/>
      <c r="C23" s="168"/>
      <c r="D23" s="183" t="s">
        <v>248</v>
      </c>
      <c r="E23" s="184"/>
      <c r="F23" s="185"/>
      <c r="G23" s="169" t="s">
        <v>1069</v>
      </c>
      <c r="H23" s="184"/>
      <c r="I23" s="158">
        <f>'Attachment H-11A '!D251</f>
        <v>0</v>
      </c>
    </row>
    <row r="24" spans="1:11" s="156" customFormat="1" ht="15">
      <c r="A24" s="171">
        <f t="shared" ref="A24:A25" si="0">A23+1</f>
        <v>10</v>
      </c>
      <c r="B24" s="167"/>
      <c r="C24" s="167"/>
      <c r="D24" s="172" t="s">
        <v>91</v>
      </c>
      <c r="E24" s="173"/>
      <c r="F24" s="177"/>
      <c r="G24" s="182" t="s">
        <v>1070</v>
      </c>
      <c r="H24" s="173"/>
      <c r="I24" s="158">
        <f>'Attachment H-11A '!D252</f>
        <v>1329645306.4022253</v>
      </c>
    </row>
    <row r="25" spans="1:11" s="156" customFormat="1" ht="15.6">
      <c r="A25" s="171">
        <f t="shared" si="0"/>
        <v>11</v>
      </c>
      <c r="B25" s="167"/>
      <c r="C25" s="167"/>
      <c r="D25" s="172" t="s">
        <v>1188</v>
      </c>
      <c r="E25" s="186"/>
      <c r="F25" s="187"/>
      <c r="G25" s="169" t="s">
        <v>1071</v>
      </c>
      <c r="H25" s="188"/>
      <c r="I25" s="189">
        <f>'Attachment H-11A '!D253</f>
        <v>2979645306.4022207</v>
      </c>
    </row>
    <row r="26" spans="1:11" s="156" customFormat="1" ht="15">
      <c r="A26" s="171"/>
      <c r="B26" s="167"/>
      <c r="C26" s="167"/>
      <c r="D26" s="172"/>
      <c r="E26" s="173"/>
      <c r="F26" s="177"/>
      <c r="G26" s="167"/>
      <c r="H26" s="174"/>
      <c r="I26" s="190"/>
    </row>
    <row r="27" spans="1:11" s="156" customFormat="1" ht="15">
      <c r="A27" s="171">
        <f>A25+1</f>
        <v>12</v>
      </c>
      <c r="B27" s="167"/>
      <c r="C27" s="167"/>
      <c r="D27" s="172" t="s">
        <v>546</v>
      </c>
      <c r="E27" s="191"/>
      <c r="F27" s="180" t="s">
        <v>1191</v>
      </c>
      <c r="G27" s="169" t="s">
        <v>1072</v>
      </c>
      <c r="H27" s="174"/>
      <c r="I27" s="192">
        <f>'Attachment H-11A '!E250</f>
        <v>0.55375718594918666</v>
      </c>
      <c r="J27" s="160"/>
      <c r="K27" s="160"/>
    </row>
    <row r="28" spans="1:11" s="156" customFormat="1" ht="15">
      <c r="A28" s="171">
        <f>A27+1</f>
        <v>13</v>
      </c>
      <c r="B28" s="167"/>
      <c r="C28" s="167"/>
      <c r="D28" s="172" t="s">
        <v>547</v>
      </c>
      <c r="E28" s="177"/>
      <c r="F28" s="180" t="s">
        <v>248</v>
      </c>
      <c r="G28" s="169" t="s">
        <v>1073</v>
      </c>
      <c r="H28" s="174"/>
      <c r="I28" s="192">
        <f>'Attachment H-11A '!E251</f>
        <v>0</v>
      </c>
      <c r="J28" s="160"/>
    </row>
    <row r="29" spans="1:11" s="156" customFormat="1" ht="15">
      <c r="A29" s="171">
        <f>A28+1</f>
        <v>14</v>
      </c>
      <c r="B29" s="167"/>
      <c r="C29" s="167"/>
      <c r="D29" s="172" t="s">
        <v>548</v>
      </c>
      <c r="E29" s="177"/>
      <c r="F29" s="180" t="s">
        <v>91</v>
      </c>
      <c r="G29" s="169" t="s">
        <v>1074</v>
      </c>
      <c r="H29" s="174"/>
      <c r="I29" s="192">
        <f>'Attachment H-11A '!E252</f>
        <v>0.44624281405081345</v>
      </c>
      <c r="J29" s="160"/>
      <c r="K29" s="160"/>
    </row>
    <row r="30" spans="1:11" s="156" customFormat="1" ht="15">
      <c r="A30" s="171"/>
      <c r="B30" s="167"/>
      <c r="C30" s="167"/>
      <c r="D30" s="172"/>
      <c r="E30" s="173"/>
      <c r="F30" s="178"/>
      <c r="G30" s="167"/>
      <c r="H30" s="174"/>
      <c r="I30" s="190"/>
    </row>
    <row r="31" spans="1:11" s="156" customFormat="1" ht="15">
      <c r="A31" s="171">
        <f>A29+1</f>
        <v>15</v>
      </c>
      <c r="B31" s="167"/>
      <c r="C31" s="167"/>
      <c r="D31" s="172" t="s">
        <v>405</v>
      </c>
      <c r="E31" s="191"/>
      <c r="F31" s="178" t="s">
        <v>1191</v>
      </c>
      <c r="G31" s="169" t="s">
        <v>1075</v>
      </c>
      <c r="H31" s="174"/>
      <c r="I31" s="193">
        <f>'Attachment H-11A '!G250</f>
        <v>4.2299999999999997E-2</v>
      </c>
      <c r="J31" s="194"/>
      <c r="K31" s="195"/>
    </row>
    <row r="32" spans="1:11" s="156" customFormat="1" ht="15">
      <c r="A32" s="171">
        <f>A31+1</f>
        <v>16</v>
      </c>
      <c r="B32" s="167"/>
      <c r="C32" s="167"/>
      <c r="D32" s="172" t="s">
        <v>549</v>
      </c>
      <c r="E32" s="177"/>
      <c r="F32" s="178" t="s">
        <v>248</v>
      </c>
      <c r="G32" s="169" t="s">
        <v>1076</v>
      </c>
      <c r="H32" s="174"/>
      <c r="I32" s="193">
        <f>'Attachment H-11A '!G251</f>
        <v>0</v>
      </c>
      <c r="J32" s="194"/>
    </row>
    <row r="33" spans="1:11" s="156" customFormat="1" ht="15">
      <c r="A33" s="171">
        <f>A32+1</f>
        <v>17</v>
      </c>
      <c r="B33" s="167"/>
      <c r="C33" s="167"/>
      <c r="D33" s="172" t="s">
        <v>550</v>
      </c>
      <c r="F33" s="196" t="s">
        <v>91</v>
      </c>
      <c r="G33" s="169" t="s">
        <v>1085</v>
      </c>
      <c r="H33" s="175"/>
      <c r="I33" s="1261">
        <f>'Attachment H-11A '!G252+0.01</f>
        <v>0.1235</v>
      </c>
      <c r="J33" s="194"/>
      <c r="K33" s="195"/>
    </row>
    <row r="34" spans="1:11" s="156" customFormat="1" ht="15">
      <c r="A34" s="171"/>
      <c r="B34" s="167"/>
      <c r="C34" s="167"/>
      <c r="D34" s="172"/>
      <c r="E34" s="173"/>
      <c r="F34" s="178"/>
      <c r="G34" s="167"/>
      <c r="H34" s="174"/>
      <c r="I34" s="173"/>
    </row>
    <row r="35" spans="1:11" s="156" customFormat="1" ht="15">
      <c r="A35" s="171">
        <f>A33+1</f>
        <v>18</v>
      </c>
      <c r="B35" s="167"/>
      <c r="C35" s="167"/>
      <c r="D35" s="172" t="s">
        <v>551</v>
      </c>
      <c r="E35" s="191"/>
      <c r="F35" s="180" t="s">
        <v>1192</v>
      </c>
      <c r="G35" s="167" t="s">
        <v>345</v>
      </c>
      <c r="H35" s="197"/>
      <c r="I35" s="198">
        <f>I31*I27</f>
        <v>2.3423928965650594E-2</v>
      </c>
    </row>
    <row r="36" spans="1:11" s="156" customFormat="1" ht="15">
      <c r="A36" s="171">
        <f>A35+1</f>
        <v>19</v>
      </c>
      <c r="B36" s="167"/>
      <c r="C36" s="167"/>
      <c r="D36" s="172" t="s">
        <v>552</v>
      </c>
      <c r="E36" s="177"/>
      <c r="F36" s="180" t="s">
        <v>248</v>
      </c>
      <c r="G36" s="167" t="s">
        <v>346</v>
      </c>
      <c r="H36" s="199"/>
      <c r="I36" s="198">
        <f>I32*I28</f>
        <v>0</v>
      </c>
    </row>
    <row r="37" spans="1:11" s="156" customFormat="1" ht="15">
      <c r="A37" s="171">
        <f>A36+1</f>
        <v>20</v>
      </c>
      <c r="B37" s="167"/>
      <c r="C37" s="167"/>
      <c r="D37" s="200" t="s">
        <v>553</v>
      </c>
      <c r="E37" s="201"/>
      <c r="F37" s="200" t="s">
        <v>91</v>
      </c>
      <c r="G37" s="202" t="s">
        <v>347</v>
      </c>
      <c r="H37" s="203"/>
      <c r="I37" s="204">
        <f>I33*I29</f>
        <v>5.5110987535275463E-2</v>
      </c>
    </row>
    <row r="38" spans="1:11" s="156" customFormat="1" ht="15.6">
      <c r="A38" s="171">
        <f>A37+1</f>
        <v>21</v>
      </c>
      <c r="B38" s="167"/>
      <c r="C38" s="167" t="s">
        <v>1190</v>
      </c>
      <c r="D38" s="167"/>
      <c r="E38" s="205"/>
      <c r="F38" s="206"/>
      <c r="G38" s="167" t="str">
        <f>"(Sum Lines "&amp;A35&amp;" to "&amp;A37&amp;")"</f>
        <v>(Sum Lines 18 to 20)</v>
      </c>
      <c r="H38" s="207"/>
      <c r="I38" s="208">
        <f>SUM(I35:I37)</f>
        <v>7.8534916500926061E-2</v>
      </c>
    </row>
    <row r="39" spans="1:11" s="156" customFormat="1" ht="15.6">
      <c r="A39" s="209"/>
      <c r="B39" s="167"/>
      <c r="C39" s="167"/>
      <c r="D39" s="167"/>
      <c r="E39" s="205"/>
      <c r="F39" s="206"/>
      <c r="G39" s="210"/>
      <c r="H39" s="207"/>
      <c r="I39" s="208"/>
    </row>
    <row r="40" spans="1:11" s="156" customFormat="1" ht="16.2" thickBot="1">
      <c r="A40" s="171">
        <f>A38+1</f>
        <v>22</v>
      </c>
      <c r="B40" s="167"/>
      <c r="C40" s="167" t="s">
        <v>554</v>
      </c>
      <c r="D40" s="167"/>
      <c r="E40" s="211"/>
      <c r="F40" s="212"/>
      <c r="G40" s="213" t="str">
        <f>"(Line "&amp;A8&amp;" * Line "&amp;A38&amp;")"</f>
        <v>(Line 1 * Line 21)</v>
      </c>
      <c r="H40" s="214"/>
      <c r="I40" s="215">
        <f>+I38*I8</f>
        <v>24947562.653213982</v>
      </c>
    </row>
    <row r="41" spans="1:11" s="156" customFormat="1" ht="15.6" thickTop="1">
      <c r="A41" s="171"/>
      <c r="B41" s="216"/>
      <c r="C41" s="216"/>
      <c r="D41" s="177"/>
      <c r="E41" s="173"/>
      <c r="F41" s="157"/>
      <c r="G41" s="174"/>
      <c r="H41" s="174"/>
      <c r="I41" s="198"/>
    </row>
    <row r="42" spans="1:11" s="156" customFormat="1" ht="15.6">
      <c r="A42" s="217" t="s">
        <v>328</v>
      </c>
      <c r="B42" s="218"/>
      <c r="C42" s="219"/>
      <c r="D42" s="220"/>
      <c r="E42" s="221"/>
      <c r="F42" s="222"/>
      <c r="G42" s="162"/>
      <c r="H42" s="162"/>
      <c r="I42" s="223"/>
    </row>
    <row r="43" spans="1:11" s="156" customFormat="1" ht="15.6">
      <c r="A43" s="183"/>
      <c r="B43" s="183"/>
      <c r="C43" s="216"/>
      <c r="D43" s="224"/>
      <c r="E43" s="184"/>
      <c r="F43" s="225"/>
      <c r="G43" s="173"/>
      <c r="H43" s="173"/>
      <c r="I43" s="226"/>
      <c r="K43" s="227"/>
    </row>
    <row r="44" spans="1:11" s="156" customFormat="1" ht="15.6">
      <c r="A44" s="171" t="s">
        <v>3</v>
      </c>
      <c r="B44" s="216"/>
      <c r="C44" s="228" t="s">
        <v>322</v>
      </c>
      <c r="D44" s="173"/>
      <c r="E44" s="173"/>
      <c r="F44" s="225"/>
      <c r="G44" s="174"/>
      <c r="H44" s="229"/>
      <c r="I44" s="173"/>
    </row>
    <row r="45" spans="1:11" s="156" customFormat="1" ht="15">
      <c r="A45" s="171">
        <f>+A40+1</f>
        <v>23</v>
      </c>
      <c r="B45" s="166"/>
      <c r="C45" s="171"/>
      <c r="D45" s="287" t="s">
        <v>65</v>
      </c>
      <c r="E45" s="184"/>
      <c r="F45" s="166"/>
      <c r="G45" s="230" t="s">
        <v>1086</v>
      </c>
      <c r="H45" s="231"/>
      <c r="I45" s="232">
        <f>'Attachment H-11A '!D149</f>
        <v>0.25659611969999996</v>
      </c>
    </row>
    <row r="46" spans="1:11" s="156" customFormat="1" ht="15">
      <c r="A46" s="171">
        <f>+A45+1</f>
        <v>24</v>
      </c>
      <c r="B46" s="166"/>
      <c r="C46" s="171"/>
      <c r="D46" s="288" t="s">
        <v>960</v>
      </c>
      <c r="E46" s="233"/>
      <c r="F46" s="166"/>
      <c r="G46" s="230" t="s">
        <v>334</v>
      </c>
      <c r="H46" s="231"/>
      <c r="I46" s="253">
        <f>(I45/(1-I45)*(1-I35/I38))</f>
        <v>0.24221479534337131</v>
      </c>
    </row>
    <row r="47" spans="1:11" s="156" customFormat="1" ht="15">
      <c r="A47" s="171"/>
      <c r="B47" s="166"/>
      <c r="C47" s="171"/>
      <c r="D47" s="289"/>
      <c r="E47" s="231"/>
      <c r="F47" s="166"/>
      <c r="G47" s="230"/>
      <c r="H47" s="231"/>
      <c r="I47" s="234"/>
    </row>
    <row r="48" spans="1:11" s="156" customFormat="1" ht="15">
      <c r="A48" s="171"/>
      <c r="B48" s="166"/>
      <c r="C48" s="171"/>
      <c r="D48" s="289"/>
      <c r="E48" s="235"/>
      <c r="F48" s="166"/>
      <c r="G48" s="230"/>
      <c r="H48" s="231"/>
      <c r="I48" s="232"/>
    </row>
    <row r="49" spans="1:11" s="156" customFormat="1" ht="15.6">
      <c r="A49" s="171">
        <v>25</v>
      </c>
      <c r="B49" s="157"/>
      <c r="C49" s="216"/>
      <c r="D49" s="287" t="s">
        <v>961</v>
      </c>
      <c r="E49" s="236"/>
      <c r="F49" s="157"/>
      <c r="G49" s="959" t="s">
        <v>1087</v>
      </c>
      <c r="H49" s="231"/>
      <c r="I49" s="127">
        <f>'Attachment H-11A '!D153</f>
        <v>1.3451638153898939</v>
      </c>
      <c r="K49" s="237"/>
    </row>
    <row r="50" spans="1:11" s="156" customFormat="1" ht="15">
      <c r="A50" s="171">
        <v>26</v>
      </c>
      <c r="B50" s="216"/>
      <c r="C50" s="216"/>
      <c r="D50" s="289" t="s">
        <v>270</v>
      </c>
      <c r="E50" s="173"/>
      <c r="F50" s="238"/>
      <c r="G50" s="230" t="s">
        <v>1078</v>
      </c>
      <c r="H50" s="229"/>
      <c r="I50" s="251">
        <f>'Attachment H-11A '!D154</f>
        <v>0</v>
      </c>
    </row>
    <row r="51" spans="1:11" s="156" customFormat="1" ht="15">
      <c r="A51" s="171">
        <v>27</v>
      </c>
      <c r="B51" s="216"/>
      <c r="C51" s="216"/>
      <c r="D51" s="290" t="s">
        <v>325</v>
      </c>
      <c r="E51" s="173"/>
      <c r="F51" s="238"/>
      <c r="G51" s="230" t="s">
        <v>1079</v>
      </c>
      <c r="H51" s="229"/>
      <c r="I51" s="251">
        <f>'Attachment H-11A '!D155</f>
        <v>17893.508726860229</v>
      </c>
    </row>
    <row r="52" spans="1:11" s="156" customFormat="1" ht="15">
      <c r="A52" s="171">
        <v>28</v>
      </c>
      <c r="B52" s="216"/>
      <c r="C52" s="216"/>
      <c r="D52" s="290" t="s">
        <v>332</v>
      </c>
      <c r="E52" s="173"/>
      <c r="F52" s="238"/>
      <c r="G52" s="230" t="s">
        <v>1080</v>
      </c>
      <c r="H52" s="229"/>
      <c r="I52" s="251">
        <f>'Attachment H-11A '!D156</f>
        <v>-223134.29994168924</v>
      </c>
    </row>
    <row r="53" spans="1:11" s="156" customFormat="1" ht="15">
      <c r="A53" s="171">
        <v>29</v>
      </c>
      <c r="B53" s="216"/>
      <c r="C53" s="216"/>
      <c r="D53" s="291" t="s">
        <v>329</v>
      </c>
      <c r="E53" s="173"/>
      <c r="F53" s="238"/>
      <c r="G53" s="235" t="s">
        <v>349</v>
      </c>
      <c r="H53" s="229"/>
      <c r="I53" s="251">
        <f>I46*I40</f>
        <v>6042668.782364158</v>
      </c>
    </row>
    <row r="54" spans="1:11" s="156" customFormat="1" ht="15">
      <c r="A54" s="171">
        <v>30</v>
      </c>
      <c r="B54" s="216"/>
      <c r="C54" s="216"/>
      <c r="D54" s="292" t="s">
        <v>330</v>
      </c>
      <c r="E54" s="173"/>
      <c r="F54" s="238"/>
      <c r="G54" s="230" t="s">
        <v>1088</v>
      </c>
      <c r="H54" s="229"/>
      <c r="I54" s="251">
        <f>'Attachment H-11A '!I158</f>
        <v>0</v>
      </c>
    </row>
    <row r="55" spans="1:11" s="156" customFormat="1" ht="15">
      <c r="A55" s="171">
        <v>31</v>
      </c>
      <c r="B55" s="216"/>
      <c r="C55" s="216"/>
      <c r="D55" s="292" t="s">
        <v>331</v>
      </c>
      <c r="E55" s="173"/>
      <c r="F55" s="238"/>
      <c r="G55" s="230" t="s">
        <v>1081</v>
      </c>
      <c r="H55" s="229"/>
      <c r="I55" s="251">
        <f>'Attachment H-11A '!I159</f>
        <v>24069.700469735668</v>
      </c>
    </row>
    <row r="56" spans="1:11" s="156" customFormat="1" ht="15.6" thickBot="1">
      <c r="A56" s="171">
        <v>32</v>
      </c>
      <c r="B56" s="216"/>
      <c r="C56" s="216"/>
      <c r="D56" s="292" t="s">
        <v>333</v>
      </c>
      <c r="E56" s="173"/>
      <c r="F56" s="238"/>
      <c r="G56" s="230" t="s">
        <v>1082</v>
      </c>
      <c r="H56" s="229"/>
      <c r="I56" s="252">
        <f>'Attachment H-11A '!D160</f>
        <v>-300152.18625391572</v>
      </c>
    </row>
    <row r="57" spans="1:11" s="156" customFormat="1" ht="15">
      <c r="A57" s="171">
        <v>33</v>
      </c>
      <c r="B57" s="171"/>
      <c r="C57" s="171"/>
      <c r="D57" s="291" t="s">
        <v>67</v>
      </c>
      <c r="E57" s="184"/>
      <c r="F57" s="284"/>
      <c r="G57" s="235" t="s">
        <v>348</v>
      </c>
      <c r="H57" s="285"/>
      <c r="I57" s="286">
        <f>SUM(I53:I56)</f>
        <v>5766586.2965799784</v>
      </c>
    </row>
    <row r="58" spans="1:11" s="156" customFormat="1" ht="15">
      <c r="A58" s="171"/>
      <c r="B58" s="216"/>
      <c r="C58" s="216"/>
      <c r="D58" s="173"/>
      <c r="E58" s="173"/>
      <c r="F58" s="238"/>
      <c r="G58" s="239"/>
      <c r="H58" s="229"/>
      <c r="I58" s="240"/>
    </row>
    <row r="59" spans="1:11" s="156" customFormat="1" ht="15.6">
      <c r="A59" s="217" t="s">
        <v>925</v>
      </c>
      <c r="B59" s="218"/>
      <c r="C59" s="219"/>
      <c r="D59" s="220"/>
      <c r="E59" s="221"/>
      <c r="F59" s="222"/>
      <c r="G59" s="162"/>
      <c r="H59" s="162"/>
      <c r="I59" s="223"/>
    </row>
    <row r="60" spans="1:11" s="156" customFormat="1" ht="15.6">
      <c r="A60" s="277"/>
      <c r="B60" s="278"/>
      <c r="C60" s="279"/>
      <c r="D60" s="280"/>
      <c r="E60" s="184"/>
      <c r="F60" s="281"/>
      <c r="G60" s="160"/>
      <c r="H60" s="160"/>
      <c r="I60" s="282"/>
    </row>
    <row r="61" spans="1:11" s="156" customFormat="1" ht="15">
      <c r="A61" s="171">
        <v>34</v>
      </c>
      <c r="B61" s="216"/>
      <c r="C61" s="216"/>
      <c r="D61" s="184" t="s">
        <v>1012</v>
      </c>
      <c r="E61" s="184"/>
      <c r="F61" s="238"/>
      <c r="G61" s="239" t="s">
        <v>350</v>
      </c>
      <c r="H61" s="229"/>
      <c r="I61" s="251">
        <f>I40+I57</f>
        <v>30714148.949793961</v>
      </c>
    </row>
    <row r="62" spans="1:11" s="156" customFormat="1" ht="15">
      <c r="A62" s="171"/>
      <c r="B62" s="216"/>
      <c r="C62" s="216"/>
      <c r="D62" s="173"/>
      <c r="E62" s="173"/>
      <c r="F62" s="238"/>
      <c r="G62" s="235"/>
      <c r="H62" s="229"/>
      <c r="I62" s="251"/>
    </row>
    <row r="63" spans="1:11" s="160" customFormat="1" ht="15">
      <c r="A63" s="171">
        <v>35</v>
      </c>
      <c r="B63" s="171"/>
      <c r="C63" s="171"/>
      <c r="D63" s="184" t="s">
        <v>813</v>
      </c>
      <c r="E63" s="184"/>
      <c r="F63" s="284"/>
      <c r="G63" s="235" t="s">
        <v>815</v>
      </c>
      <c r="H63" s="285"/>
      <c r="I63" s="251">
        <f>I40</f>
        <v>24947562.653213982</v>
      </c>
    </row>
    <row r="64" spans="1:11" s="160" customFormat="1" ht="15">
      <c r="A64" s="171">
        <v>36</v>
      </c>
      <c r="B64" s="171"/>
      <c r="C64" s="171"/>
      <c r="D64" s="184" t="s">
        <v>814</v>
      </c>
      <c r="E64" s="184"/>
      <c r="F64" s="284"/>
      <c r="G64" s="235" t="s">
        <v>816</v>
      </c>
      <c r="H64" s="285"/>
      <c r="I64" s="251">
        <f>I57</f>
        <v>5766586.2965799784</v>
      </c>
    </row>
    <row r="65" spans="1:11" s="160" customFormat="1" ht="15">
      <c r="A65" s="171">
        <v>37</v>
      </c>
      <c r="B65" s="171"/>
      <c r="C65" s="171"/>
      <c r="D65" s="184" t="s">
        <v>578</v>
      </c>
      <c r="E65" s="184"/>
      <c r="F65" s="284"/>
      <c r="G65" s="235" t="s">
        <v>1005</v>
      </c>
      <c r="H65" s="285"/>
      <c r="I65" s="251">
        <f>I61-'Attachment 2 - ROE Calcs'!I61</f>
        <v>1906828.997340139</v>
      </c>
      <c r="J65" s="1262"/>
    </row>
    <row r="66" spans="1:11" s="156" customFormat="1" ht="15">
      <c r="A66" s="171">
        <v>38</v>
      </c>
      <c r="B66" s="216"/>
      <c r="C66" s="216"/>
      <c r="D66" s="173" t="s">
        <v>352</v>
      </c>
      <c r="E66" s="173"/>
      <c r="F66" s="238"/>
      <c r="G66" s="239" t="s">
        <v>351</v>
      </c>
      <c r="H66" s="229"/>
      <c r="I66" s="251">
        <f>I8</f>
        <v>317662051.03076422</v>
      </c>
    </row>
    <row r="67" spans="1:11" s="156" customFormat="1" ht="15">
      <c r="A67" s="171">
        <v>39</v>
      </c>
      <c r="B67" s="216"/>
      <c r="C67" s="216"/>
      <c r="D67" s="173" t="s">
        <v>579</v>
      </c>
      <c r="E67" s="173"/>
      <c r="F67" s="238"/>
      <c r="G67" s="239" t="s">
        <v>885</v>
      </c>
      <c r="H67" s="229"/>
      <c r="I67" s="276">
        <f>I65/I66</f>
        <v>6.0026968633891701E-3</v>
      </c>
      <c r="J67" s="333"/>
    </row>
    <row r="68" spans="1:11" s="156" customFormat="1" ht="15">
      <c r="A68" s="171"/>
      <c r="B68" s="216"/>
      <c r="C68" s="216"/>
      <c r="D68" s="173"/>
      <c r="E68" s="173"/>
      <c r="F68" s="238"/>
      <c r="G68" s="239"/>
      <c r="H68" s="229"/>
      <c r="I68" s="251"/>
    </row>
    <row r="69" spans="1:11" s="156" customFormat="1" ht="15.6">
      <c r="A69" s="171" t="s">
        <v>226</v>
      </c>
      <c r="B69" s="216"/>
      <c r="C69" s="216"/>
      <c r="D69" s="173"/>
      <c r="E69" s="173"/>
      <c r="F69" s="238"/>
      <c r="G69" s="239"/>
      <c r="H69" s="229"/>
      <c r="I69" s="241"/>
    </row>
    <row r="70" spans="1:11" s="160" customFormat="1" ht="31.5" customHeight="1">
      <c r="A70" s="171" t="s">
        <v>225</v>
      </c>
      <c r="B70" s="1326" t="s">
        <v>1189</v>
      </c>
      <c r="C70" s="1326"/>
      <c r="D70" s="1326"/>
      <c r="E70" s="1326"/>
      <c r="F70" s="1326"/>
      <c r="G70" s="1326"/>
      <c r="H70" s="1326"/>
      <c r="I70" s="1326"/>
      <c r="J70" s="1326"/>
      <c r="K70" s="1326"/>
    </row>
    <row r="71" spans="1:11" s="156" customFormat="1" ht="16.2" thickBot="1">
      <c r="A71" s="171"/>
      <c r="B71" s="157"/>
      <c r="C71" s="254"/>
      <c r="D71" s="254"/>
      <c r="E71" s="255"/>
      <c r="F71" s="256"/>
      <c r="G71" s="257"/>
      <c r="H71" s="258"/>
      <c r="I71" s="259"/>
      <c r="K71" s="227" t="s">
        <v>3</v>
      </c>
    </row>
    <row r="72" spans="1:11" s="156" customFormat="1" ht="15.6" thickTop="1">
      <c r="A72" s="171"/>
      <c r="B72" s="216"/>
      <c r="C72" s="216"/>
      <c r="D72" s="239"/>
      <c r="E72" s="173"/>
      <c r="F72" s="157"/>
      <c r="G72" s="247"/>
      <c r="H72" s="248"/>
      <c r="I72" s="249"/>
    </row>
  </sheetData>
  <customSheetViews>
    <customSheetView guid="{B991F324-919F-4749-8E3C-A09B2FA7BB10}" scale="60" showPageBreaks="1" printArea="1" view="pageBreakPreview">
      <selection activeCell="I17" sqref="I17"/>
      <pageMargins left="0.7" right="0.7" top="0.75" bottom="0.75" header="0.3" footer="0.3"/>
      <pageSetup scale="36" orientation="portrait" r:id="rId1"/>
    </customSheetView>
    <customSheetView guid="{901B528B-D65D-48CA-A638-FD9B4E5BB6D4}" scale="60" showPageBreaks="1" printArea="1" view="pageBreakPreview">
      <selection activeCell="I17" sqref="I17"/>
      <pageMargins left="0.7" right="0.7" top="0.75" bottom="0.75" header="0.3" footer="0.3"/>
      <pageSetup scale="36" orientation="portrait" r:id="rId2"/>
    </customSheetView>
    <customSheetView guid="{0DE222E8-ADD6-4F4B-9601-960D8109381F}" scale="60" showPageBreaks="1" printArea="1" view="pageBreakPreview">
      <selection sqref="A1:I1"/>
      <pageMargins left="0.7" right="0.7" top="0.75" bottom="0.75" header="0.3" footer="0.3"/>
      <pageSetup scale="36" orientation="portrait" r:id="rId3"/>
    </customSheetView>
  </customSheetViews>
  <mergeCells count="6">
    <mergeCell ref="A1:I1"/>
    <mergeCell ref="A2:I2"/>
    <mergeCell ref="B70:K70"/>
    <mergeCell ref="J3:L3"/>
    <mergeCell ref="K2:L2"/>
    <mergeCell ref="J1:L1"/>
  </mergeCells>
  <pageMargins left="0.7" right="0.7" top="0.75" bottom="0.75" header="0.3" footer="0.3"/>
  <pageSetup scale="36" orientation="portrait" r:id="rId4"/>
  <ignoredErrors>
    <ignoredError sqref="I40"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E064C-64DF-40C2-9850-3106ABEAF529}">
  <dimension ref="A1:AV42"/>
  <sheetViews>
    <sheetView view="pageBreakPreview" zoomScale="60" zoomScaleNormal="80" workbookViewId="0">
      <selection activeCell="B35" sqref="B35"/>
    </sheetView>
  </sheetViews>
  <sheetFormatPr defaultRowHeight="15"/>
  <cols>
    <col min="1" max="1" width="7.54296875" customWidth="1"/>
    <col min="2" max="2" width="3.6328125" bestFit="1" customWidth="1"/>
    <col min="3" max="3" width="31.6328125" customWidth="1"/>
    <col min="4" max="4" width="14.453125" customWidth="1"/>
    <col min="5" max="5" width="15.08984375" customWidth="1"/>
    <col min="6" max="11" width="13.1796875" bestFit="1" customWidth="1"/>
    <col min="12" max="18" width="16" bestFit="1" customWidth="1"/>
    <col min="19" max="19" width="3.90625" customWidth="1"/>
    <col min="20" max="20" width="15.36328125" bestFit="1" customWidth="1"/>
    <col min="21" max="21" width="15.453125" customWidth="1"/>
    <col min="22" max="28" width="12.54296875" customWidth="1"/>
    <col min="29" max="29" width="15.453125" customWidth="1"/>
    <col min="30" max="30" width="14.90625" customWidth="1"/>
    <col min="31" max="31" width="12.90625" bestFit="1" customWidth="1"/>
    <col min="32" max="32" width="13.6328125" bestFit="1" customWidth="1"/>
    <col min="33" max="33" width="13.1796875" bestFit="1" customWidth="1"/>
    <col min="34" max="34" width="3.90625" customWidth="1"/>
    <col min="35" max="35" width="13.81640625" customWidth="1"/>
    <col min="36" max="36" width="11" bestFit="1" customWidth="1"/>
    <col min="37" max="37" width="15.6328125" bestFit="1" customWidth="1"/>
    <col min="38" max="38" width="17.36328125" bestFit="1" customWidth="1"/>
    <col min="39" max="39" width="15.36328125" bestFit="1" customWidth="1"/>
  </cols>
  <sheetData>
    <row r="1" spans="1:48" s="370" customFormat="1" ht="15.6">
      <c r="A1" s="1328" t="s">
        <v>868</v>
      </c>
      <c r="B1" s="1328"/>
      <c r="C1" s="1328"/>
      <c r="D1" s="1328"/>
      <c r="E1" s="1328"/>
      <c r="F1" s="1328"/>
      <c r="G1" s="1328"/>
      <c r="H1" s="1328"/>
      <c r="I1" s="1328"/>
      <c r="J1" s="1328"/>
      <c r="K1" s="1328"/>
      <c r="L1" s="1328"/>
      <c r="M1" s="1328"/>
      <c r="N1" s="1328"/>
      <c r="O1" s="28"/>
      <c r="R1" s="6"/>
      <c r="S1" s="6" t="str">
        <f>'Attachment H-11A '!K1&amp;""&amp;", Attachment 2b"</f>
        <v>Attachment H -11A, Attachment 2b</v>
      </c>
      <c r="T1" s="1328" t="str">
        <f>A1</f>
        <v>Incentive ROE NITS Worksheet Support</v>
      </c>
      <c r="U1" s="1328"/>
      <c r="V1" s="1328"/>
      <c r="W1" s="1328"/>
      <c r="X1" s="1328"/>
      <c r="Y1" s="1328"/>
      <c r="Z1" s="1328"/>
      <c r="AA1" s="1328"/>
      <c r="AB1" s="1328"/>
      <c r="AC1" s="1328"/>
      <c r="AD1" s="1328"/>
      <c r="AE1" s="1328"/>
      <c r="AF1" s="28"/>
      <c r="AK1" s="28"/>
      <c r="AL1" s="28"/>
      <c r="AM1" s="6" t="str">
        <f>S1</f>
        <v>Attachment H -11A, Attachment 2b</v>
      </c>
    </row>
    <row r="2" spans="1:48" ht="15.6">
      <c r="A2" s="1329" t="s">
        <v>391</v>
      </c>
      <c r="B2" s="1329"/>
      <c r="C2" s="1329"/>
      <c r="D2" s="1329"/>
      <c r="E2" s="1329"/>
      <c r="F2" s="1329"/>
      <c r="G2" s="1329"/>
      <c r="H2" s="1329"/>
      <c r="I2" s="1329"/>
      <c r="J2" s="1329"/>
      <c r="K2" s="1329"/>
      <c r="L2" s="1329"/>
      <c r="M2" s="1329"/>
      <c r="N2" s="1329"/>
      <c r="O2" s="337"/>
      <c r="R2" s="4"/>
      <c r="S2" s="4" t="s">
        <v>191</v>
      </c>
      <c r="T2" s="1329" t="s">
        <v>391</v>
      </c>
      <c r="U2" s="1329"/>
      <c r="V2" s="1329"/>
      <c r="W2" s="1329"/>
      <c r="X2" s="1329"/>
      <c r="Y2" s="1329"/>
      <c r="Z2" s="1329"/>
      <c r="AA2" s="1329"/>
      <c r="AB2" s="1329"/>
      <c r="AC2" s="1329"/>
      <c r="AD2" s="1329"/>
      <c r="AE2" s="1329"/>
      <c r="AF2" s="337"/>
      <c r="AK2" s="337"/>
      <c r="AL2" s="337"/>
      <c r="AM2" s="4" t="s">
        <v>194</v>
      </c>
    </row>
    <row r="3" spans="1:48" ht="15.6">
      <c r="A3" s="337"/>
      <c r="B3" s="338"/>
      <c r="C3" s="338"/>
      <c r="D3" s="338"/>
      <c r="E3" s="338"/>
      <c r="F3" s="338"/>
      <c r="G3" s="338"/>
      <c r="H3" s="338"/>
      <c r="I3" s="338"/>
      <c r="J3" s="338"/>
      <c r="K3" s="338"/>
      <c r="L3" s="338"/>
      <c r="M3" s="6"/>
      <c r="R3" s="6"/>
      <c r="S3" s="6" t="str">
        <f>'Attachment H-11A '!K4</f>
        <v>For the 12 months ended 12/31/2022</v>
      </c>
      <c r="AM3" s="6" t="str">
        <f>'Attachment H-11A '!K4</f>
        <v>For the 12 months ended 12/31/2022</v>
      </c>
    </row>
    <row r="4" spans="1:48" ht="15.6">
      <c r="A4" s="337"/>
      <c r="B4" s="338"/>
      <c r="C4" s="338"/>
      <c r="D4" s="338"/>
      <c r="E4" s="338"/>
      <c r="F4" s="338"/>
      <c r="G4" s="338"/>
      <c r="H4" s="338"/>
      <c r="I4" s="338"/>
      <c r="J4" s="338"/>
      <c r="K4" s="338"/>
      <c r="L4" s="338"/>
      <c r="M4" s="6"/>
    </row>
    <row r="5" spans="1:48" ht="15.6">
      <c r="A5" s="337"/>
      <c r="B5" s="338"/>
      <c r="C5" s="338"/>
      <c r="D5" s="338"/>
      <c r="E5" s="338"/>
      <c r="F5" s="338"/>
      <c r="G5" s="338"/>
      <c r="H5" s="338"/>
      <c r="I5" s="338"/>
      <c r="J5" s="338"/>
      <c r="K5" s="338"/>
      <c r="L5" s="338"/>
      <c r="M5" s="6"/>
    </row>
    <row r="6" spans="1:48" ht="15.6">
      <c r="A6" s="337"/>
      <c r="B6" s="338"/>
      <c r="C6" s="338"/>
      <c r="D6" s="338"/>
      <c r="E6" s="338"/>
      <c r="F6" s="338"/>
      <c r="G6" s="338"/>
      <c r="H6" s="338"/>
      <c r="I6" s="338"/>
      <c r="J6" s="338"/>
      <c r="K6" s="338"/>
      <c r="L6" s="338"/>
      <c r="M6" s="6"/>
      <c r="AI6" s="1203" t="s">
        <v>806</v>
      </c>
      <c r="AJ6" s="1203" t="s">
        <v>951</v>
      </c>
      <c r="AK6" s="1203" t="s">
        <v>952</v>
      </c>
      <c r="AL6" s="1203" t="s">
        <v>953</v>
      </c>
      <c r="AM6" s="1203" t="s">
        <v>943</v>
      </c>
    </row>
    <row r="7" spans="1:48" ht="15.6">
      <c r="A7" s="337"/>
      <c r="B7" s="338"/>
      <c r="C7" s="338"/>
      <c r="D7" s="338"/>
      <c r="E7" s="338"/>
      <c r="F7" s="338"/>
      <c r="G7" s="338"/>
      <c r="H7" s="338"/>
      <c r="I7" s="338"/>
      <c r="J7" s="338"/>
      <c r="K7" s="338"/>
      <c r="L7" s="338"/>
      <c r="M7" s="6"/>
    </row>
    <row r="8" spans="1:48" ht="50.25" customHeight="1">
      <c r="A8" s="29" t="s">
        <v>179</v>
      </c>
      <c r="B8" s="30"/>
      <c r="C8" s="40" t="s">
        <v>180</v>
      </c>
      <c r="D8" s="31" t="s">
        <v>195</v>
      </c>
      <c r="E8" s="32" t="s">
        <v>292</v>
      </c>
      <c r="F8" s="663">
        <v>44550</v>
      </c>
      <c r="G8" s="339">
        <f>F8+31</f>
        <v>44581</v>
      </c>
      <c r="H8" s="339">
        <f>G8+31</f>
        <v>44612</v>
      </c>
      <c r="I8" s="339">
        <f>H8+31</f>
        <v>44643</v>
      </c>
      <c r="J8" s="339">
        <f>I8+31</f>
        <v>44674</v>
      </c>
      <c r="K8" s="339">
        <f t="shared" ref="K8:R8" si="0">J8+31</f>
        <v>44705</v>
      </c>
      <c r="L8" s="339">
        <f t="shared" si="0"/>
        <v>44736</v>
      </c>
      <c r="M8" s="339">
        <f t="shared" si="0"/>
        <v>44767</v>
      </c>
      <c r="N8" s="339">
        <f t="shared" si="0"/>
        <v>44798</v>
      </c>
      <c r="O8" s="339">
        <f t="shared" si="0"/>
        <v>44829</v>
      </c>
      <c r="P8" s="339">
        <f t="shared" si="0"/>
        <v>44860</v>
      </c>
      <c r="Q8" s="339">
        <f t="shared" si="0"/>
        <v>44891</v>
      </c>
      <c r="R8" s="339">
        <f t="shared" si="0"/>
        <v>44922</v>
      </c>
      <c r="S8" s="339"/>
      <c r="T8" s="32" t="s">
        <v>389</v>
      </c>
      <c r="U8" s="339">
        <f>F8</f>
        <v>44550</v>
      </c>
      <c r="V8" s="339">
        <f t="shared" ref="V8:AG8" si="1">G8</f>
        <v>44581</v>
      </c>
      <c r="W8" s="339">
        <f t="shared" si="1"/>
        <v>44612</v>
      </c>
      <c r="X8" s="339">
        <f t="shared" si="1"/>
        <v>44643</v>
      </c>
      <c r="Y8" s="339">
        <f t="shared" si="1"/>
        <v>44674</v>
      </c>
      <c r="Z8" s="339">
        <f t="shared" si="1"/>
        <v>44705</v>
      </c>
      <c r="AA8" s="339">
        <f t="shared" si="1"/>
        <v>44736</v>
      </c>
      <c r="AB8" s="339">
        <f t="shared" si="1"/>
        <v>44767</v>
      </c>
      <c r="AC8" s="339">
        <f t="shared" si="1"/>
        <v>44798</v>
      </c>
      <c r="AD8" s="339">
        <f t="shared" si="1"/>
        <v>44829</v>
      </c>
      <c r="AE8" s="339">
        <f t="shared" si="1"/>
        <v>44860</v>
      </c>
      <c r="AF8" s="339">
        <f t="shared" si="1"/>
        <v>44891</v>
      </c>
      <c r="AG8" s="339">
        <f t="shared" si="1"/>
        <v>44922</v>
      </c>
      <c r="AH8" s="340"/>
      <c r="AI8" s="32" t="s">
        <v>390</v>
      </c>
      <c r="AJ8" s="339" t="s">
        <v>875</v>
      </c>
      <c r="AK8" s="344" t="s">
        <v>817</v>
      </c>
      <c r="AL8" s="344" t="s">
        <v>870</v>
      </c>
      <c r="AM8" s="344" t="s">
        <v>877</v>
      </c>
      <c r="AN8" s="342"/>
      <c r="AO8" s="342"/>
      <c r="AP8" s="342"/>
      <c r="AQ8" s="342"/>
      <c r="AR8" s="342"/>
      <c r="AS8" s="342"/>
      <c r="AT8" s="342"/>
      <c r="AU8" s="342"/>
      <c r="AV8" s="342"/>
    </row>
    <row r="9" spans="1:48" ht="15.6">
      <c r="A9" s="33"/>
      <c r="B9" s="34"/>
      <c r="C9" s="35" t="s">
        <v>14</v>
      </c>
      <c r="D9" s="34"/>
      <c r="E9" s="35" t="s">
        <v>15</v>
      </c>
      <c r="F9" s="35" t="s">
        <v>16</v>
      </c>
      <c r="G9" s="35" t="s">
        <v>16</v>
      </c>
      <c r="H9" s="35" t="s">
        <v>16</v>
      </c>
      <c r="I9" s="35" t="s">
        <v>16</v>
      </c>
      <c r="J9" s="35" t="s">
        <v>16</v>
      </c>
      <c r="K9" s="35" t="s">
        <v>16</v>
      </c>
      <c r="L9" s="35" t="s">
        <v>16</v>
      </c>
      <c r="M9" s="35" t="s">
        <v>16</v>
      </c>
      <c r="N9" s="35" t="s">
        <v>16</v>
      </c>
      <c r="O9" s="35" t="s">
        <v>16</v>
      </c>
      <c r="P9" s="35" t="s">
        <v>16</v>
      </c>
      <c r="Q9" s="35" t="s">
        <v>16</v>
      </c>
      <c r="R9" s="35" t="s">
        <v>16</v>
      </c>
      <c r="S9" s="35"/>
      <c r="T9" s="35" t="s">
        <v>1137</v>
      </c>
      <c r="U9" s="35" t="s">
        <v>16</v>
      </c>
      <c r="V9" s="35" t="s">
        <v>16</v>
      </c>
      <c r="W9" s="35" t="s">
        <v>16</v>
      </c>
      <c r="X9" s="35" t="s">
        <v>16</v>
      </c>
      <c r="Y9" s="35" t="s">
        <v>16</v>
      </c>
      <c r="Z9" s="35" t="s">
        <v>16</v>
      </c>
      <c r="AA9" s="35" t="s">
        <v>16</v>
      </c>
      <c r="AB9" s="35" t="s">
        <v>16</v>
      </c>
      <c r="AC9" s="35" t="s">
        <v>16</v>
      </c>
      <c r="AD9" s="35" t="s">
        <v>16</v>
      </c>
      <c r="AE9" s="35" t="s">
        <v>16</v>
      </c>
      <c r="AF9" s="35" t="s">
        <v>16</v>
      </c>
      <c r="AG9" s="35" t="s">
        <v>16</v>
      </c>
      <c r="AH9" s="341"/>
      <c r="AI9" s="35" t="s">
        <v>1137</v>
      </c>
      <c r="AJ9" s="1263" t="s">
        <v>17</v>
      </c>
      <c r="AK9" s="1264" t="s">
        <v>146</v>
      </c>
      <c r="AL9" s="1264" t="s">
        <v>605</v>
      </c>
      <c r="AM9" s="1264" t="s">
        <v>353</v>
      </c>
      <c r="AN9" s="343"/>
      <c r="AO9" s="343"/>
      <c r="AP9" s="343"/>
      <c r="AQ9" s="343"/>
      <c r="AR9" s="343"/>
      <c r="AS9" s="343"/>
      <c r="AT9" s="343"/>
      <c r="AU9" s="343"/>
      <c r="AV9" s="343"/>
    </row>
    <row r="10" spans="1:48" ht="15.6">
      <c r="A10" s="36"/>
      <c r="B10" s="7"/>
      <c r="C10" s="7"/>
      <c r="D10" s="7"/>
      <c r="E10" s="7"/>
      <c r="F10" s="7"/>
      <c r="G10" s="7"/>
      <c r="H10" s="7"/>
      <c r="I10" s="7"/>
      <c r="J10" s="7"/>
      <c r="K10" s="7"/>
      <c r="L10" s="7"/>
      <c r="M10" s="7"/>
      <c r="N10" s="7"/>
      <c r="O10" s="7"/>
      <c r="P10" s="7"/>
      <c r="Q10" s="7"/>
      <c r="R10" s="7"/>
      <c r="S10" s="7"/>
      <c r="T10" s="343"/>
      <c r="U10" s="343"/>
      <c r="V10" s="343"/>
      <c r="W10" s="343"/>
      <c r="X10" s="343"/>
      <c r="Y10" s="343"/>
      <c r="Z10" s="343"/>
      <c r="AA10" s="343"/>
      <c r="AB10" s="343"/>
      <c r="AC10" s="343"/>
      <c r="AD10" s="343"/>
      <c r="AE10" s="343"/>
      <c r="AF10" s="343"/>
      <c r="AG10" s="343"/>
      <c r="AH10" s="345"/>
      <c r="AI10" s="343"/>
      <c r="AJ10" s="996"/>
      <c r="AK10" s="996"/>
      <c r="AL10" s="996"/>
      <c r="AM10" s="390"/>
      <c r="AN10" s="343"/>
      <c r="AO10" s="343"/>
      <c r="AP10" s="343"/>
      <c r="AQ10" s="343"/>
      <c r="AR10" s="343"/>
      <c r="AS10" s="343"/>
      <c r="AT10" s="343"/>
      <c r="AU10" s="343"/>
      <c r="AV10" s="343"/>
    </row>
    <row r="11" spans="1:48" ht="15.6">
      <c r="A11" s="386"/>
      <c r="B11" s="27"/>
      <c r="C11" s="27"/>
      <c r="D11" s="37"/>
      <c r="E11" s="16"/>
      <c r="F11" s="16"/>
      <c r="G11" s="16"/>
      <c r="H11" s="16"/>
      <c r="I11" s="16"/>
      <c r="J11" s="16"/>
      <c r="K11" s="16"/>
      <c r="L11" s="16"/>
      <c r="M11" s="16"/>
      <c r="N11" s="16"/>
      <c r="O11" s="16"/>
      <c r="P11" s="16"/>
      <c r="Q11" s="16"/>
      <c r="R11" s="16"/>
      <c r="S11" s="16"/>
      <c r="T11" s="343"/>
      <c r="U11" s="16"/>
      <c r="V11" s="16"/>
      <c r="W11" s="16"/>
      <c r="X11" s="16"/>
      <c r="Y11" s="16"/>
      <c r="Z11" s="16"/>
      <c r="AA11" s="16"/>
      <c r="AB11" s="16"/>
      <c r="AC11" s="16"/>
      <c r="AD11" s="16"/>
      <c r="AE11" s="16"/>
      <c r="AF11" s="16"/>
      <c r="AG11" s="16"/>
      <c r="AH11" s="345"/>
      <c r="AI11" s="996"/>
      <c r="AJ11" s="996"/>
      <c r="AK11" s="996"/>
      <c r="AL11" s="996"/>
      <c r="AM11" s="390"/>
      <c r="AN11" s="343"/>
      <c r="AO11" s="343"/>
      <c r="AP11" s="343"/>
      <c r="AQ11" s="343"/>
      <c r="AR11" s="343"/>
      <c r="AS11" s="343"/>
      <c r="AT11" s="343"/>
      <c r="AU11" s="343"/>
      <c r="AV11" s="343"/>
    </row>
    <row r="12" spans="1:48" ht="15.6">
      <c r="A12" s="1120" t="s">
        <v>519</v>
      </c>
      <c r="B12" s="993"/>
      <c r="C12" s="1121"/>
      <c r="D12" s="1122"/>
      <c r="E12" s="16">
        <f>AVERAGE(F12:R12)</f>
        <v>0</v>
      </c>
      <c r="F12" s="78">
        <v>0</v>
      </c>
      <c r="G12" s="78">
        <v>0</v>
      </c>
      <c r="H12" s="78">
        <v>0</v>
      </c>
      <c r="I12" s="78">
        <v>0</v>
      </c>
      <c r="J12" s="78">
        <v>0</v>
      </c>
      <c r="K12" s="78">
        <v>0</v>
      </c>
      <c r="L12" s="78">
        <v>0</v>
      </c>
      <c r="M12" s="78">
        <v>0</v>
      </c>
      <c r="N12" s="78">
        <v>0</v>
      </c>
      <c r="O12" s="78">
        <v>0</v>
      </c>
      <c r="P12" s="78">
        <v>0</v>
      </c>
      <c r="Q12" s="78">
        <v>0</v>
      </c>
      <c r="R12" s="78">
        <v>0</v>
      </c>
      <c r="S12" s="16"/>
      <c r="T12" s="16">
        <f>AVERAGE(U12:AG12)</f>
        <v>0</v>
      </c>
      <c r="U12" s="78">
        <v>0</v>
      </c>
      <c r="V12" s="78">
        <v>0</v>
      </c>
      <c r="W12" s="78">
        <v>0</v>
      </c>
      <c r="X12" s="78">
        <v>0</v>
      </c>
      <c r="Y12" s="78">
        <v>0</v>
      </c>
      <c r="Z12" s="78">
        <v>0</v>
      </c>
      <c r="AA12" s="78">
        <v>0</v>
      </c>
      <c r="AB12" s="78">
        <v>0</v>
      </c>
      <c r="AC12" s="78">
        <v>0</v>
      </c>
      <c r="AD12" s="78">
        <v>0</v>
      </c>
      <c r="AE12" s="78">
        <v>0</v>
      </c>
      <c r="AF12" s="78">
        <v>0</v>
      </c>
      <c r="AG12" s="78">
        <v>0</v>
      </c>
      <c r="AH12" s="345"/>
      <c r="AI12" s="1110">
        <f t="shared" ref="AI12:AI17" si="2">E12-T12</f>
        <v>0</v>
      </c>
      <c r="AJ12" s="534"/>
      <c r="AK12" s="1265">
        <f>AI12*'Attachment H-11A '!$I$232</f>
        <v>0</v>
      </c>
      <c r="AL12" s="1266">
        <f>AI12*(('Attachment H-11A '!$I$239)*AJ12/100+'Attachment H-11A '!$I$232)</f>
        <v>0</v>
      </c>
      <c r="AM12" s="390">
        <f>AL12-AK12</f>
        <v>0</v>
      </c>
      <c r="AN12" s="343"/>
      <c r="AO12" s="343"/>
      <c r="AP12" s="343"/>
      <c r="AQ12" s="343"/>
      <c r="AR12" s="343"/>
      <c r="AS12" s="343"/>
      <c r="AT12" s="343"/>
      <c r="AU12" s="343"/>
      <c r="AV12" s="343"/>
    </row>
    <row r="13" spans="1:48" ht="15.6">
      <c r="A13" s="1120" t="s">
        <v>520</v>
      </c>
      <c r="B13" s="993"/>
      <c r="C13" s="1121"/>
      <c r="D13" s="1122"/>
      <c r="E13" s="16">
        <f t="shared" ref="E13:E17" si="3">AVERAGE(F13:R13)</f>
        <v>0</v>
      </c>
      <c r="F13" s="78">
        <v>0</v>
      </c>
      <c r="G13" s="78">
        <v>0</v>
      </c>
      <c r="H13" s="78">
        <v>0</v>
      </c>
      <c r="I13" s="78">
        <v>0</v>
      </c>
      <c r="J13" s="78">
        <v>0</v>
      </c>
      <c r="K13" s="78">
        <v>0</v>
      </c>
      <c r="L13" s="78">
        <v>0</v>
      </c>
      <c r="M13" s="78">
        <v>0</v>
      </c>
      <c r="N13" s="78">
        <v>0</v>
      </c>
      <c r="O13" s="78">
        <v>0</v>
      </c>
      <c r="P13" s="78">
        <v>0</v>
      </c>
      <c r="Q13" s="78">
        <v>0</v>
      </c>
      <c r="R13" s="78">
        <v>0</v>
      </c>
      <c r="S13" s="16"/>
      <c r="T13" s="16">
        <f t="shared" ref="T13:T17" si="4">AVERAGE(U13:AG13)</f>
        <v>0</v>
      </c>
      <c r="U13" s="78">
        <v>0</v>
      </c>
      <c r="V13" s="78">
        <v>0</v>
      </c>
      <c r="W13" s="78">
        <v>0</v>
      </c>
      <c r="X13" s="78">
        <v>0</v>
      </c>
      <c r="Y13" s="78">
        <v>0</v>
      </c>
      <c r="Z13" s="78">
        <v>0</v>
      </c>
      <c r="AA13" s="78">
        <v>0</v>
      </c>
      <c r="AB13" s="78">
        <v>0</v>
      </c>
      <c r="AC13" s="78">
        <v>0</v>
      </c>
      <c r="AD13" s="78">
        <v>0</v>
      </c>
      <c r="AE13" s="78">
        <v>0</v>
      </c>
      <c r="AF13" s="78">
        <v>0</v>
      </c>
      <c r="AG13" s="78">
        <v>0</v>
      </c>
      <c r="AH13" s="345"/>
      <c r="AI13" s="1110">
        <f t="shared" si="2"/>
        <v>0</v>
      </c>
      <c r="AJ13" s="534"/>
      <c r="AK13" s="1266">
        <f>AI13*'Attachment H-11A '!$I$232</f>
        <v>0</v>
      </c>
      <c r="AL13" s="1266">
        <f>AI13*(('Attachment H-11A '!$I$239)*AJ13/100+'Attachment H-11A '!$I$232)</f>
        <v>0</v>
      </c>
      <c r="AM13" s="390">
        <f t="shared" ref="AM13:AM17" si="5">AL13-AK13</f>
        <v>0</v>
      </c>
      <c r="AN13" s="343"/>
      <c r="AO13" s="343"/>
      <c r="AP13" s="343"/>
      <c r="AQ13" s="343"/>
      <c r="AR13" s="343"/>
      <c r="AS13" s="343"/>
      <c r="AT13" s="343"/>
      <c r="AU13" s="343"/>
      <c r="AV13" s="343"/>
    </row>
    <row r="14" spans="1:48" ht="15.6">
      <c r="A14" s="1120" t="s">
        <v>521</v>
      </c>
      <c r="B14" s="993"/>
      <c r="C14" s="1121"/>
      <c r="D14" s="1122"/>
      <c r="E14" s="16">
        <f t="shared" si="3"/>
        <v>0</v>
      </c>
      <c r="F14" s="78">
        <v>0</v>
      </c>
      <c r="G14" s="78">
        <v>0</v>
      </c>
      <c r="H14" s="78">
        <v>0</v>
      </c>
      <c r="I14" s="78">
        <v>0</v>
      </c>
      <c r="J14" s="78">
        <v>0</v>
      </c>
      <c r="K14" s="78">
        <v>0</v>
      </c>
      <c r="L14" s="78">
        <v>0</v>
      </c>
      <c r="M14" s="78">
        <v>0</v>
      </c>
      <c r="N14" s="78">
        <v>0</v>
      </c>
      <c r="O14" s="78">
        <v>0</v>
      </c>
      <c r="P14" s="78">
        <v>0</v>
      </c>
      <c r="Q14" s="78">
        <v>0</v>
      </c>
      <c r="R14" s="78">
        <v>0</v>
      </c>
      <c r="S14" s="996"/>
      <c r="T14" s="16">
        <f t="shared" si="4"/>
        <v>0</v>
      </c>
      <c r="U14" s="78">
        <v>0</v>
      </c>
      <c r="V14" s="78">
        <v>0</v>
      </c>
      <c r="W14" s="78">
        <v>0</v>
      </c>
      <c r="X14" s="78">
        <v>0</v>
      </c>
      <c r="Y14" s="78">
        <v>0</v>
      </c>
      <c r="Z14" s="78">
        <v>0</v>
      </c>
      <c r="AA14" s="78">
        <v>0</v>
      </c>
      <c r="AB14" s="78">
        <v>0</v>
      </c>
      <c r="AC14" s="78">
        <v>0</v>
      </c>
      <c r="AD14" s="78">
        <v>0</v>
      </c>
      <c r="AE14" s="78">
        <v>0</v>
      </c>
      <c r="AF14" s="78">
        <v>0</v>
      </c>
      <c r="AG14" s="78">
        <v>0</v>
      </c>
      <c r="AH14" s="345"/>
      <c r="AI14" s="1110">
        <f t="shared" si="2"/>
        <v>0</v>
      </c>
      <c r="AJ14" s="534"/>
      <c r="AK14" s="1266">
        <f>AI14*'Attachment H-11A '!$I$232</f>
        <v>0</v>
      </c>
      <c r="AL14" s="1266">
        <f>AI14*(('Attachment H-11A '!$I$239)*AJ14/100+'Attachment H-11A '!$I$232)</f>
        <v>0</v>
      </c>
      <c r="AM14" s="390">
        <f t="shared" si="5"/>
        <v>0</v>
      </c>
    </row>
    <row r="15" spans="1:48" ht="15.6">
      <c r="A15" s="1120" t="s">
        <v>572</v>
      </c>
      <c r="B15" s="993"/>
      <c r="C15" s="1121"/>
      <c r="D15" s="1122"/>
      <c r="E15" s="16">
        <f t="shared" si="3"/>
        <v>0</v>
      </c>
      <c r="F15" s="78">
        <v>0</v>
      </c>
      <c r="G15" s="78">
        <v>0</v>
      </c>
      <c r="H15" s="78">
        <v>0</v>
      </c>
      <c r="I15" s="78">
        <v>0</v>
      </c>
      <c r="J15" s="78">
        <v>0</v>
      </c>
      <c r="K15" s="78">
        <v>0</v>
      </c>
      <c r="L15" s="78">
        <v>0</v>
      </c>
      <c r="M15" s="78">
        <v>0</v>
      </c>
      <c r="N15" s="78">
        <v>0</v>
      </c>
      <c r="O15" s="78">
        <v>0</v>
      </c>
      <c r="P15" s="78">
        <v>0</v>
      </c>
      <c r="Q15" s="78">
        <v>0</v>
      </c>
      <c r="R15" s="78">
        <v>0</v>
      </c>
      <c r="S15" s="996"/>
      <c r="T15" s="16">
        <f t="shared" si="4"/>
        <v>0</v>
      </c>
      <c r="U15" s="78">
        <v>0</v>
      </c>
      <c r="V15" s="78">
        <v>0</v>
      </c>
      <c r="W15" s="78">
        <v>0</v>
      </c>
      <c r="X15" s="78">
        <v>0</v>
      </c>
      <c r="Y15" s="78">
        <v>0</v>
      </c>
      <c r="Z15" s="78">
        <v>0</v>
      </c>
      <c r="AA15" s="78">
        <v>0</v>
      </c>
      <c r="AB15" s="78">
        <v>0</v>
      </c>
      <c r="AC15" s="78">
        <v>0</v>
      </c>
      <c r="AD15" s="78">
        <v>0</v>
      </c>
      <c r="AE15" s="78">
        <v>0</v>
      </c>
      <c r="AF15" s="78">
        <v>0</v>
      </c>
      <c r="AG15" s="78">
        <v>0</v>
      </c>
      <c r="AH15" s="345"/>
      <c r="AI15" s="1110">
        <f t="shared" si="2"/>
        <v>0</v>
      </c>
      <c r="AJ15" s="534"/>
      <c r="AK15" s="1266">
        <f>AI15*'Attachment H-11A '!$I$232</f>
        <v>0</v>
      </c>
      <c r="AL15" s="1266">
        <f>AI15*(('Attachment H-11A '!$I$239)*AJ15/100+'Attachment H-11A '!$I$232)</f>
        <v>0</v>
      </c>
      <c r="AM15" s="390">
        <f t="shared" si="5"/>
        <v>0</v>
      </c>
    </row>
    <row r="16" spans="1:48" ht="15.6">
      <c r="A16" s="1120" t="s">
        <v>899</v>
      </c>
      <c r="B16" s="993"/>
      <c r="C16" s="1121"/>
      <c r="D16" s="1122"/>
      <c r="E16" s="16">
        <f t="shared" si="3"/>
        <v>0</v>
      </c>
      <c r="F16" s="78">
        <v>0</v>
      </c>
      <c r="G16" s="78">
        <v>0</v>
      </c>
      <c r="H16" s="78">
        <v>0</v>
      </c>
      <c r="I16" s="78">
        <v>0</v>
      </c>
      <c r="J16" s="78">
        <v>0</v>
      </c>
      <c r="K16" s="78">
        <v>0</v>
      </c>
      <c r="L16" s="78">
        <v>0</v>
      </c>
      <c r="M16" s="78">
        <v>0</v>
      </c>
      <c r="N16" s="78">
        <v>0</v>
      </c>
      <c r="O16" s="78">
        <v>0</v>
      </c>
      <c r="P16" s="78">
        <v>0</v>
      </c>
      <c r="Q16" s="78">
        <v>0</v>
      </c>
      <c r="R16" s="78">
        <v>0</v>
      </c>
      <c r="S16" s="996"/>
      <c r="T16" s="16">
        <f t="shared" si="4"/>
        <v>0</v>
      </c>
      <c r="U16" s="78">
        <v>0</v>
      </c>
      <c r="V16" s="78">
        <v>0</v>
      </c>
      <c r="W16" s="78">
        <v>0</v>
      </c>
      <c r="X16" s="78">
        <v>0</v>
      </c>
      <c r="Y16" s="78">
        <v>0</v>
      </c>
      <c r="Z16" s="78">
        <v>0</v>
      </c>
      <c r="AA16" s="78">
        <v>0</v>
      </c>
      <c r="AB16" s="78">
        <v>0</v>
      </c>
      <c r="AC16" s="78">
        <v>0</v>
      </c>
      <c r="AD16" s="78">
        <v>0</v>
      </c>
      <c r="AE16" s="78">
        <v>0</v>
      </c>
      <c r="AF16" s="78">
        <v>0</v>
      </c>
      <c r="AG16" s="78">
        <v>0</v>
      </c>
      <c r="AH16" s="345"/>
      <c r="AI16" s="1110">
        <f t="shared" si="2"/>
        <v>0</v>
      </c>
      <c r="AJ16" s="534"/>
      <c r="AK16" s="1266">
        <f>AI16*'Attachment H-11A '!$I$232</f>
        <v>0</v>
      </c>
      <c r="AL16" s="1266">
        <f>AI16*(('Attachment H-11A '!$I$239)*AJ16/100+'Attachment H-11A '!$I$232)</f>
        <v>0</v>
      </c>
      <c r="AM16" s="390">
        <f t="shared" si="5"/>
        <v>0</v>
      </c>
    </row>
    <row r="17" spans="1:39" ht="15.6">
      <c r="A17" s="1120" t="s">
        <v>900</v>
      </c>
      <c r="B17" s="993"/>
      <c r="C17" s="1121"/>
      <c r="D17" s="1122"/>
      <c r="E17" s="16">
        <f t="shared" si="3"/>
        <v>0</v>
      </c>
      <c r="F17" s="78">
        <v>0</v>
      </c>
      <c r="G17" s="78">
        <v>0</v>
      </c>
      <c r="H17" s="78">
        <v>0</v>
      </c>
      <c r="I17" s="78">
        <v>0</v>
      </c>
      <c r="J17" s="78">
        <v>0</v>
      </c>
      <c r="K17" s="78">
        <v>0</v>
      </c>
      <c r="L17" s="78">
        <v>0</v>
      </c>
      <c r="M17" s="78">
        <v>0</v>
      </c>
      <c r="N17" s="78">
        <v>0</v>
      </c>
      <c r="O17" s="78">
        <v>0</v>
      </c>
      <c r="P17" s="78">
        <v>0</v>
      </c>
      <c r="Q17" s="78">
        <v>0</v>
      </c>
      <c r="R17" s="78">
        <v>0</v>
      </c>
      <c r="S17" s="996"/>
      <c r="T17" s="16">
        <f t="shared" si="4"/>
        <v>0</v>
      </c>
      <c r="U17" s="78">
        <v>0</v>
      </c>
      <c r="V17" s="78">
        <v>0</v>
      </c>
      <c r="W17" s="78">
        <v>0</v>
      </c>
      <c r="X17" s="78">
        <v>0</v>
      </c>
      <c r="Y17" s="78">
        <v>0</v>
      </c>
      <c r="Z17" s="78">
        <v>0</v>
      </c>
      <c r="AA17" s="78">
        <v>0</v>
      </c>
      <c r="AB17" s="78">
        <v>0</v>
      </c>
      <c r="AC17" s="78">
        <v>0</v>
      </c>
      <c r="AD17" s="78">
        <v>0</v>
      </c>
      <c r="AE17" s="78">
        <v>0</v>
      </c>
      <c r="AF17" s="78">
        <v>0</v>
      </c>
      <c r="AG17" s="78">
        <v>0</v>
      </c>
      <c r="AH17" s="345"/>
      <c r="AI17" s="1110">
        <f t="shared" si="2"/>
        <v>0</v>
      </c>
      <c r="AJ17" s="534"/>
      <c r="AK17" s="1266">
        <f>AI17*'Attachment H-11A '!$I$232</f>
        <v>0</v>
      </c>
      <c r="AL17" s="1266">
        <f>AI17*(('Attachment H-11A '!$I$239)*AJ17/100+'Attachment H-11A '!$I$232)</f>
        <v>0</v>
      </c>
      <c r="AM17" s="390">
        <f t="shared" si="5"/>
        <v>0</v>
      </c>
    </row>
    <row r="18" spans="1:39">
      <c r="A18" s="347"/>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996"/>
      <c r="AL18" s="996"/>
      <c r="AM18" s="390"/>
    </row>
    <row r="19" spans="1:39">
      <c r="A19" s="347"/>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996"/>
      <c r="AL19" s="996"/>
      <c r="AM19" s="390"/>
    </row>
    <row r="20" spans="1:39" ht="15.6" customHeight="1">
      <c r="A20" s="347"/>
      <c r="B20" s="343"/>
      <c r="C20" s="343"/>
      <c r="D20" s="343"/>
      <c r="E20" s="343"/>
      <c r="F20" s="343"/>
      <c r="G20" s="343"/>
      <c r="H20" s="343"/>
      <c r="I20" s="343"/>
      <c r="J20" s="343"/>
      <c r="K20" s="343"/>
      <c r="L20" s="343"/>
      <c r="M20" s="343"/>
      <c r="N20" s="343"/>
      <c r="O20" s="343"/>
      <c r="P20" s="343"/>
      <c r="Q20" s="343"/>
      <c r="R20" s="343"/>
      <c r="S20" s="343"/>
      <c r="T20" s="343"/>
      <c r="U20" s="681"/>
      <c r="V20" s="343"/>
      <c r="W20" s="343"/>
      <c r="X20" s="958"/>
      <c r="Y20" s="958"/>
      <c r="Z20" s="958"/>
      <c r="AA20" s="958"/>
      <c r="AB20" s="958"/>
      <c r="AC20" s="343"/>
      <c r="AD20" s="343"/>
      <c r="AE20" s="343"/>
      <c r="AF20" s="343"/>
      <c r="AG20" s="343"/>
      <c r="AH20" s="343"/>
      <c r="AI20" s="343"/>
      <c r="AJ20" s="343"/>
      <c r="AK20" s="996"/>
      <c r="AL20" s="996"/>
      <c r="AM20" s="390"/>
    </row>
    <row r="21" spans="1:39" ht="15.6">
      <c r="A21" s="347"/>
      <c r="B21" s="343"/>
      <c r="C21" s="343"/>
      <c r="D21" s="343"/>
      <c r="E21" s="343"/>
      <c r="F21" s="343"/>
      <c r="G21" s="343"/>
      <c r="H21" s="343"/>
      <c r="I21" s="343"/>
      <c r="J21" s="343"/>
      <c r="K21" s="343"/>
      <c r="L21" s="343"/>
      <c r="M21" s="343"/>
      <c r="N21" s="343"/>
      <c r="O21" s="343"/>
      <c r="P21" s="343"/>
      <c r="Q21" s="343"/>
      <c r="R21" s="343"/>
      <c r="S21" s="343"/>
      <c r="T21" s="343"/>
      <c r="U21" s="343"/>
      <c r="V21" s="343"/>
      <c r="W21" s="343"/>
      <c r="X21" s="958"/>
      <c r="Y21" s="958"/>
      <c r="Z21" s="958"/>
      <c r="AA21" s="958"/>
      <c r="AB21" s="958"/>
      <c r="AC21" s="343"/>
      <c r="AD21" s="343"/>
      <c r="AE21" s="343"/>
      <c r="AF21" s="343"/>
      <c r="AG21" s="343"/>
      <c r="AH21" s="343"/>
      <c r="AI21" s="343"/>
      <c r="AJ21" s="343"/>
      <c r="AK21" s="996"/>
      <c r="AL21" s="996"/>
      <c r="AM21" s="390"/>
    </row>
    <row r="22" spans="1:39" ht="15.6">
      <c r="A22" s="347"/>
      <c r="B22" s="343"/>
      <c r="C22" s="343"/>
      <c r="D22" s="343"/>
      <c r="E22" s="343"/>
      <c r="F22" s="343"/>
      <c r="G22" s="343"/>
      <c r="H22" s="343"/>
      <c r="I22" s="343"/>
      <c r="J22" s="343"/>
      <c r="K22" s="343"/>
      <c r="L22" s="343"/>
      <c r="M22" s="343"/>
      <c r="N22" s="343"/>
      <c r="O22" s="343"/>
      <c r="P22" s="343"/>
      <c r="Q22" s="343"/>
      <c r="R22" s="343"/>
      <c r="S22" s="343"/>
      <c r="T22" s="343"/>
      <c r="U22" s="343"/>
      <c r="V22" s="343"/>
      <c r="W22" s="343"/>
      <c r="X22" s="958"/>
      <c r="Y22" s="958"/>
      <c r="Z22" s="958"/>
      <c r="AA22" s="958"/>
      <c r="AB22" s="958"/>
      <c r="AC22" s="343"/>
      <c r="AD22" s="343"/>
      <c r="AE22" s="343"/>
      <c r="AF22" s="343"/>
      <c r="AG22" s="343"/>
      <c r="AH22" s="343"/>
      <c r="AI22" s="343"/>
      <c r="AJ22" s="343"/>
      <c r="AK22" s="996"/>
      <c r="AL22" s="996"/>
      <c r="AM22" s="390"/>
    </row>
    <row r="23" spans="1:39" ht="15.6">
      <c r="A23" s="347"/>
      <c r="B23" s="343"/>
      <c r="C23" s="343"/>
      <c r="D23" s="343"/>
      <c r="E23" s="343"/>
      <c r="F23" s="343"/>
      <c r="G23" s="343"/>
      <c r="H23" s="343"/>
      <c r="I23" s="343"/>
      <c r="J23" s="343"/>
      <c r="K23" s="343"/>
      <c r="L23" s="343"/>
      <c r="M23" s="343"/>
      <c r="N23" s="343"/>
      <c r="O23" s="343"/>
      <c r="P23" s="343"/>
      <c r="Q23" s="343"/>
      <c r="R23" s="343"/>
      <c r="S23" s="343"/>
      <c r="T23" s="343"/>
      <c r="U23" s="343"/>
      <c r="V23" s="343"/>
      <c r="W23" s="343"/>
      <c r="X23" s="958"/>
      <c r="Y23" s="958"/>
      <c r="Z23" s="958"/>
      <c r="AA23" s="958"/>
      <c r="AB23" s="958"/>
      <c r="AC23" s="343"/>
      <c r="AD23" s="343"/>
      <c r="AE23" s="343"/>
      <c r="AF23" s="343"/>
      <c r="AG23" s="343"/>
      <c r="AH23" s="343"/>
      <c r="AI23" s="343"/>
      <c r="AJ23" s="343"/>
      <c r="AK23" s="996"/>
      <c r="AL23" s="996"/>
      <c r="AM23" s="390"/>
    </row>
    <row r="24" spans="1:39">
      <c r="A24" s="347"/>
      <c r="B24" s="343"/>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996"/>
      <c r="AL24" s="996"/>
      <c r="AM24" s="390"/>
    </row>
    <row r="25" spans="1:39">
      <c r="A25" s="347"/>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996"/>
      <c r="AL25" s="996"/>
      <c r="AM25" s="390"/>
    </row>
    <row r="26" spans="1:39">
      <c r="A26" s="347"/>
      <c r="B26" s="343"/>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996"/>
      <c r="AL26" s="996"/>
      <c r="AM26" s="390"/>
    </row>
    <row r="27" spans="1:39">
      <c r="A27" s="347"/>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996"/>
      <c r="AL27" s="996"/>
      <c r="AM27" s="390"/>
    </row>
    <row r="28" spans="1:39">
      <c r="A28" s="347"/>
      <c r="B28" s="343"/>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996"/>
      <c r="AL28" s="996"/>
      <c r="AM28" s="390"/>
    </row>
    <row r="29" spans="1:39">
      <c r="A29" s="347"/>
      <c r="B29" s="343"/>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996"/>
      <c r="AL29" s="996"/>
      <c r="AM29" s="390"/>
    </row>
    <row r="30" spans="1:39">
      <c r="A30" s="348"/>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1111"/>
      <c r="AL30" s="1111"/>
      <c r="AM30" s="1112"/>
    </row>
    <row r="31" spans="1:39" s="370" customFormat="1">
      <c r="A31" s="1210" t="s">
        <v>522</v>
      </c>
      <c r="C31" s="370" t="s">
        <v>257</v>
      </c>
      <c r="AM31" s="370">
        <f>SUM(AM12:AM26)</f>
        <v>0</v>
      </c>
    </row>
    <row r="32" spans="1:39" ht="15.6">
      <c r="A32" s="8" t="s">
        <v>268</v>
      </c>
      <c r="B32" s="8"/>
      <c r="C32" s="8"/>
      <c r="S32" s="38"/>
      <c r="T32" s="8" t="s">
        <v>954</v>
      </c>
      <c r="U32" s="8"/>
    </row>
    <row r="33" spans="1:32" ht="15.75" customHeight="1">
      <c r="A33" s="39"/>
      <c r="B33" s="8" t="s">
        <v>225</v>
      </c>
      <c r="C33" s="8" t="s">
        <v>1053</v>
      </c>
      <c r="D33" s="8"/>
      <c r="E33" s="8"/>
      <c r="F33" s="8"/>
      <c r="G33" s="8"/>
      <c r="H33" s="8"/>
      <c r="I33" s="8"/>
      <c r="J33" s="8"/>
      <c r="K33" s="8"/>
      <c r="M33" s="8" t="s">
        <v>969</v>
      </c>
      <c r="O33" s="370"/>
      <c r="S33" s="39"/>
      <c r="T33" s="661" t="s">
        <v>297</v>
      </c>
      <c r="U33" s="8" t="s">
        <v>962</v>
      </c>
      <c r="V33" s="1"/>
      <c r="W33" s="1"/>
      <c r="X33" s="1"/>
      <c r="Y33" s="1"/>
      <c r="Z33" s="1"/>
      <c r="AA33" s="1"/>
      <c r="AB33" s="1"/>
      <c r="AC33" s="1"/>
      <c r="AD33" s="1285" t="s">
        <v>725</v>
      </c>
      <c r="AE33" s="1282" t="s">
        <v>1089</v>
      </c>
    </row>
    <row r="34" spans="1:32" s="370" customFormat="1" ht="33.75" customHeight="1">
      <c r="B34" s="8" t="s">
        <v>239</v>
      </c>
      <c r="C34" s="8" t="s">
        <v>931</v>
      </c>
      <c r="D34" s="8"/>
      <c r="E34" s="8"/>
      <c r="F34" s="8"/>
      <c r="G34" s="8"/>
      <c r="H34" s="8"/>
      <c r="I34" s="8"/>
      <c r="J34" s="8"/>
      <c r="K34" s="8"/>
      <c r="T34" s="1211" t="s">
        <v>310</v>
      </c>
      <c r="U34" s="1332" t="s">
        <v>1132</v>
      </c>
      <c r="V34" s="1332"/>
      <c r="W34" s="1332"/>
      <c r="X34" s="1332"/>
      <c r="Y34" s="1332"/>
      <c r="Z34" s="1332"/>
      <c r="AA34" s="1332"/>
      <c r="AB34" s="1332"/>
      <c r="AC34" s="1332"/>
      <c r="AD34" s="1284" t="s">
        <v>576</v>
      </c>
      <c r="AE34" s="370" t="s">
        <v>1139</v>
      </c>
    </row>
    <row r="35" spans="1:32" s="370" customFormat="1" ht="15.6">
      <c r="T35" s="1211" t="s">
        <v>311</v>
      </c>
      <c r="U35" s="370" t="s">
        <v>1138</v>
      </c>
      <c r="AB35" s="2"/>
      <c r="AC35" s="2"/>
      <c r="AD35" s="1284" t="s">
        <v>802</v>
      </c>
      <c r="AE35" s="370" t="s">
        <v>1140</v>
      </c>
    </row>
    <row r="37" spans="1:32">
      <c r="T37" s="370"/>
      <c r="U37" s="370"/>
      <c r="V37" s="370"/>
      <c r="W37" s="370"/>
      <c r="X37" s="370"/>
      <c r="Y37" s="370"/>
    </row>
    <row r="40" spans="1:32" ht="15.6">
      <c r="T40" s="1211"/>
      <c r="U40" s="2"/>
      <c r="V40" s="2"/>
      <c r="W40" s="2"/>
      <c r="X40" s="2"/>
      <c r="Y40" s="2"/>
      <c r="Z40" s="2"/>
      <c r="AA40" s="2"/>
      <c r="AD40" s="1330"/>
      <c r="AE40" s="1331"/>
      <c r="AF40" s="1"/>
    </row>
    <row r="41" spans="1:32" ht="15.6">
      <c r="AD41" s="2"/>
      <c r="AE41" s="2"/>
      <c r="AF41" s="2"/>
    </row>
    <row r="42" spans="1:32" ht="15.6">
      <c r="AD42" s="2"/>
      <c r="AE42" s="2"/>
      <c r="AF42" s="2"/>
    </row>
  </sheetData>
  <customSheetViews>
    <customSheetView guid="{B991F324-919F-4749-8E3C-A09B2FA7BB10}" scale="60" showPageBreaks="1" printArea="1" view="pageBreakPreview">
      <selection activeCell="A2" sqref="A2:N2"/>
      <colBreaks count="1" manualBreakCount="1">
        <brk id="19" max="32" man="1"/>
      </colBreaks>
      <pageMargins left="0.7" right="0.7" top="0.75" bottom="0.75" header="0.3" footer="0.3"/>
      <pageSetup scale="38" orientation="landscape" r:id="rId1"/>
    </customSheetView>
    <customSheetView guid="{901B528B-D65D-48CA-A638-FD9B4E5BB6D4}" scale="60" showPageBreaks="1" printArea="1" view="pageBreakPreview">
      <selection activeCell="A2" sqref="A2:N2"/>
      <colBreaks count="1" manualBreakCount="1">
        <brk id="19" max="32" man="1"/>
      </colBreaks>
      <pageMargins left="0.7" right="0.7" top="0.75" bottom="0.75" header="0.3" footer="0.3"/>
      <pageSetup scale="38" orientation="landscape" r:id="rId2"/>
    </customSheetView>
    <customSheetView guid="{0DE222E8-ADD6-4F4B-9601-960D8109381F}" scale="60" showPageBreaks="1" printArea="1" view="pageBreakPreview">
      <selection activeCell="A3" sqref="A3"/>
      <colBreaks count="1" manualBreakCount="1">
        <brk id="19" max="32" man="1"/>
      </colBreaks>
      <pageMargins left="0.7" right="0.7" top="0.75" bottom="0.75" header="0.3" footer="0.3"/>
      <pageSetup scale="38" orientation="landscape" r:id="rId3"/>
    </customSheetView>
  </customSheetViews>
  <mergeCells count="6">
    <mergeCell ref="A1:N1"/>
    <mergeCell ref="T1:AE1"/>
    <mergeCell ref="A2:N2"/>
    <mergeCell ref="T2:AE2"/>
    <mergeCell ref="AD40:AE40"/>
    <mergeCell ref="U34:AC34"/>
  </mergeCells>
  <pageMargins left="0.7" right="0.7" top="0.75" bottom="0.75" header="0.3" footer="0.3"/>
  <pageSetup scale="38" orientation="landscape" r:id="rId4"/>
  <colBreaks count="1" manualBreakCount="1">
    <brk id="19"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M70"/>
  <sheetViews>
    <sheetView view="pageBreakPreview" zoomScale="60" zoomScaleNormal="70" workbookViewId="0">
      <selection activeCell="B35" sqref="B35"/>
    </sheetView>
  </sheetViews>
  <sheetFormatPr defaultColWidth="8.90625" defaultRowHeight="20.100000000000001" customHeight="1"/>
  <cols>
    <col min="1" max="1" width="6.08984375" style="49" bestFit="1" customWidth="1"/>
    <col min="2" max="2" width="15.08984375" style="43" customWidth="1"/>
    <col min="3" max="3" width="8.90625" style="43"/>
    <col min="4" max="4" width="2.81640625" style="43" customWidth="1"/>
    <col min="5" max="5" width="15.36328125" style="49" bestFit="1" customWidth="1"/>
    <col min="6" max="6" width="23.1796875" style="1109" customWidth="1"/>
    <col min="7" max="7" width="19.08984375" style="49" customWidth="1"/>
    <col min="8" max="8" width="17.08984375" style="49" customWidth="1"/>
    <col min="9" max="9" width="12.81640625" style="49" customWidth="1"/>
    <col min="10" max="11" width="15" style="49" bestFit="1" customWidth="1"/>
    <col min="12" max="12" width="3.54296875" style="49" customWidth="1"/>
    <col min="13" max="13" width="15.08984375" style="43" bestFit="1" customWidth="1"/>
    <col min="14" max="14" width="23" style="43" customWidth="1"/>
    <col min="15" max="15" width="15" style="43" bestFit="1" customWidth="1"/>
    <col min="16" max="16" width="15.54296875" style="43" bestFit="1" customWidth="1"/>
    <col min="17" max="16384" width="8.90625" style="43"/>
  </cols>
  <sheetData>
    <row r="1" spans="1:13" ht="20.100000000000001" customHeight="1">
      <c r="A1" s="497"/>
      <c r="E1" s="132"/>
      <c r="F1" s="132"/>
      <c r="G1" s="132"/>
      <c r="H1" s="497"/>
      <c r="I1" s="497"/>
      <c r="J1" s="497"/>
      <c r="K1" s="497"/>
      <c r="L1" s="497"/>
      <c r="M1" s="4" t="str">
        <f>'Attachment H-11A '!K1&amp;""&amp;", Attachment 3"</f>
        <v>Attachment H -11A, Attachment 3</v>
      </c>
    </row>
    <row r="2" spans="1:13" ht="20.100000000000001" customHeight="1">
      <c r="A2" s="497"/>
      <c r="E2" s="497"/>
      <c r="G2" s="497"/>
      <c r="H2" s="497"/>
      <c r="I2" s="497"/>
      <c r="J2" s="497"/>
      <c r="K2" s="497"/>
      <c r="L2" s="497"/>
      <c r="M2" s="4" t="s">
        <v>188</v>
      </c>
    </row>
    <row r="3" spans="1:13" ht="20.100000000000001" customHeight="1">
      <c r="A3" s="497"/>
      <c r="E3" s="497"/>
      <c r="G3" s="497"/>
      <c r="H3" s="498" t="s">
        <v>556</v>
      </c>
      <c r="I3" s="497"/>
      <c r="J3" s="497"/>
      <c r="K3" s="497"/>
      <c r="L3" s="497"/>
      <c r="M3" s="6" t="str">
        <f>'Attachment H-11A '!K4</f>
        <v>For the 12 months ended 12/31/2022</v>
      </c>
    </row>
    <row r="4" spans="1:13" ht="20.100000000000001" customHeight="1">
      <c r="A4" s="52"/>
    </row>
    <row r="5" spans="1:13" ht="20.100000000000001" customHeight="1">
      <c r="A5" s="58"/>
      <c r="B5" s="132"/>
      <c r="C5" s="132"/>
      <c r="D5" s="132"/>
      <c r="E5" s="499" t="s">
        <v>508</v>
      </c>
      <c r="F5" s="499" t="s">
        <v>509</v>
      </c>
      <c r="G5" s="499" t="s">
        <v>510</v>
      </c>
      <c r="H5" s="499" t="s">
        <v>511</v>
      </c>
      <c r="I5" s="499" t="s">
        <v>512</v>
      </c>
      <c r="J5" s="499" t="s">
        <v>513</v>
      </c>
      <c r="K5" s="499" t="s">
        <v>514</v>
      </c>
      <c r="L5" s="500"/>
      <c r="M5" s="1115" t="s">
        <v>886</v>
      </c>
    </row>
    <row r="6" spans="1:13" ht="20.100000000000001" customHeight="1">
      <c r="A6" s="58"/>
      <c r="B6" s="132"/>
      <c r="C6" s="132"/>
      <c r="D6" s="132"/>
      <c r="E6" s="59" t="s">
        <v>216</v>
      </c>
      <c r="F6" s="59" t="s">
        <v>876</v>
      </c>
      <c r="G6" s="59" t="s">
        <v>926</v>
      </c>
      <c r="H6" s="59" t="s">
        <v>927</v>
      </c>
      <c r="I6" s="59" t="s">
        <v>219</v>
      </c>
      <c r="J6" s="59" t="s">
        <v>218</v>
      </c>
      <c r="K6" s="59" t="s">
        <v>220</v>
      </c>
      <c r="L6" s="132"/>
      <c r="M6" s="59" t="s">
        <v>10</v>
      </c>
    </row>
    <row r="7" spans="1:13" s="132" customFormat="1" ht="20.100000000000001" customHeight="1">
      <c r="A7" s="58"/>
      <c r="D7" s="537"/>
      <c r="E7" s="283"/>
      <c r="F7" s="283"/>
      <c r="G7" s="283"/>
      <c r="H7" s="283"/>
      <c r="I7" s="283"/>
      <c r="J7" s="283"/>
      <c r="K7" s="543"/>
    </row>
    <row r="8" spans="1:13" ht="20.100000000000001" customHeight="1">
      <c r="A8" s="543">
        <v>1</v>
      </c>
      <c r="B8" s="132" t="s">
        <v>200</v>
      </c>
      <c r="C8" s="46">
        <v>2021</v>
      </c>
      <c r="D8" s="132"/>
      <c r="E8" s="126">
        <f>E27-E48</f>
        <v>3069953900.9490061</v>
      </c>
      <c r="F8" s="119">
        <v>12709537.940000001</v>
      </c>
      <c r="G8" s="126">
        <f>F27-F48-F8</f>
        <v>615156631.86235785</v>
      </c>
      <c r="H8" s="126">
        <f>G27-G48+F8</f>
        <v>2181361956.3524604</v>
      </c>
      <c r="I8" s="126">
        <f t="shared" ref="I8:K20" si="0">H27-H48</f>
        <v>40924632.979011454</v>
      </c>
      <c r="J8" s="126">
        <f>I27-I48</f>
        <v>113683296.2787832</v>
      </c>
      <c r="K8" s="126">
        <f t="shared" si="0"/>
        <v>0</v>
      </c>
      <c r="L8" s="544"/>
      <c r="M8" s="544">
        <f>SUM(E8,G8,H8,I8,J8,K8)</f>
        <v>6021080418.4216185</v>
      </c>
    </row>
    <row r="9" spans="1:13" ht="20.100000000000001" customHeight="1">
      <c r="A9" s="543">
        <v>2</v>
      </c>
      <c r="B9" s="132" t="s">
        <v>201</v>
      </c>
      <c r="C9" s="118">
        <f>C8+1</f>
        <v>2022</v>
      </c>
      <c r="D9" s="132"/>
      <c r="E9" s="126">
        <f t="shared" ref="E9" si="1">E28-E49</f>
        <v>3071001891.2730489</v>
      </c>
      <c r="F9" s="119">
        <v>12709537.940000001</v>
      </c>
      <c r="G9" s="126">
        <f>F28-F49-F9</f>
        <v>615425753.79041195</v>
      </c>
      <c r="H9" s="126">
        <f>G28-G49+F9</f>
        <v>2189029944.2927346</v>
      </c>
      <c r="I9" s="126">
        <f t="shared" si="0"/>
        <v>41087041.3007669</v>
      </c>
      <c r="J9" s="126">
        <f t="shared" si="0"/>
        <v>114250214.99301098</v>
      </c>
      <c r="K9" s="126">
        <f t="shared" si="0"/>
        <v>0</v>
      </c>
      <c r="L9" s="544"/>
      <c r="M9" s="544">
        <f t="shared" ref="M9:M20" si="2">SUM(E9,G9,H9,I9,J9,K9)</f>
        <v>6030794845.6499729</v>
      </c>
    </row>
    <row r="10" spans="1:13" ht="20.100000000000001" customHeight="1">
      <c r="A10" s="543">
        <v>3</v>
      </c>
      <c r="B10" s="132" t="s">
        <v>202</v>
      </c>
      <c r="C10" s="118">
        <f>C9</f>
        <v>2022</v>
      </c>
      <c r="D10" s="132"/>
      <c r="E10" s="126">
        <f t="shared" ref="E10" si="3">E29-E50</f>
        <v>3071606621.512794</v>
      </c>
      <c r="F10" s="119">
        <v>12709537.940000001</v>
      </c>
      <c r="G10" s="126">
        <f t="shared" ref="G10:G20" si="4">F29-F50-F10</f>
        <v>615706863.9041692</v>
      </c>
      <c r="H10" s="126">
        <f t="shared" ref="H10:H20" si="5">G29-G50+F10</f>
        <v>2196391824.3741055</v>
      </c>
      <c r="I10" s="126">
        <f t="shared" si="0"/>
        <v>41266678.779534779</v>
      </c>
      <c r="J10" s="126">
        <f t="shared" si="0"/>
        <v>114812625.14458567</v>
      </c>
      <c r="K10" s="126">
        <f t="shared" si="0"/>
        <v>0</v>
      </c>
      <c r="L10" s="544"/>
      <c r="M10" s="544">
        <f t="shared" si="2"/>
        <v>6039784613.715189</v>
      </c>
    </row>
    <row r="11" spans="1:13" ht="20.100000000000001" customHeight="1">
      <c r="A11" s="543">
        <v>4</v>
      </c>
      <c r="B11" s="132" t="s">
        <v>203</v>
      </c>
      <c r="C11" s="118">
        <f t="shared" ref="C11:C20" si="6">C10</f>
        <v>2022</v>
      </c>
      <c r="D11" s="132"/>
      <c r="E11" s="126">
        <f t="shared" ref="E11" si="7">E30-E51</f>
        <v>3071784807.8103685</v>
      </c>
      <c r="F11" s="119">
        <v>12709537.940000001</v>
      </c>
      <c r="G11" s="126">
        <f t="shared" si="4"/>
        <v>616024844.41079915</v>
      </c>
      <c r="H11" s="126">
        <f t="shared" si="5"/>
        <v>2204129345.9552393</v>
      </c>
      <c r="I11" s="126">
        <f t="shared" si="0"/>
        <v>41865790.127881825</v>
      </c>
      <c r="J11" s="126">
        <f t="shared" si="0"/>
        <v>115065730.31574164</v>
      </c>
      <c r="K11" s="126">
        <f t="shared" si="0"/>
        <v>0</v>
      </c>
      <c r="L11" s="544"/>
      <c r="M11" s="544">
        <f t="shared" si="2"/>
        <v>6048870518.6200304</v>
      </c>
    </row>
    <row r="12" spans="1:13" ht="20.100000000000001" customHeight="1">
      <c r="A12" s="543">
        <v>5</v>
      </c>
      <c r="B12" s="132" t="s">
        <v>204</v>
      </c>
      <c r="C12" s="118">
        <f t="shared" si="6"/>
        <v>2022</v>
      </c>
      <c r="D12" s="132"/>
      <c r="E12" s="126">
        <f t="shared" ref="E12" si="8">E31-E52</f>
        <v>3072880341.1734228</v>
      </c>
      <c r="F12" s="119">
        <v>12709537.940000001</v>
      </c>
      <c r="G12" s="126">
        <f t="shared" si="4"/>
        <v>617382590.99542892</v>
      </c>
      <c r="H12" s="126">
        <f t="shared" si="5"/>
        <v>2210767286.0733232</v>
      </c>
      <c r="I12" s="126">
        <f t="shared" si="0"/>
        <v>42066199.600483194</v>
      </c>
      <c r="J12" s="126">
        <f t="shared" si="0"/>
        <v>115345905.54974487</v>
      </c>
      <c r="K12" s="126">
        <f t="shared" si="0"/>
        <v>0</v>
      </c>
      <c r="L12" s="544"/>
      <c r="M12" s="544">
        <f t="shared" si="2"/>
        <v>6058442323.3924026</v>
      </c>
    </row>
    <row r="13" spans="1:13" ht="20.100000000000001" customHeight="1">
      <c r="A13" s="543">
        <v>6</v>
      </c>
      <c r="B13" s="132" t="s">
        <v>205</v>
      </c>
      <c r="C13" s="118">
        <f t="shared" si="6"/>
        <v>2022</v>
      </c>
      <c r="D13" s="132"/>
      <c r="E13" s="126">
        <f t="shared" ref="E13" si="9">E32-E53</f>
        <v>3099581079.0242877</v>
      </c>
      <c r="F13" s="119">
        <v>12709537.940000001</v>
      </c>
      <c r="G13" s="126">
        <f t="shared" si="4"/>
        <v>630804013.86795902</v>
      </c>
      <c r="H13" s="126">
        <f t="shared" si="5"/>
        <v>2218111369.1956892</v>
      </c>
      <c r="I13" s="126">
        <f t="shared" si="0"/>
        <v>44150439.840431765</v>
      </c>
      <c r="J13" s="126">
        <f t="shared" si="0"/>
        <v>115660077.10795456</v>
      </c>
      <c r="K13" s="126">
        <f t="shared" si="0"/>
        <v>0</v>
      </c>
      <c r="L13" s="544"/>
      <c r="M13" s="544">
        <f t="shared" si="2"/>
        <v>6108306979.0363235</v>
      </c>
    </row>
    <row r="14" spans="1:13" ht="20.100000000000001" customHeight="1">
      <c r="A14" s="543">
        <v>7</v>
      </c>
      <c r="B14" s="132" t="s">
        <v>215</v>
      </c>
      <c r="C14" s="118">
        <f t="shared" si="6"/>
        <v>2022</v>
      </c>
      <c r="D14" s="132"/>
      <c r="E14" s="126">
        <f t="shared" ref="E14" si="10">E33-E54</f>
        <v>3104676696.7271743</v>
      </c>
      <c r="F14" s="119">
        <v>12709537.940000001</v>
      </c>
      <c r="G14" s="126">
        <f t="shared" si="4"/>
        <v>633854814.71053052</v>
      </c>
      <c r="H14" s="126">
        <f t="shared" si="5"/>
        <v>2226100724.7635546</v>
      </c>
      <c r="I14" s="126">
        <f t="shared" si="0"/>
        <v>44692177.47228919</v>
      </c>
      <c r="J14" s="126">
        <f t="shared" si="0"/>
        <v>115948471.35262142</v>
      </c>
      <c r="K14" s="126">
        <f t="shared" si="0"/>
        <v>0</v>
      </c>
      <c r="L14" s="544"/>
      <c r="M14" s="544">
        <f t="shared" si="2"/>
        <v>6125272885.0261698</v>
      </c>
    </row>
    <row r="15" spans="1:13" ht="20.100000000000001" customHeight="1">
      <c r="A15" s="543">
        <v>8</v>
      </c>
      <c r="B15" s="132" t="s">
        <v>206</v>
      </c>
      <c r="C15" s="118">
        <f t="shared" si="6"/>
        <v>2022</v>
      </c>
      <c r="D15" s="132"/>
      <c r="E15" s="126">
        <f t="shared" ref="E15" si="11">E34-E55</f>
        <v>3105529662.2115211</v>
      </c>
      <c r="F15" s="119">
        <v>12709537.940000001</v>
      </c>
      <c r="G15" s="126">
        <f t="shared" si="4"/>
        <v>640399765.80789948</v>
      </c>
      <c r="H15" s="126">
        <f t="shared" si="5"/>
        <v>2233554556.1397753</v>
      </c>
      <c r="I15" s="126">
        <f t="shared" si="0"/>
        <v>44908110.870648183</v>
      </c>
      <c r="J15" s="126">
        <f t="shared" si="0"/>
        <v>116177160.40242192</v>
      </c>
      <c r="K15" s="126">
        <f t="shared" si="0"/>
        <v>0</v>
      </c>
      <c r="L15" s="544"/>
      <c r="M15" s="544">
        <f t="shared" si="2"/>
        <v>6140569255.4322662</v>
      </c>
    </row>
    <row r="16" spans="1:13" ht="20.100000000000001" customHeight="1">
      <c r="A16" s="543">
        <v>9</v>
      </c>
      <c r="B16" s="132" t="s">
        <v>207</v>
      </c>
      <c r="C16" s="118">
        <f t="shared" si="6"/>
        <v>2022</v>
      </c>
      <c r="D16" s="132"/>
      <c r="E16" s="126">
        <f t="shared" ref="E16" si="12">E35-E56</f>
        <v>3107236826.003684</v>
      </c>
      <c r="F16" s="119">
        <v>12709537.940000001</v>
      </c>
      <c r="G16" s="126">
        <f t="shared" si="4"/>
        <v>640692421.44600761</v>
      </c>
      <c r="H16" s="126">
        <f t="shared" si="5"/>
        <v>2241083524.9347811</v>
      </c>
      <c r="I16" s="126">
        <f t="shared" si="0"/>
        <v>45198837.841842569</v>
      </c>
      <c r="J16" s="126">
        <f t="shared" si="0"/>
        <v>116414628.12707052</v>
      </c>
      <c r="K16" s="126">
        <f t="shared" si="0"/>
        <v>0</v>
      </c>
      <c r="L16" s="544"/>
      <c r="M16" s="544">
        <f t="shared" si="2"/>
        <v>6150626238.3533859</v>
      </c>
    </row>
    <row r="17" spans="1:13" ht="20.100000000000001" customHeight="1">
      <c r="A17" s="543">
        <v>10</v>
      </c>
      <c r="B17" s="132" t="s">
        <v>208</v>
      </c>
      <c r="C17" s="118">
        <f t="shared" si="6"/>
        <v>2022</v>
      </c>
      <c r="D17" s="132"/>
      <c r="E17" s="126">
        <f t="shared" ref="E17" si="13">E36-E57</f>
        <v>3112547701.9712458</v>
      </c>
      <c r="F17" s="119">
        <v>12709537.940000001</v>
      </c>
      <c r="G17" s="126">
        <f t="shared" si="4"/>
        <v>642837241.00998151</v>
      </c>
      <c r="H17" s="126">
        <f t="shared" si="5"/>
        <v>2248608358.1295972</v>
      </c>
      <c r="I17" s="126">
        <f t="shared" si="0"/>
        <v>45552008.311525546</v>
      </c>
      <c r="J17" s="126">
        <f t="shared" si="0"/>
        <v>116666863.84784862</v>
      </c>
      <c r="K17" s="126">
        <f t="shared" si="0"/>
        <v>0</v>
      </c>
      <c r="L17" s="544"/>
      <c r="M17" s="544">
        <f t="shared" si="2"/>
        <v>6166212173.2701988</v>
      </c>
    </row>
    <row r="18" spans="1:13" ht="20.100000000000001" customHeight="1">
      <c r="A18" s="543">
        <v>11</v>
      </c>
      <c r="B18" s="132" t="s">
        <v>210</v>
      </c>
      <c r="C18" s="118">
        <f t="shared" si="6"/>
        <v>2022</v>
      </c>
      <c r="D18" s="132"/>
      <c r="E18" s="126">
        <f t="shared" ref="E18" si="14">E37-E58</f>
        <v>3122327075.8121643</v>
      </c>
      <c r="F18" s="119">
        <v>12709537.940000001</v>
      </c>
      <c r="G18" s="126">
        <f t="shared" si="4"/>
        <v>647174811.81132531</v>
      </c>
      <c r="H18" s="126">
        <f t="shared" si="5"/>
        <v>2256265136.8657804</v>
      </c>
      <c r="I18" s="126">
        <f t="shared" si="0"/>
        <v>54826098.281640008</v>
      </c>
      <c r="J18" s="126">
        <f t="shared" si="0"/>
        <v>117861147.67747495</v>
      </c>
      <c r="K18" s="126">
        <f t="shared" si="0"/>
        <v>0</v>
      </c>
      <c r="L18" s="544"/>
      <c r="M18" s="544">
        <f t="shared" si="2"/>
        <v>6198454270.4483843</v>
      </c>
    </row>
    <row r="19" spans="1:13" ht="20.100000000000001" customHeight="1">
      <c r="A19" s="543">
        <v>12</v>
      </c>
      <c r="B19" s="132" t="s">
        <v>209</v>
      </c>
      <c r="C19" s="118">
        <f t="shared" si="6"/>
        <v>2022</v>
      </c>
      <c r="D19" s="132"/>
      <c r="E19" s="126">
        <f t="shared" ref="E19" si="15">E38-E59</f>
        <v>3128171016.6849198</v>
      </c>
      <c r="F19" s="119">
        <v>12709537.940000001</v>
      </c>
      <c r="G19" s="126">
        <f t="shared" si="4"/>
        <v>651309334.17574906</v>
      </c>
      <c r="H19" s="126">
        <f t="shared" si="5"/>
        <v>2263578920.5367608</v>
      </c>
      <c r="I19" s="126">
        <f t="shared" si="0"/>
        <v>55091042.602326438</v>
      </c>
      <c r="J19" s="126">
        <f t="shared" si="0"/>
        <v>118378553.7015388</v>
      </c>
      <c r="K19" s="126">
        <f t="shared" si="0"/>
        <v>0</v>
      </c>
      <c r="L19" s="544"/>
      <c r="M19" s="544">
        <f t="shared" si="2"/>
        <v>6216528867.7012959</v>
      </c>
    </row>
    <row r="20" spans="1:13" ht="20.100000000000001" customHeight="1">
      <c r="A20" s="543">
        <v>13</v>
      </c>
      <c r="B20" s="132" t="s">
        <v>200</v>
      </c>
      <c r="C20" s="118">
        <f t="shared" si="6"/>
        <v>2022</v>
      </c>
      <c r="D20" s="132"/>
      <c r="E20" s="126">
        <f t="shared" ref="E20" si="16">E39-E60</f>
        <v>3153841516.0911365</v>
      </c>
      <c r="F20" s="119">
        <v>12709537.940000001</v>
      </c>
      <c r="G20" s="126">
        <f t="shared" si="4"/>
        <v>658078131.29993713</v>
      </c>
      <c r="H20" s="126">
        <f t="shared" si="5"/>
        <v>2272710071.6042485</v>
      </c>
      <c r="I20" s="126">
        <f t="shared" si="0"/>
        <v>57825995.685039915</v>
      </c>
      <c r="J20" s="126">
        <f t="shared" si="0"/>
        <v>119866023.42658919</v>
      </c>
      <c r="K20" s="126">
        <f t="shared" si="0"/>
        <v>0</v>
      </c>
      <c r="L20" s="544"/>
      <c r="M20" s="544">
        <f t="shared" si="2"/>
        <v>6262321738.1069508</v>
      </c>
    </row>
    <row r="21" spans="1:13" s="132" customFormat="1" ht="20.100000000000001" customHeight="1">
      <c r="A21" s="58"/>
      <c r="E21" s="126"/>
      <c r="F21" s="126"/>
      <c r="G21" s="126"/>
      <c r="H21" s="126"/>
      <c r="I21" s="126"/>
      <c r="J21" s="126"/>
      <c r="K21" s="126"/>
      <c r="L21" s="544"/>
      <c r="M21" s="544"/>
    </row>
    <row r="22" spans="1:13" s="54" customFormat="1" ht="20.100000000000001" customHeight="1">
      <c r="A22" s="261">
        <v>14</v>
      </c>
      <c r="B22" s="540" t="s">
        <v>224</v>
      </c>
      <c r="C22" s="540"/>
      <c r="D22" s="541" t="s">
        <v>906</v>
      </c>
      <c r="E22" s="539">
        <f>SUM(E8:E20)/13</f>
        <v>3099318395.1726751</v>
      </c>
      <c r="F22" s="539">
        <f>SUM(F8:F20)/13</f>
        <v>12709537.939999999</v>
      </c>
      <c r="G22" s="539">
        <f>SUM(G8:G20)/13</f>
        <v>632680555.31481194</v>
      </c>
      <c r="H22" s="539">
        <f t="shared" ref="H22:K22" si="17">SUM(H8:H20)/13</f>
        <v>2226284078.4013882</v>
      </c>
      <c r="I22" s="539">
        <f>SUM(I8:I20)/13</f>
        <v>46111927.207186289</v>
      </c>
      <c r="J22" s="539">
        <f t="shared" si="17"/>
        <v>116163899.84041436</v>
      </c>
      <c r="K22" s="539">
        <f t="shared" si="17"/>
        <v>0</v>
      </c>
      <c r="L22" s="539"/>
      <c r="M22" s="539">
        <f>SUM(M8:M20)/13</f>
        <v>6120558855.9364767</v>
      </c>
    </row>
    <row r="23" spans="1:13" ht="20.100000000000001" customHeight="1">
      <c r="C23" s="132"/>
    </row>
    <row r="24" spans="1:13" ht="20.100000000000001" customHeight="1">
      <c r="E24" s="51" t="s">
        <v>216</v>
      </c>
      <c r="F24" s="51" t="s">
        <v>25</v>
      </c>
      <c r="G24" s="51" t="s">
        <v>217</v>
      </c>
      <c r="H24" s="51" t="s">
        <v>219</v>
      </c>
      <c r="I24" s="51" t="s">
        <v>218</v>
      </c>
      <c r="J24" s="51" t="s">
        <v>220</v>
      </c>
      <c r="K24" s="43"/>
      <c r="M24" s="51" t="s">
        <v>10</v>
      </c>
    </row>
    <row r="25" spans="1:13" ht="20.100000000000001" customHeight="1">
      <c r="E25" s="51"/>
      <c r="F25" s="51"/>
      <c r="G25" s="51"/>
      <c r="H25" s="51"/>
      <c r="I25" s="51"/>
      <c r="J25" s="51"/>
      <c r="K25" s="43"/>
    </row>
    <row r="26" spans="1:13" ht="20.100000000000001" customHeight="1">
      <c r="D26" s="47" t="s">
        <v>239</v>
      </c>
      <c r="E26" s="50" t="s">
        <v>136</v>
      </c>
      <c r="F26" s="50" t="s">
        <v>221</v>
      </c>
      <c r="G26" s="50" t="s">
        <v>137</v>
      </c>
      <c r="H26" s="50" t="s">
        <v>222</v>
      </c>
      <c r="I26" s="50" t="s">
        <v>223</v>
      </c>
      <c r="J26" s="53">
        <v>356.1</v>
      </c>
      <c r="K26" s="43"/>
    </row>
    <row r="27" spans="1:13" ht="20.100000000000001" customHeight="1">
      <c r="A27" s="53">
        <v>15</v>
      </c>
      <c r="B27" s="43" t="s">
        <v>200</v>
      </c>
      <c r="C27" s="118">
        <f>C8</f>
        <v>2021</v>
      </c>
      <c r="E27" s="119">
        <v>3069654566.549006</v>
      </c>
      <c r="F27" s="119">
        <v>627867144.22235787</v>
      </c>
      <c r="G27" s="119">
        <v>2168652418.4124603</v>
      </c>
      <c r="H27" s="119">
        <v>40924632.979011454</v>
      </c>
      <c r="I27" s="119">
        <v>113741041.06878321</v>
      </c>
      <c r="J27" s="119"/>
      <c r="K27" s="120"/>
      <c r="M27" s="120">
        <f t="shared" ref="M27:M39" si="18">SUM(E27:J27)</f>
        <v>6020839803.2316189</v>
      </c>
    </row>
    <row r="28" spans="1:13" ht="20.100000000000001" customHeight="1">
      <c r="A28" s="53">
        <v>16</v>
      </c>
      <c r="B28" s="43" t="s">
        <v>201</v>
      </c>
      <c r="C28" s="45">
        <f>C27+1</f>
        <v>2022</v>
      </c>
      <c r="E28" s="119">
        <v>3070702556.8730488</v>
      </c>
      <c r="F28" s="119">
        <v>628136266.15041196</v>
      </c>
      <c r="G28" s="119">
        <v>2176320406.3527346</v>
      </c>
      <c r="H28" s="119">
        <v>41087041.3007669</v>
      </c>
      <c r="I28" s="119">
        <v>114307959.78301099</v>
      </c>
      <c r="J28" s="119"/>
      <c r="K28" s="120"/>
      <c r="M28" s="120">
        <f t="shared" si="18"/>
        <v>6030554230.4599743</v>
      </c>
    </row>
    <row r="29" spans="1:13" ht="20.100000000000001" customHeight="1">
      <c r="A29" s="53">
        <v>17</v>
      </c>
      <c r="B29" s="43" t="s">
        <v>202</v>
      </c>
      <c r="C29" s="45">
        <f>C28</f>
        <v>2022</v>
      </c>
      <c r="E29" s="119">
        <v>3071307287.1127939</v>
      </c>
      <c r="F29" s="119">
        <v>628417376.26416922</v>
      </c>
      <c r="G29" s="119">
        <v>2183682286.4341054</v>
      </c>
      <c r="H29" s="119">
        <v>41266678.779534779</v>
      </c>
      <c r="I29" s="119">
        <v>114870369.93458568</v>
      </c>
      <c r="J29" s="119"/>
      <c r="K29" s="120"/>
      <c r="M29" s="120">
        <f t="shared" si="18"/>
        <v>6039543998.5251884</v>
      </c>
    </row>
    <row r="30" spans="1:13" ht="20.100000000000001" customHeight="1">
      <c r="A30" s="53">
        <v>18</v>
      </c>
      <c r="B30" s="43" t="s">
        <v>203</v>
      </c>
      <c r="C30" s="45">
        <f t="shared" ref="C30:C39" si="19">C29</f>
        <v>2022</v>
      </c>
      <c r="E30" s="119">
        <v>3071485473.4103684</v>
      </c>
      <c r="F30" s="119">
        <v>628735356.77079916</v>
      </c>
      <c r="G30" s="119">
        <v>2191419808.0152392</v>
      </c>
      <c r="H30" s="119">
        <v>41865790.127881825</v>
      </c>
      <c r="I30" s="119">
        <v>115123475.10574165</v>
      </c>
      <c r="J30" s="119"/>
      <c r="K30" s="120"/>
      <c r="M30" s="120">
        <f t="shared" si="18"/>
        <v>6048629903.4300308</v>
      </c>
    </row>
    <row r="31" spans="1:13" ht="20.100000000000001" customHeight="1">
      <c r="A31" s="53">
        <v>19</v>
      </c>
      <c r="B31" s="43" t="s">
        <v>204</v>
      </c>
      <c r="C31" s="45">
        <f t="shared" si="19"/>
        <v>2022</v>
      </c>
      <c r="E31" s="119">
        <v>3072581006.7734227</v>
      </c>
      <c r="F31" s="119">
        <v>630093103.35542893</v>
      </c>
      <c r="G31" s="119">
        <v>2198057748.1333232</v>
      </c>
      <c r="H31" s="119">
        <v>42066199.600483194</v>
      </c>
      <c r="I31" s="119">
        <v>115403650.33974488</v>
      </c>
      <c r="J31" s="119"/>
      <c r="K31" s="120"/>
      <c r="M31" s="120">
        <f t="shared" si="18"/>
        <v>6058201708.2024021</v>
      </c>
    </row>
    <row r="32" spans="1:13" ht="20.100000000000001" customHeight="1">
      <c r="A32" s="53">
        <v>20</v>
      </c>
      <c r="B32" s="43" t="s">
        <v>205</v>
      </c>
      <c r="C32" s="45">
        <f t="shared" si="19"/>
        <v>2022</v>
      </c>
      <c r="E32" s="119">
        <v>3099281744.6242876</v>
      </c>
      <c r="F32" s="119">
        <v>643514526.22795904</v>
      </c>
      <c r="G32" s="119">
        <v>2205401831.2556891</v>
      </c>
      <c r="H32" s="119">
        <v>44150439.840431765</v>
      </c>
      <c r="I32" s="119">
        <v>115717821.89795457</v>
      </c>
      <c r="J32" s="119"/>
      <c r="K32" s="120"/>
      <c r="M32" s="120">
        <f t="shared" si="18"/>
        <v>6108066363.846323</v>
      </c>
    </row>
    <row r="33" spans="1:13" ht="20.100000000000001" customHeight="1">
      <c r="A33" s="53">
        <v>21</v>
      </c>
      <c r="B33" s="43" t="s">
        <v>215</v>
      </c>
      <c r="C33" s="45">
        <f t="shared" si="19"/>
        <v>2022</v>
      </c>
      <c r="E33" s="119">
        <v>3104377362.3271742</v>
      </c>
      <c r="F33" s="119">
        <v>646565327.07053053</v>
      </c>
      <c r="G33" s="119">
        <v>2213391186.8235545</v>
      </c>
      <c r="H33" s="119">
        <v>44692177.47228919</v>
      </c>
      <c r="I33" s="119">
        <v>116006216.14262143</v>
      </c>
      <c r="J33" s="119"/>
      <c r="K33" s="120"/>
      <c r="M33" s="120">
        <f t="shared" si="18"/>
        <v>6125032269.8361692</v>
      </c>
    </row>
    <row r="34" spans="1:13" ht="20.100000000000001" customHeight="1">
      <c r="A34" s="53">
        <v>22</v>
      </c>
      <c r="B34" s="43" t="s">
        <v>206</v>
      </c>
      <c r="C34" s="45">
        <f t="shared" si="19"/>
        <v>2022</v>
      </c>
      <c r="E34" s="119">
        <v>3105230327.8115211</v>
      </c>
      <c r="F34" s="119">
        <v>653110278.16789949</v>
      </c>
      <c r="G34" s="119">
        <v>2220845018.1997752</v>
      </c>
      <c r="H34" s="119">
        <v>44908110.870648183</v>
      </c>
      <c r="I34" s="119">
        <v>116234905.19242193</v>
      </c>
      <c r="J34" s="119"/>
      <c r="K34" s="120"/>
      <c r="M34" s="120">
        <f t="shared" si="18"/>
        <v>6140328640.2422657</v>
      </c>
    </row>
    <row r="35" spans="1:13" ht="20.100000000000001" customHeight="1">
      <c r="A35" s="53">
        <v>23</v>
      </c>
      <c r="B35" s="43" t="s">
        <v>207</v>
      </c>
      <c r="C35" s="45">
        <f t="shared" si="19"/>
        <v>2022</v>
      </c>
      <c r="E35" s="119">
        <v>3106937491.6036839</v>
      </c>
      <c r="F35" s="119">
        <v>653402933.80600762</v>
      </c>
      <c r="G35" s="119">
        <v>2228373986.994781</v>
      </c>
      <c r="H35" s="119">
        <v>45198837.841842569</v>
      </c>
      <c r="I35" s="119">
        <v>116472372.91707052</v>
      </c>
      <c r="J35" s="119"/>
      <c r="K35" s="120"/>
      <c r="M35" s="120">
        <f t="shared" si="18"/>
        <v>6150385623.1633854</v>
      </c>
    </row>
    <row r="36" spans="1:13" ht="20.100000000000001" customHeight="1">
      <c r="A36" s="53">
        <v>24</v>
      </c>
      <c r="B36" s="43" t="s">
        <v>208</v>
      </c>
      <c r="C36" s="45">
        <f t="shared" si="19"/>
        <v>2022</v>
      </c>
      <c r="E36" s="119">
        <v>3112248367.5712457</v>
      </c>
      <c r="F36" s="119">
        <v>655547753.36998153</v>
      </c>
      <c r="G36" s="119">
        <v>2235898820.1895971</v>
      </c>
      <c r="H36" s="119">
        <v>45552008.311525546</v>
      </c>
      <c r="I36" s="119">
        <v>116724608.63784863</v>
      </c>
      <c r="J36" s="119"/>
      <c r="K36" s="120"/>
      <c r="M36" s="120">
        <f t="shared" si="18"/>
        <v>6165971558.0801983</v>
      </c>
    </row>
    <row r="37" spans="1:13" ht="20.100000000000001" customHeight="1">
      <c r="A37" s="53">
        <v>25</v>
      </c>
      <c r="B37" s="43" t="s">
        <v>210</v>
      </c>
      <c r="C37" s="45">
        <f t="shared" si="19"/>
        <v>2022</v>
      </c>
      <c r="E37" s="119">
        <v>3122027741.4121642</v>
      </c>
      <c r="F37" s="119">
        <v>659885324.17132533</v>
      </c>
      <c r="G37" s="119">
        <v>2243555598.9257803</v>
      </c>
      <c r="H37" s="119">
        <v>54826098.281640008</v>
      </c>
      <c r="I37" s="119">
        <v>117918892.46747495</v>
      </c>
      <c r="J37" s="119"/>
      <c r="K37" s="120"/>
      <c r="M37" s="120">
        <f t="shared" si="18"/>
        <v>6198213655.2583847</v>
      </c>
    </row>
    <row r="38" spans="1:13" ht="20.100000000000001" customHeight="1">
      <c r="A38" s="53">
        <v>26</v>
      </c>
      <c r="B38" s="43" t="s">
        <v>209</v>
      </c>
      <c r="C38" s="45">
        <f t="shared" si="19"/>
        <v>2022</v>
      </c>
      <c r="E38" s="119">
        <v>3127871682.2849197</v>
      </c>
      <c r="F38" s="119">
        <v>664019846.53574908</v>
      </c>
      <c r="G38" s="119">
        <v>2250869382.5967607</v>
      </c>
      <c r="H38" s="119">
        <v>55091042.602326438</v>
      </c>
      <c r="I38" s="119">
        <v>118436298.49153881</v>
      </c>
      <c r="J38" s="119"/>
      <c r="K38" s="120"/>
      <c r="M38" s="120">
        <f t="shared" si="18"/>
        <v>6216288252.5112944</v>
      </c>
    </row>
    <row r="39" spans="1:13" ht="20.100000000000001" customHeight="1">
      <c r="A39" s="53">
        <v>27</v>
      </c>
      <c r="B39" s="43" t="s">
        <v>200</v>
      </c>
      <c r="C39" s="45">
        <f t="shared" si="19"/>
        <v>2022</v>
      </c>
      <c r="E39" s="119">
        <v>3153542181.6911364</v>
      </c>
      <c r="F39" s="119">
        <v>670788643.65993714</v>
      </c>
      <c r="G39" s="119">
        <v>2260000533.6642485</v>
      </c>
      <c r="H39" s="119">
        <v>57825995.685039915</v>
      </c>
      <c r="I39" s="119">
        <v>119923768.2165892</v>
      </c>
      <c r="J39" s="119"/>
      <c r="K39" s="120"/>
      <c r="M39" s="120">
        <f t="shared" si="18"/>
        <v>6262081122.9169502</v>
      </c>
    </row>
    <row r="40" spans="1:13" ht="20.100000000000001" customHeight="1">
      <c r="E40" s="121"/>
      <c r="F40" s="121"/>
      <c r="G40" s="121"/>
      <c r="H40" s="121"/>
      <c r="I40" s="121"/>
      <c r="J40" s="121"/>
      <c r="K40" s="120"/>
      <c r="M40" s="120"/>
    </row>
    <row r="41" spans="1:13" ht="20.100000000000001" customHeight="1">
      <c r="A41" s="53">
        <v>28</v>
      </c>
      <c r="B41" s="43" t="s">
        <v>224</v>
      </c>
      <c r="E41" s="121">
        <f>SUM(E27:E39)/13</f>
        <v>3099019060.772675</v>
      </c>
      <c r="F41" s="121">
        <f>SUM(F27:F39)/13</f>
        <v>645391067.67481208</v>
      </c>
      <c r="G41" s="121">
        <f t="shared" ref="G41:J41" si="20">SUM(G27:G39)/13</f>
        <v>2213574540.4613886</v>
      </c>
      <c r="H41" s="121">
        <f>SUM(H27:H39)/13</f>
        <v>46111927.207186289</v>
      </c>
      <c r="I41" s="121">
        <f>SUM(I27:I39)/13</f>
        <v>116221644.63041434</v>
      </c>
      <c r="J41" s="121">
        <f t="shared" si="20"/>
        <v>0</v>
      </c>
      <c r="K41" s="121"/>
      <c r="M41" s="121">
        <f>SUM(M27:M39)/13</f>
        <v>6120318240.7464752</v>
      </c>
    </row>
    <row r="44" spans="1:13" ht="20.100000000000001" customHeight="1">
      <c r="B44" s="65" t="s">
        <v>594</v>
      </c>
      <c r="C44" s="66"/>
      <c r="D44" s="66"/>
      <c r="E44" s="67"/>
      <c r="F44" s="67"/>
      <c r="G44" s="68"/>
      <c r="H44" s="507"/>
      <c r="I44" s="507"/>
      <c r="J44" s="516"/>
      <c r="L44" s="43"/>
    </row>
    <row r="45" spans="1:13" ht="20.100000000000001" customHeight="1">
      <c r="B45" s="69"/>
      <c r="C45" s="70"/>
      <c r="D45" s="70"/>
      <c r="E45" s="515" t="s">
        <v>216</v>
      </c>
      <c r="F45" s="71" t="s">
        <v>25</v>
      </c>
      <c r="G45" s="71" t="s">
        <v>217</v>
      </c>
      <c r="H45" s="515" t="s">
        <v>219</v>
      </c>
      <c r="I45" s="71" t="s">
        <v>218</v>
      </c>
      <c r="J45" s="505" t="s">
        <v>220</v>
      </c>
      <c r="L45" s="43"/>
    </row>
    <row r="46" spans="1:13" ht="20.100000000000001" customHeight="1">
      <c r="B46" s="69"/>
      <c r="C46" s="70"/>
      <c r="D46" s="70"/>
      <c r="E46" s="70"/>
      <c r="F46" s="71"/>
      <c r="G46" s="71"/>
      <c r="H46" s="132"/>
      <c r="I46" s="71"/>
      <c r="J46" s="72"/>
      <c r="L46" s="43"/>
    </row>
    <row r="47" spans="1:13" ht="20.100000000000001" customHeight="1">
      <c r="B47" s="69"/>
      <c r="C47" s="70"/>
      <c r="D47" s="73" t="s">
        <v>239</v>
      </c>
      <c r="E47" s="74" t="s">
        <v>635</v>
      </c>
      <c r="F47" s="74" t="s">
        <v>253</v>
      </c>
      <c r="G47" s="74" t="s">
        <v>615</v>
      </c>
      <c r="H47" s="74" t="s">
        <v>344</v>
      </c>
      <c r="I47" s="74" t="s">
        <v>575</v>
      </c>
      <c r="J47" s="668" t="s">
        <v>344</v>
      </c>
      <c r="L47" s="43"/>
    </row>
    <row r="48" spans="1:13" ht="20.100000000000001" customHeight="1">
      <c r="A48" s="53">
        <v>29</v>
      </c>
      <c r="B48" s="69" t="s">
        <v>200</v>
      </c>
      <c r="C48" s="369">
        <f>C8</f>
        <v>2021</v>
      </c>
      <c r="D48" s="70"/>
      <c r="E48" s="519">
        <v>-299334.40000000002</v>
      </c>
      <c r="F48" s="122">
        <v>974.42</v>
      </c>
      <c r="G48" s="122"/>
      <c r="H48" s="517"/>
      <c r="I48" s="122">
        <v>57744.79</v>
      </c>
      <c r="J48" s="518"/>
      <c r="L48" s="43"/>
    </row>
    <row r="49" spans="1:12" ht="20.100000000000001" customHeight="1">
      <c r="A49" s="53">
        <v>30</v>
      </c>
      <c r="B49" s="69" t="s">
        <v>201</v>
      </c>
      <c r="C49" s="75">
        <f>C48+1</f>
        <v>2022</v>
      </c>
      <c r="D49" s="70"/>
      <c r="E49" s="519">
        <v>-299334.40000000002</v>
      </c>
      <c r="F49" s="122">
        <v>974.42</v>
      </c>
      <c r="G49" s="122"/>
      <c r="H49" s="517"/>
      <c r="I49" s="122">
        <v>57744.79</v>
      </c>
      <c r="J49" s="518"/>
      <c r="L49" s="43"/>
    </row>
    <row r="50" spans="1:12" ht="20.100000000000001" customHeight="1">
      <c r="A50" s="53">
        <v>31</v>
      </c>
      <c r="B50" s="69" t="s">
        <v>202</v>
      </c>
      <c r="C50" s="75">
        <f>C49</f>
        <v>2022</v>
      </c>
      <c r="D50" s="70"/>
      <c r="E50" s="519">
        <v>-299334.40000000002</v>
      </c>
      <c r="F50" s="122">
        <v>974.42</v>
      </c>
      <c r="G50" s="122"/>
      <c r="H50" s="517"/>
      <c r="I50" s="122">
        <v>57744.79</v>
      </c>
      <c r="J50" s="518"/>
      <c r="L50" s="43"/>
    </row>
    <row r="51" spans="1:12" ht="20.100000000000001" customHeight="1">
      <c r="A51" s="53">
        <v>32</v>
      </c>
      <c r="B51" s="69" t="s">
        <v>203</v>
      </c>
      <c r="C51" s="75">
        <f t="shared" ref="C51:C60" si="21">C50</f>
        <v>2022</v>
      </c>
      <c r="D51" s="70"/>
      <c r="E51" s="519">
        <v>-299334.40000000002</v>
      </c>
      <c r="F51" s="122">
        <v>974.42</v>
      </c>
      <c r="G51" s="122"/>
      <c r="H51" s="517"/>
      <c r="I51" s="122">
        <v>57744.79</v>
      </c>
      <c r="J51" s="518"/>
      <c r="L51" s="43"/>
    </row>
    <row r="52" spans="1:12" ht="20.100000000000001" customHeight="1">
      <c r="A52" s="53">
        <v>33</v>
      </c>
      <c r="B52" s="69" t="s">
        <v>204</v>
      </c>
      <c r="C52" s="75">
        <f t="shared" si="21"/>
        <v>2022</v>
      </c>
      <c r="D52" s="70"/>
      <c r="E52" s="519">
        <v>-299334.40000000002</v>
      </c>
      <c r="F52" s="122">
        <v>974.42</v>
      </c>
      <c r="G52" s="122"/>
      <c r="H52" s="517"/>
      <c r="I52" s="122">
        <v>57744.79</v>
      </c>
      <c r="J52" s="518"/>
      <c r="L52" s="43"/>
    </row>
    <row r="53" spans="1:12" ht="20.100000000000001" customHeight="1">
      <c r="A53" s="53">
        <v>34</v>
      </c>
      <c r="B53" s="69" t="s">
        <v>205</v>
      </c>
      <c r="C53" s="75">
        <f t="shared" si="21"/>
        <v>2022</v>
      </c>
      <c r="D53" s="70"/>
      <c r="E53" s="519">
        <v>-299334.40000000002</v>
      </c>
      <c r="F53" s="122">
        <v>974.42</v>
      </c>
      <c r="G53" s="122"/>
      <c r="H53" s="517"/>
      <c r="I53" s="122">
        <v>57744.79</v>
      </c>
      <c r="J53" s="518"/>
      <c r="L53" s="43"/>
    </row>
    <row r="54" spans="1:12" ht="20.100000000000001" customHeight="1">
      <c r="A54" s="53">
        <v>35</v>
      </c>
      <c r="B54" s="69" t="s">
        <v>215</v>
      </c>
      <c r="C54" s="75">
        <f t="shared" si="21"/>
        <v>2022</v>
      </c>
      <c r="D54" s="70"/>
      <c r="E54" s="519">
        <v>-299334.40000000002</v>
      </c>
      <c r="F54" s="122">
        <v>974.42</v>
      </c>
      <c r="G54" s="122"/>
      <c r="H54" s="517"/>
      <c r="I54" s="122">
        <v>57744.79</v>
      </c>
      <c r="J54" s="518"/>
      <c r="L54" s="43"/>
    </row>
    <row r="55" spans="1:12" ht="20.100000000000001" customHeight="1">
      <c r="A55" s="53">
        <v>36</v>
      </c>
      <c r="B55" s="69" t="s">
        <v>206</v>
      </c>
      <c r="C55" s="75">
        <f t="shared" si="21"/>
        <v>2022</v>
      </c>
      <c r="D55" s="70"/>
      <c r="E55" s="519">
        <v>-299334.40000000002</v>
      </c>
      <c r="F55" s="122">
        <v>974.42</v>
      </c>
      <c r="G55" s="122"/>
      <c r="H55" s="517"/>
      <c r="I55" s="122">
        <v>57744.79</v>
      </c>
      <c r="J55" s="518"/>
      <c r="L55" s="43"/>
    </row>
    <row r="56" spans="1:12" ht="20.100000000000001" customHeight="1">
      <c r="A56" s="53">
        <v>37</v>
      </c>
      <c r="B56" s="69" t="s">
        <v>207</v>
      </c>
      <c r="C56" s="75">
        <f t="shared" si="21"/>
        <v>2022</v>
      </c>
      <c r="D56" s="70"/>
      <c r="E56" s="519">
        <v>-299334.40000000002</v>
      </c>
      <c r="F56" s="122">
        <v>974.42</v>
      </c>
      <c r="G56" s="122"/>
      <c r="H56" s="517"/>
      <c r="I56" s="122">
        <v>57744.79</v>
      </c>
      <c r="J56" s="518"/>
      <c r="L56" s="43"/>
    </row>
    <row r="57" spans="1:12" ht="20.100000000000001" customHeight="1">
      <c r="A57" s="53">
        <v>38</v>
      </c>
      <c r="B57" s="69" t="s">
        <v>208</v>
      </c>
      <c r="C57" s="75">
        <f t="shared" si="21"/>
        <v>2022</v>
      </c>
      <c r="D57" s="70"/>
      <c r="E57" s="519">
        <v>-299334.40000000002</v>
      </c>
      <c r="F57" s="122">
        <v>974.42</v>
      </c>
      <c r="G57" s="122"/>
      <c r="H57" s="517"/>
      <c r="I57" s="122">
        <v>57744.79</v>
      </c>
      <c r="J57" s="518"/>
      <c r="L57" s="43"/>
    </row>
    <row r="58" spans="1:12" ht="20.100000000000001" customHeight="1">
      <c r="A58" s="53">
        <v>39</v>
      </c>
      <c r="B58" s="69" t="s">
        <v>210</v>
      </c>
      <c r="C58" s="75">
        <f t="shared" si="21"/>
        <v>2022</v>
      </c>
      <c r="D58" s="70"/>
      <c r="E58" s="519">
        <v>-299334.40000000002</v>
      </c>
      <c r="F58" s="122">
        <v>974.42</v>
      </c>
      <c r="G58" s="122"/>
      <c r="H58" s="517"/>
      <c r="I58" s="122">
        <v>57744.79</v>
      </c>
      <c r="J58" s="518"/>
      <c r="L58" s="43"/>
    </row>
    <row r="59" spans="1:12" ht="20.100000000000001" customHeight="1">
      <c r="A59" s="53">
        <v>40</v>
      </c>
      <c r="B59" s="69" t="s">
        <v>209</v>
      </c>
      <c r="C59" s="75">
        <f t="shared" si="21"/>
        <v>2022</v>
      </c>
      <c r="D59" s="70"/>
      <c r="E59" s="519">
        <v>-299334.40000000002</v>
      </c>
      <c r="F59" s="122">
        <v>974.42</v>
      </c>
      <c r="G59" s="122"/>
      <c r="H59" s="517"/>
      <c r="I59" s="122">
        <v>57744.79</v>
      </c>
      <c r="J59" s="518"/>
      <c r="L59" s="43"/>
    </row>
    <row r="60" spans="1:12" ht="20.100000000000001" customHeight="1">
      <c r="A60" s="53">
        <v>41</v>
      </c>
      <c r="B60" s="69" t="s">
        <v>200</v>
      </c>
      <c r="C60" s="75">
        <f t="shared" si="21"/>
        <v>2022</v>
      </c>
      <c r="D60" s="70"/>
      <c r="E60" s="519">
        <v>-299334.40000000002</v>
      </c>
      <c r="F60" s="122">
        <v>974.42</v>
      </c>
      <c r="G60" s="122"/>
      <c r="H60" s="517"/>
      <c r="I60" s="122">
        <v>57744.79</v>
      </c>
      <c r="J60" s="518"/>
      <c r="L60" s="43"/>
    </row>
    <row r="61" spans="1:12" ht="20.100000000000001" customHeight="1">
      <c r="B61" s="69"/>
      <c r="C61" s="70"/>
      <c r="D61" s="70"/>
      <c r="E61" s="70"/>
      <c r="F61" s="123"/>
      <c r="G61" s="70"/>
      <c r="H61" s="43"/>
      <c r="I61" s="70"/>
      <c r="J61" s="72"/>
      <c r="L61" s="43"/>
    </row>
    <row r="62" spans="1:12" ht="20.100000000000001" customHeight="1">
      <c r="A62" s="53">
        <v>42</v>
      </c>
      <c r="B62" s="76" t="s">
        <v>224</v>
      </c>
      <c r="C62" s="77"/>
      <c r="D62" s="77"/>
      <c r="E62" s="124">
        <f t="shared" ref="E62" si="22">SUM(E48:E60)/13</f>
        <v>-299334.39999999997</v>
      </c>
      <c r="F62" s="124">
        <f>SUM(F48:F60)/13</f>
        <v>974.42</v>
      </c>
      <c r="G62" s="124">
        <f>SUM(G48:G60)/13</f>
        <v>0</v>
      </c>
      <c r="H62" s="124">
        <f>SUM(H48:H60)/13</f>
        <v>0</v>
      </c>
      <c r="I62" s="124">
        <f>SUM(I48:I60)/13</f>
        <v>57744.79</v>
      </c>
      <c r="J62" s="506">
        <f>SUM(J48:J60)/13</f>
        <v>0</v>
      </c>
      <c r="L62" s="43"/>
    </row>
    <row r="64" spans="1:12" ht="20.100000000000001" customHeight="1">
      <c r="A64" s="43" t="s">
        <v>226</v>
      </c>
    </row>
    <row r="65" spans="1:12" ht="20.100000000000001" customHeight="1">
      <c r="A65" s="49" t="s">
        <v>225</v>
      </c>
      <c r="B65" s="43" t="s">
        <v>1090</v>
      </c>
    </row>
    <row r="66" spans="1:12" ht="20.100000000000001" customHeight="1">
      <c r="A66" s="49" t="s">
        <v>239</v>
      </c>
      <c r="B66" s="43" t="s">
        <v>227</v>
      </c>
    </row>
    <row r="67" spans="1:12" ht="20.100000000000001" customHeight="1">
      <c r="A67" s="514" t="s">
        <v>297</v>
      </c>
      <c r="B67" s="43" t="s">
        <v>618</v>
      </c>
    </row>
    <row r="68" spans="1:12" s="132" customFormat="1" ht="20.100000000000001" customHeight="1">
      <c r="A68" s="58" t="s">
        <v>310</v>
      </c>
      <c r="B68" s="132" t="s">
        <v>873</v>
      </c>
      <c r="E68" s="58"/>
      <c r="F68" s="58"/>
      <c r="G68" s="58"/>
      <c r="H68" s="58"/>
      <c r="I68" s="58"/>
      <c r="J68" s="58"/>
      <c r="K68" s="58"/>
      <c r="L68" s="58"/>
    </row>
    <row r="69" spans="1:12" ht="20.100000000000001" customHeight="1">
      <c r="A69" s="1166" t="s">
        <v>311</v>
      </c>
      <c r="B69" s="43" t="s">
        <v>932</v>
      </c>
    </row>
    <row r="70" spans="1:12" ht="20.100000000000001" customHeight="1">
      <c r="A70" s="49" t="s">
        <v>725</v>
      </c>
      <c r="B70" s="43" t="s">
        <v>928</v>
      </c>
    </row>
  </sheetData>
  <customSheetViews>
    <customSheetView guid="{B991F324-919F-4749-8E3C-A09B2FA7BB10}" scale="60" showPageBreaks="1" printArea="1" view="pageBreakPreview" topLeftCell="A22">
      <selection activeCell="C9" sqref="C9"/>
      <colBreaks count="1" manualBreakCount="1">
        <brk id="13" max="1048575" man="1"/>
      </colBreaks>
      <pageMargins left="0.7" right="0.7" top="0.75" bottom="0.75" header="0.3" footer="0.3"/>
      <pageSetup scale="44" fitToWidth="0" fitToHeight="0" orientation="portrait" r:id="rId1"/>
      <headerFooter alignWithMargins="0"/>
    </customSheetView>
    <customSheetView guid="{901B528B-D65D-48CA-A638-FD9B4E5BB6D4}" scale="60" showPageBreaks="1" printArea="1" view="pageBreakPreview" topLeftCell="A22">
      <selection activeCell="C9" sqref="C9"/>
      <colBreaks count="1" manualBreakCount="1">
        <brk id="13" max="1048575" man="1"/>
      </colBreaks>
      <pageMargins left="0.7" right="0.7" top="0.75" bottom="0.75" header="0.3" footer="0.3"/>
      <pageSetup scale="44" fitToWidth="0" fitToHeight="0" orientation="portrait" r:id="rId2"/>
      <headerFooter alignWithMargins="0"/>
    </customSheetView>
    <customSheetView guid="{E1861F40-EBD5-44AE-868B-FDE0ED504D72}" scale="85">
      <selection activeCell="E9" sqref="E9"/>
      <pageMargins left="0.7" right="0.7" top="0.75" bottom="0.75" header="0.3" footer="0.3"/>
      <pageSetup scale="55" orientation="portrait" r:id="rId3"/>
    </customSheetView>
    <customSheetView guid="{0DE222E8-ADD6-4F4B-9601-960D8109381F}" scale="60" showPageBreaks="1" printArea="1" view="pageBreakPreview">
      <colBreaks count="1" manualBreakCount="1">
        <brk id="13" max="1048575" man="1"/>
      </colBreaks>
      <pageMargins left="0.7" right="0.7" top="0.75" bottom="0.75" header="0.3" footer="0.3"/>
      <pageSetup scale="44" fitToWidth="0" fitToHeight="0" orientation="portrait" r:id="rId4"/>
      <headerFooter alignWithMargins="0"/>
    </customSheetView>
  </customSheetViews>
  <pageMargins left="0.7" right="0.7" top="0.75" bottom="0.75" header="0.3" footer="0.3"/>
  <pageSetup scale="44" fitToWidth="0" fitToHeight="0" orientation="portrait" r:id="rId5"/>
  <headerFooter alignWithMargins="0"/>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B0E6-1736-47A3-B69D-EE4415B67312}">
  <dimension ref="A1:N71"/>
  <sheetViews>
    <sheetView view="pageBreakPreview" zoomScale="60" zoomScaleNormal="100" workbookViewId="0">
      <selection activeCell="B35" sqref="B35"/>
    </sheetView>
  </sheetViews>
  <sheetFormatPr defaultColWidth="8.90625" defaultRowHeight="15.6"/>
  <cols>
    <col min="1" max="1" width="5.81640625" style="1168" bestFit="1" customWidth="1"/>
    <col min="2" max="2" width="10.81640625" style="43" customWidth="1"/>
    <col min="3" max="3" width="13" style="43" customWidth="1"/>
    <col min="4" max="4" width="2.81640625" style="43" customWidth="1"/>
    <col min="5" max="5" width="17.08984375" style="1168" bestFit="1" customWidth="1"/>
    <col min="6" max="6" width="24.1796875" style="1168" customWidth="1"/>
    <col min="7" max="7" width="18" style="1168" customWidth="1"/>
    <col min="8" max="8" width="17.08984375" style="1168" customWidth="1"/>
    <col min="9" max="9" width="14.6328125" style="1168" customWidth="1"/>
    <col min="10" max="10" width="16.6328125" style="1168" customWidth="1"/>
    <col min="11" max="11" width="14.6328125" style="1168" customWidth="1"/>
    <col min="12" max="12" width="2.1796875" style="1168" customWidth="1"/>
    <col min="13" max="13" width="22" style="43" customWidth="1"/>
    <col min="14" max="14" width="19.81640625" style="43" customWidth="1"/>
    <col min="15" max="15" width="17.81640625" style="43" bestFit="1" customWidth="1"/>
    <col min="16" max="16" width="13.90625" style="43" bestFit="1" customWidth="1"/>
    <col min="17" max="16384" width="8.90625" style="43"/>
  </cols>
  <sheetData>
    <row r="1" spans="1:14" ht="20.100000000000001" customHeight="1">
      <c r="E1" s="1174"/>
      <c r="F1" s="1174"/>
      <c r="G1" s="1174"/>
      <c r="M1" s="4" t="str">
        <f>'Attachment H-11A '!K1&amp;""&amp;", Attachment 4"</f>
        <v>Attachment H -11A, Attachment 4</v>
      </c>
    </row>
    <row r="2" spans="1:14" ht="20.100000000000001" customHeight="1">
      <c r="M2" s="4" t="s">
        <v>188</v>
      </c>
    </row>
    <row r="3" spans="1:14" ht="20.100000000000001" customHeight="1">
      <c r="H3" s="1169" t="s">
        <v>557</v>
      </c>
      <c r="M3" s="4" t="str">
        <f>'Attachment H-11A '!K4</f>
        <v>For the 12 months ended 12/31/2022</v>
      </c>
    </row>
    <row r="4" spans="1:14" ht="20.100000000000001" customHeight="1">
      <c r="A4" s="52"/>
    </row>
    <row r="5" spans="1:14" ht="20.100000000000001" customHeight="1">
      <c r="E5" s="1175" t="s">
        <v>508</v>
      </c>
      <c r="F5" s="1175" t="s">
        <v>509</v>
      </c>
      <c r="G5" s="1175" t="s">
        <v>510</v>
      </c>
      <c r="H5" s="1175" t="s">
        <v>511</v>
      </c>
      <c r="I5" s="1175" t="s">
        <v>512</v>
      </c>
      <c r="J5" s="1175" t="s">
        <v>513</v>
      </c>
      <c r="K5" s="1175" t="s">
        <v>514</v>
      </c>
      <c r="L5" s="1176"/>
      <c r="M5" s="1168" t="s">
        <v>886</v>
      </c>
    </row>
    <row r="6" spans="1:14" ht="20.100000000000001" customHeight="1">
      <c r="E6" s="1169" t="s">
        <v>216</v>
      </c>
      <c r="F6" s="59" t="s">
        <v>876</v>
      </c>
      <c r="G6" s="59" t="s">
        <v>926</v>
      </c>
      <c r="H6" s="59" t="s">
        <v>927</v>
      </c>
      <c r="I6" s="1169" t="s">
        <v>219</v>
      </c>
      <c r="J6" s="1169" t="s">
        <v>218</v>
      </c>
      <c r="K6" s="1169" t="s">
        <v>220</v>
      </c>
      <c r="L6" s="43"/>
      <c r="M6" s="1169" t="s">
        <v>10</v>
      </c>
    </row>
    <row r="7" spans="1:14" s="132" customFormat="1" ht="20.100000000000001" customHeight="1">
      <c r="A7" s="58"/>
      <c r="D7" s="537"/>
      <c r="E7" s="283"/>
      <c r="F7" s="283"/>
      <c r="G7" s="283"/>
      <c r="H7" s="283"/>
      <c r="I7" s="283"/>
      <c r="J7" s="283"/>
      <c r="K7" s="543"/>
    </row>
    <row r="8" spans="1:14" ht="20.100000000000001" customHeight="1">
      <c r="A8" s="53">
        <v>1</v>
      </c>
      <c r="B8" s="43" t="s">
        <v>200</v>
      </c>
      <c r="C8" s="46">
        <v>2021</v>
      </c>
      <c r="E8" s="126">
        <f t="shared" ref="E8:E20" si="0">E28-E49</f>
        <v>1340167130.7491813</v>
      </c>
      <c r="F8" s="119">
        <v>452981.74511875003</v>
      </c>
      <c r="G8" s="126">
        <f>F28-F49-F8</f>
        <v>212997233.82470801</v>
      </c>
      <c r="H8" s="126">
        <f>G28-G49+F8</f>
        <v>663456738.6379329</v>
      </c>
      <c r="I8" s="126">
        <f t="shared" ref="I8:K20" si="1">H28-H49</f>
        <v>25841526.752217181</v>
      </c>
      <c r="J8" s="126">
        <f t="shared" si="1"/>
        <v>56392133.293098226</v>
      </c>
      <c r="K8" s="126">
        <f t="shared" si="1"/>
        <v>0</v>
      </c>
      <c r="L8" s="544"/>
      <c r="M8" s="544">
        <f>SUM(E8,G8,H8,I8,J8,K8)</f>
        <v>2298854763.2571378</v>
      </c>
      <c r="N8" s="139"/>
    </row>
    <row r="9" spans="1:14" ht="20.100000000000001" customHeight="1">
      <c r="A9" s="53">
        <v>2</v>
      </c>
      <c r="B9" s="43" t="s">
        <v>201</v>
      </c>
      <c r="C9" s="45">
        <f>C8+1</f>
        <v>2022</v>
      </c>
      <c r="E9" s="126">
        <f t="shared" si="0"/>
        <v>1345212740.0911288</v>
      </c>
      <c r="F9" s="119">
        <v>467649.34814250004</v>
      </c>
      <c r="G9" s="126">
        <f t="shared" ref="G9:G20" si="2">F29-F50-F9</f>
        <v>213553887.84569424</v>
      </c>
      <c r="H9" s="126">
        <f t="shared" ref="H9:H20" si="3">G29-G50+F9</f>
        <v>666343316.80183482</v>
      </c>
      <c r="I9" s="126">
        <f t="shared" si="1"/>
        <v>26153755.281187735</v>
      </c>
      <c r="J9" s="126">
        <f t="shared" si="1"/>
        <v>56894442.547921695</v>
      </c>
      <c r="K9" s="126">
        <f t="shared" si="1"/>
        <v>0</v>
      </c>
      <c r="L9" s="544"/>
      <c r="M9" s="544">
        <f t="shared" ref="M9:M20" si="4">SUM(E9,G9,H9,I9,J9,K9)</f>
        <v>2308158142.5677671</v>
      </c>
      <c r="N9" s="139"/>
    </row>
    <row r="10" spans="1:14" ht="20.100000000000001" customHeight="1">
      <c r="A10" s="53">
        <v>3</v>
      </c>
      <c r="B10" s="43" t="s">
        <v>202</v>
      </c>
      <c r="C10" s="45">
        <f>C9</f>
        <v>2022</v>
      </c>
      <c r="E10" s="126">
        <f t="shared" si="0"/>
        <v>1350285946.5108571</v>
      </c>
      <c r="F10" s="119">
        <v>482316.95116625004</v>
      </c>
      <c r="G10" s="126">
        <f t="shared" si="2"/>
        <v>214127790.15361756</v>
      </c>
      <c r="H10" s="126">
        <f t="shared" si="3"/>
        <v>669242617.84432662</v>
      </c>
      <c r="I10" s="126">
        <f t="shared" si="1"/>
        <v>26468115.111410953</v>
      </c>
      <c r="J10" s="126">
        <f t="shared" si="1"/>
        <v>57400393.851730824</v>
      </c>
      <c r="K10" s="126">
        <f t="shared" si="1"/>
        <v>0</v>
      </c>
      <c r="L10" s="544"/>
      <c r="M10" s="544">
        <f t="shared" si="4"/>
        <v>2317524863.4719434</v>
      </c>
      <c r="N10" s="139"/>
    </row>
    <row r="11" spans="1:14" ht="20.100000000000001" customHeight="1">
      <c r="A11" s="53">
        <v>4</v>
      </c>
      <c r="B11" s="43" t="s">
        <v>203</v>
      </c>
      <c r="C11" s="45">
        <f t="shared" ref="C11:C20" si="5">C10</f>
        <v>2022</v>
      </c>
      <c r="E11" s="126">
        <f t="shared" si="0"/>
        <v>1354742425.0741031</v>
      </c>
      <c r="F11" s="119">
        <v>496984.55419000005</v>
      </c>
      <c r="G11" s="126">
        <f t="shared" si="2"/>
        <v>214453347.23479041</v>
      </c>
      <c r="H11" s="126">
        <f t="shared" si="3"/>
        <v>672077195.07330358</v>
      </c>
      <c r="I11" s="126">
        <f t="shared" si="1"/>
        <v>26785775.860005908</v>
      </c>
      <c r="J11" s="126">
        <f t="shared" si="1"/>
        <v>57942907.717232704</v>
      </c>
      <c r="K11" s="126">
        <f t="shared" si="1"/>
        <v>0</v>
      </c>
      <c r="L11" s="544"/>
      <c r="M11" s="544">
        <f t="shared" si="4"/>
        <v>2326001650.9594355</v>
      </c>
    </row>
    <row r="12" spans="1:14" ht="20.100000000000001" customHeight="1">
      <c r="A12" s="53">
        <v>5</v>
      </c>
      <c r="B12" s="43" t="s">
        <v>204</v>
      </c>
      <c r="C12" s="45">
        <f t="shared" si="5"/>
        <v>2022</v>
      </c>
      <c r="E12" s="126">
        <f t="shared" si="0"/>
        <v>1359566737.7357843</v>
      </c>
      <c r="F12" s="119">
        <v>511652.15721375006</v>
      </c>
      <c r="G12" s="126">
        <f t="shared" si="2"/>
        <v>214746239.83622357</v>
      </c>
      <c r="H12" s="126">
        <f t="shared" si="3"/>
        <v>674863532.06057906</v>
      </c>
      <c r="I12" s="126">
        <f t="shared" si="1"/>
        <v>27079951.999720249</v>
      </c>
      <c r="J12" s="126">
        <f t="shared" si="1"/>
        <v>58483773.340931974</v>
      </c>
      <c r="K12" s="126">
        <f t="shared" si="1"/>
        <v>0</v>
      </c>
      <c r="L12" s="544"/>
      <c r="M12" s="544">
        <f t="shared" si="4"/>
        <v>2334740234.9732389</v>
      </c>
    </row>
    <row r="13" spans="1:14" ht="20.100000000000001" customHeight="1">
      <c r="A13" s="53">
        <v>6</v>
      </c>
      <c r="B13" s="43" t="s">
        <v>205</v>
      </c>
      <c r="C13" s="45">
        <f t="shared" si="5"/>
        <v>2022</v>
      </c>
      <c r="E13" s="126">
        <f t="shared" si="0"/>
        <v>1361761843.9055946</v>
      </c>
      <c r="F13" s="119">
        <v>526319.76023750007</v>
      </c>
      <c r="G13" s="126">
        <f t="shared" si="2"/>
        <v>213707242.66738009</v>
      </c>
      <c r="H13" s="126">
        <f t="shared" si="3"/>
        <v>677666281.36936057</v>
      </c>
      <c r="I13" s="126">
        <f t="shared" si="1"/>
        <v>27388472.888254281</v>
      </c>
      <c r="J13" s="126">
        <f t="shared" si="1"/>
        <v>59021836.197274134</v>
      </c>
      <c r="K13" s="126">
        <f t="shared" si="1"/>
        <v>0</v>
      </c>
      <c r="L13" s="544"/>
      <c r="M13" s="544">
        <f>SUM(E13,G13,H13,I13,J13,K13)</f>
        <v>2339545677.0278635</v>
      </c>
    </row>
    <row r="14" spans="1:14" ht="20.100000000000001" customHeight="1">
      <c r="A14" s="53">
        <v>7</v>
      </c>
      <c r="B14" s="43" t="s">
        <v>215</v>
      </c>
      <c r="C14" s="45">
        <f t="shared" si="5"/>
        <v>2022</v>
      </c>
      <c r="E14" s="126">
        <f t="shared" si="0"/>
        <v>1366379579.8305428</v>
      </c>
      <c r="F14" s="119">
        <v>540987.36326125008</v>
      </c>
      <c r="G14" s="126">
        <f t="shared" si="2"/>
        <v>213770395.23359793</v>
      </c>
      <c r="H14" s="126">
        <f t="shared" si="3"/>
        <v>680424426.56824136</v>
      </c>
      <c r="I14" s="126">
        <f t="shared" si="1"/>
        <v>27741266.432257846</v>
      </c>
      <c r="J14" s="126">
        <f t="shared" si="1"/>
        <v>59562837.528747037</v>
      </c>
      <c r="K14" s="126">
        <f t="shared" si="1"/>
        <v>0</v>
      </c>
      <c r="L14" s="544"/>
      <c r="M14" s="544">
        <f t="shared" si="4"/>
        <v>2347878505.5933871</v>
      </c>
    </row>
    <row r="15" spans="1:14" ht="20.100000000000001" customHeight="1">
      <c r="A15" s="53">
        <v>8</v>
      </c>
      <c r="B15" s="43" t="s">
        <v>206</v>
      </c>
      <c r="C15" s="45">
        <f t="shared" si="5"/>
        <v>2022</v>
      </c>
      <c r="E15" s="126">
        <f t="shared" si="0"/>
        <v>1371426487.4027243</v>
      </c>
      <c r="F15" s="119">
        <v>555654.96628500009</v>
      </c>
      <c r="G15" s="126">
        <f t="shared" si="2"/>
        <v>213652504.20208663</v>
      </c>
      <c r="H15" s="126">
        <f>G35-G56+F15</f>
        <v>683241047.40295994</v>
      </c>
      <c r="I15" s="126">
        <f t="shared" si="1"/>
        <v>28098467.058566075</v>
      </c>
      <c r="J15" s="126">
        <f t="shared" si="1"/>
        <v>60111783.054371454</v>
      </c>
      <c r="K15" s="126">
        <f t="shared" si="1"/>
        <v>0</v>
      </c>
      <c r="L15" s="544"/>
      <c r="M15" s="544">
        <f t="shared" si="4"/>
        <v>2356530289.1207085</v>
      </c>
    </row>
    <row r="16" spans="1:14" ht="20.100000000000001" customHeight="1">
      <c r="A16" s="53">
        <v>9</v>
      </c>
      <c r="B16" s="43" t="s">
        <v>207</v>
      </c>
      <c r="C16" s="45">
        <f t="shared" si="5"/>
        <v>2022</v>
      </c>
      <c r="E16" s="126">
        <f t="shared" si="0"/>
        <v>1376427447.0711377</v>
      </c>
      <c r="F16" s="119">
        <v>570322.5693087501</v>
      </c>
      <c r="G16" s="126">
        <f t="shared" si="2"/>
        <v>214225459.98901197</v>
      </c>
      <c r="H16" s="126">
        <f t="shared" si="3"/>
        <v>686073985.32807648</v>
      </c>
      <c r="I16" s="126">
        <f t="shared" si="1"/>
        <v>28461519.734548628</v>
      </c>
      <c r="J16" s="126">
        <f t="shared" si="1"/>
        <v>60660917.018308446</v>
      </c>
      <c r="K16" s="126">
        <f t="shared" si="1"/>
        <v>0</v>
      </c>
      <c r="L16" s="544"/>
      <c r="M16" s="544">
        <f t="shared" si="4"/>
        <v>2365849329.1410832</v>
      </c>
    </row>
    <row r="17" spans="1:14" ht="20.100000000000001" customHeight="1">
      <c r="A17" s="53">
        <v>10</v>
      </c>
      <c r="B17" s="43" t="s">
        <v>208</v>
      </c>
      <c r="C17" s="45">
        <f t="shared" si="5"/>
        <v>2022</v>
      </c>
      <c r="E17" s="126">
        <f t="shared" si="0"/>
        <v>1380839772.6172895</v>
      </c>
      <c r="F17" s="119">
        <v>584990.17233250011</v>
      </c>
      <c r="G17" s="126">
        <f t="shared" si="2"/>
        <v>214545465.59881082</v>
      </c>
      <c r="H17" s="126">
        <f t="shared" si="3"/>
        <v>688910774.61880326</v>
      </c>
      <c r="I17" s="126">
        <f t="shared" si="1"/>
        <v>28828507.989354648</v>
      </c>
      <c r="J17" s="126">
        <f t="shared" si="1"/>
        <v>61209641.44086916</v>
      </c>
      <c r="K17" s="126">
        <f t="shared" si="1"/>
        <v>0</v>
      </c>
      <c r="L17" s="544"/>
      <c r="M17" s="544">
        <f t="shared" si="4"/>
        <v>2374334162.2651277</v>
      </c>
    </row>
    <row r="18" spans="1:14" ht="20.100000000000001" customHeight="1">
      <c r="A18" s="53">
        <v>11</v>
      </c>
      <c r="B18" s="43" t="s">
        <v>210</v>
      </c>
      <c r="C18" s="45">
        <f t="shared" si="5"/>
        <v>2022</v>
      </c>
      <c r="E18" s="126">
        <f t="shared" si="0"/>
        <v>1384914209.9554567</v>
      </c>
      <c r="F18" s="119">
        <v>599657.77535625012</v>
      </c>
      <c r="G18" s="126">
        <f t="shared" si="2"/>
        <v>214633166.48468533</v>
      </c>
      <c r="H18" s="126">
        <f t="shared" si="3"/>
        <v>691826094.92816949</v>
      </c>
      <c r="I18" s="126">
        <f t="shared" si="1"/>
        <v>29238050.106123466</v>
      </c>
      <c r="J18" s="126">
        <f t="shared" si="1"/>
        <v>61657668.071252003</v>
      </c>
      <c r="K18" s="126">
        <f t="shared" si="1"/>
        <v>0</v>
      </c>
      <c r="L18" s="544"/>
      <c r="M18" s="544">
        <f t="shared" si="4"/>
        <v>2382269189.5456872</v>
      </c>
    </row>
    <row r="19" spans="1:14" ht="20.100000000000001" customHeight="1">
      <c r="A19" s="53">
        <v>12</v>
      </c>
      <c r="B19" s="43" t="s">
        <v>209</v>
      </c>
      <c r="C19" s="45">
        <f t="shared" si="5"/>
        <v>2022</v>
      </c>
      <c r="E19" s="126">
        <f t="shared" si="0"/>
        <v>1389451254.2968743</v>
      </c>
      <c r="F19" s="119">
        <v>614325.37838000013</v>
      </c>
      <c r="G19" s="126">
        <f t="shared" si="2"/>
        <v>214761172.007705</v>
      </c>
      <c r="H19" s="126">
        <f t="shared" si="3"/>
        <v>694801008.46879518</v>
      </c>
      <c r="I19" s="126">
        <f t="shared" si="1"/>
        <v>29702718.468763854</v>
      </c>
      <c r="J19" s="126">
        <f t="shared" si="1"/>
        <v>62185637.721483096</v>
      </c>
      <c r="K19" s="126">
        <f t="shared" si="1"/>
        <v>0</v>
      </c>
      <c r="L19" s="544"/>
      <c r="M19" s="544">
        <f>SUM(E19,G19,H19,I19,J19,K19)</f>
        <v>2390901790.9636216</v>
      </c>
    </row>
    <row r="20" spans="1:14" ht="20.100000000000001" customHeight="1">
      <c r="A20" s="53">
        <v>13</v>
      </c>
      <c r="B20" s="43" t="s">
        <v>200</v>
      </c>
      <c r="C20" s="45">
        <f t="shared" si="5"/>
        <v>2022</v>
      </c>
      <c r="E20" s="126">
        <f t="shared" si="0"/>
        <v>1391897981.2285912</v>
      </c>
      <c r="F20" s="119">
        <v>628992.98140375013</v>
      </c>
      <c r="G20" s="126">
        <f t="shared" si="2"/>
        <v>214602435.34751698</v>
      </c>
      <c r="H20" s="126">
        <f t="shared" si="3"/>
        <v>697662924.84592962</v>
      </c>
      <c r="I20" s="126">
        <f t="shared" si="1"/>
        <v>30043957.936116058</v>
      </c>
      <c r="J20" s="126">
        <f t="shared" si="1"/>
        <v>62609550.089245677</v>
      </c>
      <c r="K20" s="126">
        <f t="shared" si="1"/>
        <v>0</v>
      </c>
      <c r="L20" s="544"/>
      <c r="M20" s="544">
        <f t="shared" si="4"/>
        <v>2396816849.4474001</v>
      </c>
    </row>
    <row r="21" spans="1:14" s="132" customFormat="1" ht="20.100000000000001" customHeight="1">
      <c r="A21" s="58"/>
      <c r="E21" s="126"/>
      <c r="F21" s="126"/>
      <c r="G21" s="126"/>
      <c r="H21" s="126"/>
      <c r="I21" s="126"/>
      <c r="J21" s="126"/>
      <c r="K21" s="126"/>
      <c r="L21" s="544"/>
      <c r="M21" s="544"/>
    </row>
    <row r="22" spans="1:14" s="54" customFormat="1" ht="20.100000000000001" customHeight="1">
      <c r="A22" s="1177">
        <v>14</v>
      </c>
      <c r="B22" s="54" t="s">
        <v>224</v>
      </c>
      <c r="D22" s="61" t="s">
        <v>593</v>
      </c>
      <c r="E22" s="539">
        <f>SUM(E8:E20)/13</f>
        <v>1367159504.3437896</v>
      </c>
      <c r="F22" s="539">
        <f>SUM(F8:F20)/13</f>
        <v>540987.36326124996</v>
      </c>
      <c r="G22" s="539">
        <f t="shared" ref="G22:K22" si="6">SUM(G8:G20)/13</f>
        <v>214136641.57121766</v>
      </c>
      <c r="H22" s="539">
        <f>SUM(H8:H20)/13</f>
        <v>680506918.76525486</v>
      </c>
      <c r="I22" s="539">
        <f>SUM(I8:I20)/13</f>
        <v>27833237.355271295</v>
      </c>
      <c r="J22" s="539">
        <f>SUM(J8:J20)/13</f>
        <v>59548732.451728188</v>
      </c>
      <c r="K22" s="539">
        <f t="shared" si="6"/>
        <v>0</v>
      </c>
      <c r="L22" s="539"/>
      <c r="M22" s="539">
        <f t="shared" ref="M22" si="7">SUM(M8:M20)/13</f>
        <v>2349185034.4872618</v>
      </c>
    </row>
    <row r="23" spans="1:14" s="54" customFormat="1" ht="20.100000000000001" customHeight="1">
      <c r="A23" s="1177"/>
      <c r="D23" s="61"/>
      <c r="E23" s="539"/>
      <c r="F23" s="539"/>
      <c r="G23" s="539"/>
      <c r="H23" s="539"/>
      <c r="I23" s="539"/>
      <c r="J23" s="539"/>
      <c r="K23" s="539"/>
      <c r="L23" s="539"/>
      <c r="M23" s="539"/>
    </row>
    <row r="24" spans="1:14" ht="20.100000000000001" customHeight="1">
      <c r="A24" s="52"/>
    </row>
    <row r="25" spans="1:14" ht="20.100000000000001" customHeight="1">
      <c r="E25" s="1169" t="s">
        <v>216</v>
      </c>
      <c r="F25" s="1169" t="s">
        <v>25</v>
      </c>
      <c r="G25" s="1169" t="s">
        <v>217</v>
      </c>
      <c r="H25" s="1169" t="s">
        <v>219</v>
      </c>
      <c r="I25" s="1169" t="s">
        <v>218</v>
      </c>
      <c r="J25" s="1169" t="s">
        <v>220</v>
      </c>
      <c r="K25" s="43"/>
      <c r="M25" s="1169" t="s">
        <v>10</v>
      </c>
    </row>
    <row r="26" spans="1:14" ht="20.100000000000001" customHeight="1">
      <c r="E26" s="1169"/>
      <c r="F26" s="1169"/>
      <c r="G26" s="1169"/>
      <c r="H26" s="1169"/>
      <c r="I26" s="1169"/>
      <c r="J26" s="1169"/>
      <c r="K26" s="43"/>
    </row>
    <row r="27" spans="1:14" ht="20.100000000000001" customHeight="1">
      <c r="D27" s="47" t="s">
        <v>239</v>
      </c>
      <c r="E27" s="50" t="s">
        <v>41</v>
      </c>
      <c r="F27" s="50" t="s">
        <v>228</v>
      </c>
      <c r="G27" s="50" t="s">
        <v>42</v>
      </c>
      <c r="H27" s="50" t="s">
        <v>229</v>
      </c>
      <c r="I27" s="50" t="s">
        <v>230</v>
      </c>
      <c r="J27" s="53">
        <v>356.1</v>
      </c>
      <c r="K27" s="43"/>
    </row>
    <row r="28" spans="1:14" ht="20.100000000000001" customHeight="1">
      <c r="A28" s="53">
        <v>15</v>
      </c>
      <c r="B28" s="43" t="s">
        <v>200</v>
      </c>
      <c r="C28" s="45">
        <f>C8</f>
        <v>2021</v>
      </c>
      <c r="E28" s="119">
        <v>1342262227.6777351</v>
      </c>
      <c r="F28" s="119">
        <v>213450798.84002596</v>
      </c>
      <c r="G28" s="119">
        <v>663003756.89281416</v>
      </c>
      <c r="H28" s="119">
        <v>25841526.752217181</v>
      </c>
      <c r="I28" s="119">
        <v>56411670.146424159</v>
      </c>
      <c r="J28" s="119"/>
      <c r="K28" s="120"/>
      <c r="M28" s="120">
        <f t="shared" ref="M28:M40" si="8">SUM(E28:J28)</f>
        <v>2300969980.3092165</v>
      </c>
    </row>
    <row r="29" spans="1:14" ht="20.100000000000001" customHeight="1">
      <c r="A29" s="53">
        <v>16</v>
      </c>
      <c r="B29" s="43" t="s">
        <v>201</v>
      </c>
      <c r="C29" s="45">
        <f>C28+1</f>
        <v>2022</v>
      </c>
      <c r="E29" s="119">
        <v>1347296932.3253934</v>
      </c>
      <c r="F29" s="119">
        <v>214022122.05407578</v>
      </c>
      <c r="G29" s="119">
        <v>665875667.45369232</v>
      </c>
      <c r="H29" s="119">
        <v>26153755.281187735</v>
      </c>
      <c r="I29" s="119">
        <v>56914090.939912811</v>
      </c>
      <c r="J29" s="119"/>
      <c r="K29" s="120"/>
      <c r="M29" s="120">
        <f t="shared" si="8"/>
        <v>2310262568.0542617</v>
      </c>
      <c r="N29" s="126"/>
    </row>
    <row r="30" spans="1:14" ht="20.100000000000001" customHeight="1">
      <c r="A30" s="53">
        <v>17</v>
      </c>
      <c r="B30" s="43" t="s">
        <v>202</v>
      </c>
      <c r="C30" s="45">
        <f>C29</f>
        <v>2022</v>
      </c>
      <c r="E30" s="119">
        <v>1352359234.0508323</v>
      </c>
      <c r="F30" s="119">
        <v>214610693.55506268</v>
      </c>
      <c r="G30" s="119">
        <v>668760300.89316034</v>
      </c>
      <c r="H30" s="119">
        <v>26468115.111410953</v>
      </c>
      <c r="I30" s="119">
        <v>57420153.782387123</v>
      </c>
      <c r="J30" s="119"/>
      <c r="K30" s="120"/>
      <c r="M30" s="120">
        <f t="shared" si="8"/>
        <v>2319618497.3928537</v>
      </c>
      <c r="N30" s="126"/>
    </row>
    <row r="31" spans="1:14" ht="20.100000000000001" customHeight="1">
      <c r="A31" s="53">
        <v>18</v>
      </c>
      <c r="B31" s="43" t="s">
        <v>203</v>
      </c>
      <c r="C31" s="45">
        <f t="shared" ref="C31:C40" si="9">C30</f>
        <v>2022</v>
      </c>
      <c r="E31" s="119">
        <v>1356804807.9197891</v>
      </c>
      <c r="F31" s="119">
        <v>214950919.82929915</v>
      </c>
      <c r="G31" s="119">
        <v>671580210.51911354</v>
      </c>
      <c r="H31" s="119">
        <v>26785775.860005908</v>
      </c>
      <c r="I31" s="119">
        <v>57962779.186554193</v>
      </c>
      <c r="J31" s="119"/>
      <c r="K31" s="120"/>
      <c r="M31" s="120">
        <f>SUM(E31:J31)</f>
        <v>2328084493.3147621</v>
      </c>
      <c r="N31" s="126"/>
    </row>
    <row r="32" spans="1:14" ht="20.100000000000001" customHeight="1">
      <c r="A32" s="53">
        <v>19</v>
      </c>
      <c r="B32" s="43" t="s">
        <v>204</v>
      </c>
      <c r="C32" s="45">
        <f t="shared" si="9"/>
        <v>2022</v>
      </c>
      <c r="E32" s="119">
        <v>1361618215.887181</v>
      </c>
      <c r="F32" s="119">
        <v>215258481.6237959</v>
      </c>
      <c r="G32" s="119">
        <v>674351879.90336525</v>
      </c>
      <c r="H32" s="119">
        <v>27079951.999720249</v>
      </c>
      <c r="I32" s="119">
        <v>58503756.348918647</v>
      </c>
      <c r="J32" s="119"/>
      <c r="K32" s="120"/>
      <c r="M32" s="120">
        <f t="shared" si="8"/>
        <v>2336812285.7629809</v>
      </c>
      <c r="N32" s="126"/>
    </row>
    <row r="33" spans="1:14" ht="20.100000000000001" customHeight="1">
      <c r="A33" s="53">
        <v>20</v>
      </c>
      <c r="B33" s="43" t="s">
        <v>205</v>
      </c>
      <c r="C33" s="45">
        <f t="shared" si="9"/>
        <v>2022</v>
      </c>
      <c r="E33" s="119">
        <v>1363802417.3627021</v>
      </c>
      <c r="F33" s="119">
        <v>214234153.64801601</v>
      </c>
      <c r="G33" s="119">
        <v>677139961.60912311</v>
      </c>
      <c r="H33" s="119">
        <v>27388472.888254281</v>
      </c>
      <c r="I33" s="119">
        <v>59041930.743925996</v>
      </c>
      <c r="J33" s="119"/>
      <c r="K33" s="120"/>
      <c r="M33" s="120">
        <f t="shared" si="8"/>
        <v>2341606936.2520213</v>
      </c>
      <c r="N33" s="126"/>
    </row>
    <row r="34" spans="1:14" ht="20.100000000000001" customHeight="1">
      <c r="A34" s="53">
        <v>21</v>
      </c>
      <c r="B34" s="43" t="s">
        <v>215</v>
      </c>
      <c r="C34" s="45">
        <f t="shared" si="9"/>
        <v>2022</v>
      </c>
      <c r="E34" s="119">
        <v>1368409248.5933611</v>
      </c>
      <c r="F34" s="119">
        <v>214311975.40729743</v>
      </c>
      <c r="G34" s="119">
        <v>679883439.20498013</v>
      </c>
      <c r="H34" s="119">
        <v>27741266.432257846</v>
      </c>
      <c r="I34" s="119">
        <v>59583043.614064083</v>
      </c>
      <c r="J34" s="119"/>
      <c r="K34" s="120"/>
      <c r="M34" s="120">
        <f>SUM(E34:J34)</f>
        <v>2349928973.2519608</v>
      </c>
      <c r="N34" s="126"/>
    </row>
    <row r="35" spans="1:14" ht="20.100000000000001" customHeight="1">
      <c r="A35" s="53">
        <v>22</v>
      </c>
      <c r="B35" s="43" t="s">
        <v>206</v>
      </c>
      <c r="C35" s="45">
        <f t="shared" si="9"/>
        <v>2022</v>
      </c>
      <c r="E35" s="119">
        <v>1373445250.4703443</v>
      </c>
      <c r="F35" s="119">
        <v>214208753.56884971</v>
      </c>
      <c r="G35" s="119">
        <v>682685392.43667495</v>
      </c>
      <c r="H35" s="119">
        <v>28098467.058566075</v>
      </c>
      <c r="I35" s="119">
        <v>60132100.67835369</v>
      </c>
      <c r="J35" s="119"/>
      <c r="K35" s="120"/>
      <c r="M35" s="120">
        <f t="shared" si="8"/>
        <v>2358569964.2127891</v>
      </c>
      <c r="N35" s="126"/>
    </row>
    <row r="36" spans="1:14" ht="20.100000000000001" customHeight="1">
      <c r="A36" s="53">
        <v>23</v>
      </c>
      <c r="B36" s="43" t="s">
        <v>207</v>
      </c>
      <c r="C36" s="45">
        <f t="shared" si="9"/>
        <v>2022</v>
      </c>
      <c r="E36" s="119">
        <v>1378435304.4435594</v>
      </c>
      <c r="F36" s="119">
        <v>214796378.54883865</v>
      </c>
      <c r="G36" s="119">
        <v>685503662.75876772</v>
      </c>
      <c r="H36" s="119">
        <v>28461519.734548628</v>
      </c>
      <c r="I36" s="119">
        <v>60681346.180955864</v>
      </c>
      <c r="J36" s="119"/>
      <c r="K36" s="120"/>
      <c r="M36" s="120">
        <f t="shared" si="8"/>
        <v>2367878211.6666703</v>
      </c>
      <c r="N36" s="126"/>
    </row>
    <row r="37" spans="1:14" ht="20.100000000000001" customHeight="1">
      <c r="A37" s="53">
        <v>24</v>
      </c>
      <c r="B37" s="43" t="s">
        <v>208</v>
      </c>
      <c r="C37" s="45">
        <f t="shared" si="9"/>
        <v>2022</v>
      </c>
      <c r="E37" s="119">
        <v>1382836724.2945127</v>
      </c>
      <c r="F37" s="119">
        <v>215131053.35170108</v>
      </c>
      <c r="G37" s="119">
        <v>688325784.44647074</v>
      </c>
      <c r="H37" s="119">
        <v>28828507.989354648</v>
      </c>
      <c r="I37" s="119">
        <v>61230182.142181762</v>
      </c>
      <c r="J37" s="119"/>
      <c r="K37" s="120"/>
      <c r="M37" s="120">
        <f>SUM(E37:J37)</f>
        <v>2376352252.2242212</v>
      </c>
      <c r="N37" s="126"/>
    </row>
    <row r="38" spans="1:14" ht="20.100000000000001" customHeight="1">
      <c r="A38" s="53">
        <v>25</v>
      </c>
      <c r="B38" s="43" t="s">
        <v>210</v>
      </c>
      <c r="C38" s="45">
        <f t="shared" si="9"/>
        <v>2022</v>
      </c>
      <c r="E38" s="119">
        <v>1386900255.9374816</v>
      </c>
      <c r="F38" s="119">
        <v>215233423.43063921</v>
      </c>
      <c r="G38" s="119">
        <v>691226437.1528132</v>
      </c>
      <c r="H38" s="119">
        <v>29238050.106123466</v>
      </c>
      <c r="I38" s="119">
        <v>61678320.311229795</v>
      </c>
      <c r="J38" s="119"/>
      <c r="K38" s="120"/>
      <c r="M38" s="120">
        <f t="shared" si="8"/>
        <v>2384276486.9382873</v>
      </c>
      <c r="N38" s="126"/>
    </row>
    <row r="39" spans="1:14" ht="20.100000000000001" customHeight="1">
      <c r="A39" s="53">
        <v>26</v>
      </c>
      <c r="B39" s="43" t="s">
        <v>209</v>
      </c>
      <c r="C39" s="45">
        <f t="shared" si="9"/>
        <v>2022</v>
      </c>
      <c r="E39" s="119">
        <v>1391426394.5837009</v>
      </c>
      <c r="F39" s="119">
        <v>215376098.14672247</v>
      </c>
      <c r="G39" s="119">
        <v>694186683.09041524</v>
      </c>
      <c r="H39" s="119">
        <v>29702718.468763854</v>
      </c>
      <c r="I39" s="119">
        <v>62206401.500126071</v>
      </c>
      <c r="J39" s="119"/>
      <c r="K39" s="120"/>
      <c r="M39" s="120">
        <f t="shared" si="8"/>
        <v>2392898295.7897286</v>
      </c>
      <c r="N39" s="126"/>
    </row>
    <row r="40" spans="1:14" ht="20.100000000000001" customHeight="1">
      <c r="A40" s="53">
        <v>27</v>
      </c>
      <c r="B40" s="43" t="s">
        <v>200</v>
      </c>
      <c r="C40" s="45">
        <f t="shared" si="9"/>
        <v>2022</v>
      </c>
      <c r="E40" s="119">
        <v>1393862215.8202195</v>
      </c>
      <c r="F40" s="119">
        <v>215232030.679598</v>
      </c>
      <c r="G40" s="119">
        <v>697033931.86452591</v>
      </c>
      <c r="H40" s="119">
        <v>30043957.936116058</v>
      </c>
      <c r="I40" s="119">
        <v>62630425.406553842</v>
      </c>
      <c r="J40" s="119"/>
      <c r="K40" s="120"/>
      <c r="M40" s="120">
        <f t="shared" si="8"/>
        <v>2398802561.7070136</v>
      </c>
      <c r="N40" s="126"/>
    </row>
    <row r="41" spans="1:14" ht="20.100000000000001" customHeight="1">
      <c r="E41" s="121"/>
      <c r="F41" s="121"/>
      <c r="G41" s="121"/>
      <c r="H41" s="121"/>
      <c r="I41" s="121"/>
      <c r="J41" s="121"/>
      <c r="K41" s="120"/>
      <c r="M41" s="120"/>
    </row>
    <row r="42" spans="1:14" ht="20.100000000000001" customHeight="1">
      <c r="A42" s="53">
        <v>28</v>
      </c>
      <c r="B42" s="43" t="s">
        <v>224</v>
      </c>
      <c r="E42" s="121">
        <f t="shared" ref="E42:I42" si="10">SUM(E28:E40)/13</f>
        <v>1369189171.4897549</v>
      </c>
      <c r="F42" s="121">
        <f t="shared" si="10"/>
        <v>214678221.74491706</v>
      </c>
      <c r="G42" s="121">
        <f t="shared" si="10"/>
        <v>679965931.40199351</v>
      </c>
      <c r="H42" s="121">
        <f t="shared" si="10"/>
        <v>27833237.355271295</v>
      </c>
      <c r="I42" s="121">
        <f t="shared" si="10"/>
        <v>59568938.537045248</v>
      </c>
      <c r="J42" s="121">
        <f>SUM(J28:J40)/13</f>
        <v>0</v>
      </c>
      <c r="K42" s="121"/>
      <c r="M42" s="121">
        <f>SUM(M28:M40)/13</f>
        <v>2351235500.5289822</v>
      </c>
    </row>
    <row r="43" spans="1:14" ht="20.100000000000001" customHeight="1"/>
    <row r="44" spans="1:14" ht="20.100000000000001" customHeight="1"/>
    <row r="45" spans="1:14" ht="20.100000000000001" customHeight="1">
      <c r="B45" s="65" t="s">
        <v>617</v>
      </c>
      <c r="C45" s="1178"/>
      <c r="D45" s="1178"/>
      <c r="E45" s="1179"/>
      <c r="F45" s="1179"/>
      <c r="G45" s="68"/>
      <c r="H45" s="507"/>
      <c r="I45" s="507"/>
      <c r="J45" s="516"/>
      <c r="L45" s="1180"/>
      <c r="M45" s="1181"/>
      <c r="N45" s="1181"/>
    </row>
    <row r="46" spans="1:14" ht="20.100000000000001" customHeight="1">
      <c r="B46" s="69"/>
      <c r="E46" s="1169" t="s">
        <v>216</v>
      </c>
      <c r="F46" s="1169" t="s">
        <v>25</v>
      </c>
      <c r="G46" s="1169" t="s">
        <v>217</v>
      </c>
      <c r="H46" s="1169" t="s">
        <v>219</v>
      </c>
      <c r="I46" s="1169" t="s">
        <v>218</v>
      </c>
      <c r="J46" s="505" t="s">
        <v>220</v>
      </c>
      <c r="L46" s="43"/>
    </row>
    <row r="47" spans="1:14" ht="20.100000000000001" customHeight="1">
      <c r="B47" s="69"/>
      <c r="E47" s="43"/>
      <c r="F47" s="1169"/>
      <c r="G47" s="1169"/>
      <c r="H47" s="43"/>
      <c r="I47" s="1169"/>
      <c r="J47" s="72"/>
      <c r="L47" s="43"/>
    </row>
    <row r="48" spans="1:14" ht="20.100000000000001" customHeight="1">
      <c r="B48" s="69"/>
      <c r="D48" s="47" t="s">
        <v>239</v>
      </c>
      <c r="E48" s="43" t="s">
        <v>614</v>
      </c>
      <c r="F48" s="50" t="s">
        <v>614</v>
      </c>
      <c r="G48" s="50" t="s">
        <v>614</v>
      </c>
      <c r="H48" s="43" t="s">
        <v>614</v>
      </c>
      <c r="I48" s="50" t="s">
        <v>614</v>
      </c>
      <c r="J48" s="72" t="s">
        <v>614</v>
      </c>
      <c r="L48" s="43"/>
    </row>
    <row r="49" spans="1:12" ht="20.100000000000001" customHeight="1">
      <c r="A49" s="53">
        <v>29</v>
      </c>
      <c r="B49" s="69" t="s">
        <v>200</v>
      </c>
      <c r="C49" s="45">
        <f>C8</f>
        <v>2021</v>
      </c>
      <c r="E49" s="119">
        <v>2095096.9285537715</v>
      </c>
      <c r="F49" s="119">
        <v>583.27019920318742</v>
      </c>
      <c r="G49" s="119"/>
      <c r="H49" s="517"/>
      <c r="I49" s="119">
        <v>19536.853325930104</v>
      </c>
      <c r="J49" s="518"/>
      <c r="L49" s="43"/>
    </row>
    <row r="50" spans="1:12" ht="20.100000000000001" customHeight="1">
      <c r="A50" s="53">
        <v>30</v>
      </c>
      <c r="B50" s="69" t="s">
        <v>201</v>
      </c>
      <c r="C50" s="45">
        <f>C49+1</f>
        <v>2022</v>
      </c>
      <c r="E50" s="119">
        <v>2084192.2342645258</v>
      </c>
      <c r="F50" s="119">
        <v>584.86023904382489</v>
      </c>
      <c r="G50" s="119"/>
      <c r="H50" s="517"/>
      <c r="I50" s="119">
        <v>19648.391991116125</v>
      </c>
      <c r="J50" s="518"/>
      <c r="L50" s="43"/>
    </row>
    <row r="51" spans="1:12" ht="20.100000000000001" customHeight="1">
      <c r="A51" s="53">
        <v>31</v>
      </c>
      <c r="B51" s="69" t="s">
        <v>202</v>
      </c>
      <c r="C51" s="45">
        <f>C50</f>
        <v>2022</v>
      </c>
      <c r="E51" s="119">
        <v>2073287.5399752802</v>
      </c>
      <c r="F51" s="119">
        <v>586.45027888446236</v>
      </c>
      <c r="G51" s="119"/>
      <c r="H51" s="517"/>
      <c r="I51" s="119">
        <v>19759.930656302146</v>
      </c>
      <c r="J51" s="518"/>
      <c r="L51" s="43"/>
    </row>
    <row r="52" spans="1:12" ht="20.100000000000001" customHeight="1">
      <c r="A52" s="53">
        <v>32</v>
      </c>
      <c r="B52" s="69" t="s">
        <v>203</v>
      </c>
      <c r="C52" s="45">
        <f t="shared" ref="C52:C61" si="11">C51</f>
        <v>2022</v>
      </c>
      <c r="E52" s="119">
        <v>2062382.8456860345</v>
      </c>
      <c r="F52" s="119">
        <v>588.04031872509984</v>
      </c>
      <c r="G52" s="119"/>
      <c r="H52" s="517"/>
      <c r="I52" s="119">
        <v>19871.469321488166</v>
      </c>
      <c r="J52" s="518"/>
      <c r="L52" s="43"/>
    </row>
    <row r="53" spans="1:12" ht="20.100000000000001" customHeight="1">
      <c r="A53" s="53">
        <v>33</v>
      </c>
      <c r="B53" s="69" t="s">
        <v>204</v>
      </c>
      <c r="C53" s="45">
        <f t="shared" si="11"/>
        <v>2022</v>
      </c>
      <c r="E53" s="119">
        <v>2051478.1513967889</v>
      </c>
      <c r="F53" s="119">
        <v>589.63035856573731</v>
      </c>
      <c r="G53" s="119"/>
      <c r="H53" s="517"/>
      <c r="I53" s="119">
        <v>19983.007986674187</v>
      </c>
      <c r="J53" s="518"/>
      <c r="L53" s="43"/>
    </row>
    <row r="54" spans="1:12" ht="20.100000000000001" customHeight="1">
      <c r="A54" s="53">
        <v>34</v>
      </c>
      <c r="B54" s="69" t="s">
        <v>205</v>
      </c>
      <c r="C54" s="45">
        <f t="shared" si="11"/>
        <v>2022</v>
      </c>
      <c r="E54" s="119">
        <v>2040573.4571075432</v>
      </c>
      <c r="F54" s="119">
        <v>591.22039840637478</v>
      </c>
      <c r="G54" s="119"/>
      <c r="H54" s="517"/>
      <c r="I54" s="119">
        <v>20094.546651860208</v>
      </c>
      <c r="J54" s="518"/>
      <c r="L54" s="43"/>
    </row>
    <row r="55" spans="1:12" ht="20.100000000000001" customHeight="1">
      <c r="A55" s="53">
        <v>35</v>
      </c>
      <c r="B55" s="69" t="s">
        <v>215</v>
      </c>
      <c r="C55" s="45">
        <f t="shared" si="11"/>
        <v>2022</v>
      </c>
      <c r="E55" s="119">
        <v>2029668.7628182976</v>
      </c>
      <c r="F55" s="119">
        <v>592.81043824701226</v>
      </c>
      <c r="G55" s="119"/>
      <c r="H55" s="517"/>
      <c r="I55" s="119">
        <v>20206.085317046229</v>
      </c>
      <c r="J55" s="518"/>
      <c r="L55" s="43"/>
    </row>
    <row r="56" spans="1:12" ht="20.100000000000001" customHeight="1">
      <c r="A56" s="53">
        <v>36</v>
      </c>
      <c r="B56" s="69" t="s">
        <v>206</v>
      </c>
      <c r="C56" s="45">
        <f t="shared" si="11"/>
        <v>2022</v>
      </c>
      <c r="E56" s="119">
        <v>2018763.067619961</v>
      </c>
      <c r="F56" s="119">
        <v>594.40047808764973</v>
      </c>
      <c r="G56" s="119"/>
      <c r="H56" s="517"/>
      <c r="I56" s="119">
        <v>20317.62398223225</v>
      </c>
      <c r="J56" s="518"/>
      <c r="L56" s="43"/>
    </row>
    <row r="57" spans="1:12" ht="20.100000000000001" customHeight="1">
      <c r="A57" s="53">
        <v>37</v>
      </c>
      <c r="B57" s="69" t="s">
        <v>207</v>
      </c>
      <c r="C57" s="45">
        <f t="shared" si="11"/>
        <v>2022</v>
      </c>
      <c r="E57" s="119">
        <v>2007857.3724216244</v>
      </c>
      <c r="F57" s="119">
        <v>595.9905179282872</v>
      </c>
      <c r="G57" s="119"/>
      <c r="H57" s="517"/>
      <c r="I57" s="119">
        <v>20429.16264741827</v>
      </c>
      <c r="J57" s="518"/>
      <c r="L57" s="43"/>
    </row>
    <row r="58" spans="1:12" ht="20.100000000000001" customHeight="1">
      <c r="A58" s="53">
        <v>38</v>
      </c>
      <c r="B58" s="69" t="s">
        <v>208</v>
      </c>
      <c r="C58" s="45">
        <f t="shared" si="11"/>
        <v>2022</v>
      </c>
      <c r="E58" s="119">
        <v>1996951.6772232878</v>
      </c>
      <c r="F58" s="119">
        <v>597.58055776892468</v>
      </c>
      <c r="G58" s="119"/>
      <c r="H58" s="517"/>
      <c r="I58" s="119">
        <v>20540.701312604291</v>
      </c>
      <c r="J58" s="518"/>
      <c r="L58" s="43"/>
    </row>
    <row r="59" spans="1:12" ht="20.100000000000001" customHeight="1">
      <c r="A59" s="53">
        <v>39</v>
      </c>
      <c r="B59" s="69" t="s">
        <v>210</v>
      </c>
      <c r="C59" s="45">
        <f t="shared" si="11"/>
        <v>2022</v>
      </c>
      <c r="E59" s="119">
        <v>1986045.9820249511</v>
      </c>
      <c r="F59" s="119">
        <v>599.17059760956215</v>
      </c>
      <c r="G59" s="119"/>
      <c r="H59" s="517"/>
      <c r="I59" s="119">
        <v>20652.239977790312</v>
      </c>
      <c r="J59" s="518"/>
      <c r="L59" s="43"/>
    </row>
    <row r="60" spans="1:12" ht="20.100000000000001" customHeight="1">
      <c r="A60" s="53">
        <v>40</v>
      </c>
      <c r="B60" s="69" t="s">
        <v>209</v>
      </c>
      <c r="C60" s="45">
        <f t="shared" si="11"/>
        <v>2022</v>
      </c>
      <c r="E60" s="119">
        <v>1975140.2868266145</v>
      </c>
      <c r="F60" s="119">
        <v>600.76063745019962</v>
      </c>
      <c r="G60" s="119"/>
      <c r="H60" s="517"/>
      <c r="I60" s="119">
        <v>20763.778642976333</v>
      </c>
      <c r="J60" s="518"/>
      <c r="L60" s="43"/>
    </row>
    <row r="61" spans="1:12" ht="20.100000000000001" customHeight="1">
      <c r="A61" s="53">
        <v>41</v>
      </c>
      <c r="B61" s="69" t="s">
        <v>200</v>
      </c>
      <c r="C61" s="45">
        <f t="shared" si="11"/>
        <v>2022</v>
      </c>
      <c r="E61" s="119">
        <v>1964234.5916282779</v>
      </c>
      <c r="F61" s="119">
        <v>602.3506772908371</v>
      </c>
      <c r="G61" s="119"/>
      <c r="H61" s="517"/>
      <c r="I61" s="119">
        <v>20875.317308162354</v>
      </c>
      <c r="J61" s="518"/>
      <c r="L61" s="43"/>
    </row>
    <row r="62" spans="1:12" ht="20.100000000000001" customHeight="1">
      <c r="B62" s="69"/>
      <c r="E62" s="43"/>
      <c r="F62" s="123"/>
      <c r="G62" s="43"/>
      <c r="H62" s="43"/>
      <c r="I62" s="43"/>
      <c r="J62" s="72"/>
      <c r="L62" s="43"/>
    </row>
    <row r="63" spans="1:12" ht="20.100000000000001" customHeight="1">
      <c r="A63" s="53">
        <v>42</v>
      </c>
      <c r="B63" s="76" t="s">
        <v>224</v>
      </c>
      <c r="C63" s="77"/>
      <c r="D63" s="77"/>
      <c r="E63" s="124">
        <f t="shared" ref="E63" si="12">SUM(E49:E61)/13</f>
        <v>2029667.145965151</v>
      </c>
      <c r="F63" s="124">
        <f>SUM(F49:F61)/13</f>
        <v>592.81043824701214</v>
      </c>
      <c r="G63" s="124">
        <f>SUM(G49:G61)/13</f>
        <v>0</v>
      </c>
      <c r="H63" s="124">
        <f>SUM(H49:H61)/13</f>
        <v>0</v>
      </c>
      <c r="I63" s="124">
        <f>SUM(I49:I61)/13</f>
        <v>20206.085317046229</v>
      </c>
      <c r="J63" s="506">
        <f>SUM(J49:J61)/13</f>
        <v>0</v>
      </c>
      <c r="L63" s="43"/>
    </row>
    <row r="65" spans="1:12" ht="20.100000000000001" customHeight="1">
      <c r="A65" s="43" t="s">
        <v>226</v>
      </c>
    </row>
    <row r="66" spans="1:12" ht="20.100000000000001" customHeight="1">
      <c r="A66" s="1168" t="s">
        <v>225</v>
      </c>
      <c r="B66" s="43" t="s">
        <v>1091</v>
      </c>
    </row>
    <row r="67" spans="1:12" ht="20.100000000000001" customHeight="1">
      <c r="A67" s="1168" t="s">
        <v>239</v>
      </c>
      <c r="B67" s="43" t="s">
        <v>227</v>
      </c>
    </row>
    <row r="68" spans="1:12" ht="20.100000000000001" customHeight="1">
      <c r="A68" s="1168" t="s">
        <v>297</v>
      </c>
      <c r="B68" s="43" t="s">
        <v>619</v>
      </c>
    </row>
    <row r="69" spans="1:12" s="132" customFormat="1" ht="20.100000000000001" customHeight="1">
      <c r="A69" s="58" t="s">
        <v>310</v>
      </c>
      <c r="B69" s="132" t="s">
        <v>873</v>
      </c>
      <c r="E69" s="58"/>
      <c r="F69" s="58"/>
      <c r="G69" s="58"/>
      <c r="H69" s="58"/>
      <c r="I69" s="58"/>
      <c r="J69" s="58"/>
      <c r="K69" s="58"/>
      <c r="L69" s="58"/>
    </row>
    <row r="70" spans="1:12">
      <c r="A70" s="1168" t="s">
        <v>311</v>
      </c>
      <c r="B70" s="43" t="s">
        <v>932</v>
      </c>
    </row>
    <row r="71" spans="1:12" ht="20.100000000000001" customHeight="1">
      <c r="A71" s="1168" t="s">
        <v>725</v>
      </c>
      <c r="B71" s="43" t="s">
        <v>928</v>
      </c>
    </row>
  </sheetData>
  <customSheetViews>
    <customSheetView guid="{B991F324-919F-4749-8E3C-A09B2FA7BB10}" scale="60" showPageBreaks="1" view="pageBreakPreview">
      <selection activeCell="C9" sqref="C9"/>
      <pageMargins left="0.7" right="0.7" top="0.75" bottom="0.75" header="0.3" footer="0.3"/>
      <pageSetup scale="44" orientation="portrait" r:id="rId1"/>
    </customSheetView>
    <customSheetView guid="{901B528B-D65D-48CA-A638-FD9B4E5BB6D4}" scale="60" showPageBreaks="1" view="pageBreakPreview">
      <selection activeCell="C9" sqref="C9"/>
      <pageMargins left="0.7" right="0.7" top="0.75" bottom="0.75" header="0.3" footer="0.3"/>
      <pageSetup scale="44" orientation="portrait" r:id="rId2"/>
    </customSheetView>
    <customSheetView guid="{0DE222E8-ADD6-4F4B-9601-960D8109381F}" scale="60" showPageBreaks="1" view="pageBreakPreview">
      <pageMargins left="0.7" right="0.7" top="0.75" bottom="0.75" header="0.3" footer="0.3"/>
      <pageSetup scale="42" orientation="portrait" r:id="rId3"/>
    </customSheetView>
  </customSheetViews>
  <pageMargins left="0.7" right="0.7" top="0.75" bottom="0.75" header="0.3" footer="0.3"/>
  <pageSetup scale="42" orientation="portrait" r:id="rId4"/>
  <ignoredErrors>
    <ignoredError sqref="J4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N36"/>
  <sheetViews>
    <sheetView view="pageBreakPreview" zoomScale="80" zoomScaleNormal="80" workbookViewId="0">
      <selection activeCell="Q23" sqref="Q23"/>
    </sheetView>
  </sheetViews>
  <sheetFormatPr defaultColWidth="8.90625" defaultRowHeight="20.100000000000001" customHeight="1"/>
  <cols>
    <col min="1" max="1" width="3.54296875" style="49" customWidth="1"/>
    <col min="2" max="2" width="17.36328125" style="43" customWidth="1"/>
    <col min="3" max="3" width="10" style="43" customWidth="1"/>
    <col min="4" max="4" width="5.6328125" style="43" customWidth="1"/>
    <col min="5" max="5" width="15.1796875" style="49" customWidth="1"/>
    <col min="6" max="6" width="15.54296875" style="49" customWidth="1"/>
    <col min="7" max="7" width="15" style="49" customWidth="1"/>
    <col min="8" max="8" width="16" style="49" customWidth="1"/>
    <col min="9" max="9" width="16.36328125" style="49" customWidth="1"/>
    <col min="10" max="10" width="16.36328125" style="1007" customWidth="1"/>
    <col min="11" max="11" width="18.08984375" style="43" customWidth="1"/>
    <col min="12" max="12" width="15.81640625" style="43" customWidth="1"/>
    <col min="13" max="14" width="8.90625" style="43"/>
    <col min="15" max="15" width="12.54296875" style="43" bestFit="1" customWidth="1"/>
    <col min="16" max="16384" width="8.90625" style="43"/>
  </cols>
  <sheetData>
    <row r="1" spans="1:13" ht="20.100000000000001" customHeight="1">
      <c r="A1" s="513"/>
      <c r="E1" s="513"/>
      <c r="F1" s="513"/>
      <c r="G1" s="513"/>
      <c r="H1" s="513"/>
      <c r="I1" s="513"/>
      <c r="M1" s="4" t="str">
        <f>'Attachment H-11A '!K1&amp;""&amp;", Attachment 5"</f>
        <v>Attachment H -11A, Attachment 5</v>
      </c>
    </row>
    <row r="2" spans="1:13" ht="20.100000000000001" customHeight="1">
      <c r="A2" s="513"/>
      <c r="E2" s="513"/>
      <c r="F2" s="513"/>
      <c r="G2" s="513"/>
      <c r="H2" s="513"/>
      <c r="I2" s="513"/>
      <c r="M2" s="4" t="s">
        <v>188</v>
      </c>
    </row>
    <row r="3" spans="1:13" ht="20.100000000000001" customHeight="1">
      <c r="A3" s="513"/>
      <c r="E3" s="513"/>
      <c r="F3" s="513"/>
      <c r="G3" s="513"/>
      <c r="H3" s="513"/>
      <c r="I3" s="513"/>
      <c r="M3" s="6" t="str">
        <f>'Attachment H-11A '!K4</f>
        <v>For the 12 months ended 12/31/2022</v>
      </c>
    </row>
    <row r="4" spans="1:13" ht="20.100000000000001" customHeight="1">
      <c r="A4" s="52"/>
    </row>
    <row r="5" spans="1:13" ht="20.100000000000001" customHeight="1">
      <c r="A5" s="52"/>
      <c r="E5" s="499" t="s">
        <v>508</v>
      </c>
      <c r="F5" s="499" t="s">
        <v>509</v>
      </c>
      <c r="G5" s="499" t="s">
        <v>510</v>
      </c>
      <c r="H5" s="499" t="s">
        <v>511</v>
      </c>
      <c r="I5" s="499" t="s">
        <v>512</v>
      </c>
      <c r="J5" s="499"/>
      <c r="L5" s="499" t="s">
        <v>513</v>
      </c>
    </row>
    <row r="6" spans="1:13" ht="20.100000000000001" customHeight="1">
      <c r="C6" s="132"/>
      <c r="E6" s="1334" t="s">
        <v>607</v>
      </c>
      <c r="F6" s="1334"/>
      <c r="G6" s="1334"/>
      <c r="H6" s="1334"/>
      <c r="I6" s="1334"/>
      <c r="J6" s="1334"/>
      <c r="K6" s="1334"/>
      <c r="L6" s="1334"/>
    </row>
    <row r="7" spans="1:13" ht="20.100000000000001" customHeight="1">
      <c r="A7" s="58"/>
      <c r="B7" s="132"/>
      <c r="C7" s="132"/>
      <c r="D7" s="132"/>
      <c r="E7" s="59" t="s">
        <v>231</v>
      </c>
      <c r="F7" s="59" t="s">
        <v>232</v>
      </c>
      <c r="G7" s="59" t="s">
        <v>233</v>
      </c>
      <c r="H7" s="59" t="s">
        <v>234</v>
      </c>
      <c r="I7" s="59" t="s">
        <v>235</v>
      </c>
      <c r="J7" s="59"/>
      <c r="K7" s="132"/>
      <c r="L7" s="59" t="s">
        <v>10</v>
      </c>
    </row>
    <row r="8" spans="1:13" ht="20.100000000000001" customHeight="1">
      <c r="A8" s="58"/>
      <c r="B8" s="132"/>
      <c r="C8" s="132"/>
      <c r="D8" s="132"/>
      <c r="E8" s="536" t="s">
        <v>238</v>
      </c>
      <c r="F8" s="536" t="s">
        <v>238</v>
      </c>
      <c r="G8" s="536" t="s">
        <v>238</v>
      </c>
      <c r="H8" s="59"/>
      <c r="I8" s="536" t="s">
        <v>238</v>
      </c>
      <c r="J8" s="536"/>
      <c r="K8" s="132"/>
      <c r="L8" s="132"/>
    </row>
    <row r="9" spans="1:13" ht="20.100000000000001" customHeight="1">
      <c r="A9" s="58"/>
      <c r="B9" s="132"/>
      <c r="C9" s="132"/>
      <c r="D9" s="537"/>
      <c r="E9" s="283"/>
      <c r="F9" s="283" t="s">
        <v>239</v>
      </c>
      <c r="G9" s="283" t="s">
        <v>297</v>
      </c>
      <c r="H9" s="283" t="s">
        <v>310</v>
      </c>
      <c r="I9" s="283" t="s">
        <v>311</v>
      </c>
      <c r="J9" s="283"/>
      <c r="K9" s="132"/>
      <c r="L9" s="132"/>
    </row>
    <row r="10" spans="1:13" ht="20.100000000000001" customHeight="1">
      <c r="A10" s="543">
        <v>1</v>
      </c>
      <c r="B10" s="538" t="s">
        <v>237</v>
      </c>
      <c r="C10" s="118" t="str">
        <f>MID(M3:M3,25,10)</f>
        <v>12/31/2022</v>
      </c>
      <c r="D10" s="1222" t="s">
        <v>225</v>
      </c>
      <c r="E10" s="539">
        <f>-(E15)</f>
        <v>0</v>
      </c>
      <c r="F10" s="126">
        <f>-(F15-F24-G24-H24-I24-K24-J24)</f>
        <v>-94720196.392624617</v>
      </c>
      <c r="G10" s="126">
        <f>-(G15-F28-G28-H28-I28-K28-J28)</f>
        <v>-5332900.578654157</v>
      </c>
      <c r="H10" s="126">
        <f>H15-F32-G32-H32-I32-K32-J32</f>
        <v>10018320.676272471</v>
      </c>
      <c r="I10" s="126">
        <v>0</v>
      </c>
      <c r="J10" s="126"/>
      <c r="K10" s="132"/>
      <c r="L10" s="126">
        <f t="shared" ref="L10" si="0">SUM(E10:I10)</f>
        <v>-90034776.295006305</v>
      </c>
    </row>
    <row r="11" spans="1:13" ht="20.100000000000001" customHeight="1">
      <c r="A11" s="58"/>
      <c r="B11" s="132"/>
      <c r="C11" s="132"/>
      <c r="D11" s="537"/>
      <c r="E11" s="283"/>
      <c r="F11" s="283"/>
      <c r="G11" s="283"/>
      <c r="H11" s="283"/>
      <c r="I11" s="283"/>
      <c r="J11" s="283"/>
      <c r="K11" s="132"/>
      <c r="L11" s="132"/>
    </row>
    <row r="12" spans="1:13" ht="20.100000000000001" customHeight="1">
      <c r="A12" s="955"/>
    </row>
    <row r="13" spans="1:13" ht="20.100000000000001" customHeight="1">
      <c r="A13" s="955"/>
      <c r="E13" s="1334" t="s">
        <v>1054</v>
      </c>
      <c r="F13" s="1334"/>
      <c r="G13" s="1334"/>
      <c r="H13" s="1334"/>
      <c r="I13" s="1334"/>
      <c r="J13" s="1334"/>
      <c r="K13" s="1334"/>
      <c r="L13" s="1334"/>
    </row>
    <row r="14" spans="1:13" ht="20.100000000000001" customHeight="1">
      <c r="A14" s="955"/>
      <c r="D14" s="132"/>
      <c r="E14" s="335" t="s">
        <v>231</v>
      </c>
      <c r="F14" s="335" t="s">
        <v>232</v>
      </c>
      <c r="G14" s="335" t="s">
        <v>233</v>
      </c>
      <c r="H14" s="335" t="s">
        <v>234</v>
      </c>
      <c r="I14" s="335" t="s">
        <v>235</v>
      </c>
      <c r="J14" s="1010"/>
      <c r="L14" s="335" t="s">
        <v>10</v>
      </c>
    </row>
    <row r="15" spans="1:13" ht="20.100000000000001" customHeight="1">
      <c r="A15" s="543">
        <v>2</v>
      </c>
      <c r="B15" s="56" t="s">
        <v>237</v>
      </c>
      <c r="C15" s="45" t="str">
        <f>C10</f>
        <v>12/31/2022</v>
      </c>
      <c r="D15" s="1222" t="s">
        <v>576</v>
      </c>
      <c r="E15" s="121">
        <f>'Attachment 5a - ADIT Detail'!E13</f>
        <v>0</v>
      </c>
      <c r="F15" s="121">
        <f>'Attachment 5a - ADIT Detail'!E10</f>
        <v>78182148.751846299</v>
      </c>
      <c r="G15" s="121">
        <f>'Attachment 5a - ADIT Detail'!E11</f>
        <v>-4077451.2583876946</v>
      </c>
      <c r="H15" s="121">
        <f>'Attachment 5a - ADIT Detail'!E12</f>
        <v>11449238.689737931</v>
      </c>
      <c r="I15" s="121">
        <f>'Attachment 5a - ADIT Detail'!E14</f>
        <v>0</v>
      </c>
      <c r="J15" s="121"/>
      <c r="L15" s="121">
        <f t="shared" ref="L15" si="1">SUM(E15:I15)</f>
        <v>85553936.18319653</v>
      </c>
    </row>
    <row r="16" spans="1:13" ht="20.100000000000001" customHeight="1">
      <c r="B16" s="56"/>
      <c r="C16" s="45"/>
      <c r="E16" s="57"/>
      <c r="F16" s="57"/>
      <c r="G16" s="57"/>
      <c r="H16" s="335"/>
      <c r="I16" s="57"/>
      <c r="J16" s="57"/>
    </row>
    <row r="18" spans="1:14" ht="20.100000000000001" customHeight="1">
      <c r="A18" s="43" t="s">
        <v>226</v>
      </c>
      <c r="D18" s="49"/>
      <c r="I18" s="43"/>
      <c r="J18" s="43"/>
    </row>
    <row r="19" spans="1:14" ht="33.75" customHeight="1">
      <c r="A19" s="151" t="s">
        <v>225</v>
      </c>
      <c r="B19" s="1335" t="s">
        <v>1092</v>
      </c>
      <c r="C19" s="1335"/>
      <c r="D19" s="1335"/>
      <c r="E19" s="1335"/>
      <c r="F19" s="1335"/>
      <c r="G19" s="1335"/>
      <c r="H19" s="1335"/>
      <c r="I19" s="1335"/>
      <c r="J19" s="1335"/>
      <c r="K19" s="1335"/>
      <c r="L19" s="1335"/>
      <c r="M19" s="1335"/>
    </row>
    <row r="20" spans="1:14" ht="20.100000000000001" customHeight="1">
      <c r="B20" s="1336"/>
      <c r="C20" s="1336"/>
      <c r="D20" s="1336"/>
      <c r="E20" s="1336"/>
      <c r="F20" s="1336"/>
      <c r="G20" s="1336"/>
      <c r="H20" s="1336"/>
      <c r="I20" s="1336"/>
      <c r="J20" s="1336"/>
      <c r="K20" s="1336"/>
      <c r="L20" s="1336"/>
    </row>
    <row r="21" spans="1:14" ht="20.100000000000001" customHeight="1">
      <c r="A21" s="49" t="s">
        <v>239</v>
      </c>
      <c r="B21" s="1336" t="s">
        <v>312</v>
      </c>
      <c r="C21" s="1336"/>
      <c r="D21" s="1336"/>
      <c r="E21" s="1336"/>
      <c r="F21" s="1336"/>
      <c r="G21" s="1336"/>
      <c r="H21" s="1336"/>
      <c r="I21" s="1336"/>
      <c r="J21" s="1336"/>
      <c r="K21" s="1336"/>
      <c r="L21" s="1336"/>
    </row>
    <row r="22" spans="1:14" ht="20.100000000000001" customHeight="1">
      <c r="B22" s="334"/>
      <c r="C22" s="334"/>
      <c r="D22" s="334"/>
      <c r="E22" s="334"/>
      <c r="F22" s="334"/>
      <c r="I22" s="334"/>
      <c r="J22" s="1008"/>
      <c r="K22" s="334"/>
    </row>
    <row r="23" spans="1:14" ht="50.25" customHeight="1">
      <c r="B23" s="334"/>
      <c r="C23" s="334"/>
      <c r="D23" s="334"/>
      <c r="E23" s="334"/>
      <c r="F23" s="140" t="s">
        <v>306</v>
      </c>
      <c r="G23" s="140" t="s">
        <v>307</v>
      </c>
      <c r="H23" s="140" t="s">
        <v>308</v>
      </c>
      <c r="I23" s="140" t="s">
        <v>577</v>
      </c>
      <c r="J23" s="1012" t="s">
        <v>801</v>
      </c>
      <c r="K23" s="960" t="s">
        <v>724</v>
      </c>
      <c r="L23" s="359"/>
      <c r="M23" s="359"/>
    </row>
    <row r="24" spans="1:14" s="139" customFormat="1" ht="20.100000000000001" customHeight="1">
      <c r="A24" s="543">
        <v>3</v>
      </c>
      <c r="B24" s="334"/>
      <c r="C24" s="334"/>
      <c r="D24" s="334"/>
      <c r="E24" s="141" t="str">
        <f>C10</f>
        <v>12/31/2022</v>
      </c>
      <c r="F24" s="152">
        <v>716.52</v>
      </c>
      <c r="G24" s="152"/>
      <c r="H24" s="152">
        <v>-18338021.881982755</v>
      </c>
      <c r="I24" s="152"/>
      <c r="J24" s="152"/>
      <c r="K24" s="493">
        <f>'Attachment 5b - ADIT Norm PTRR'!J41</f>
        <v>1799257.7212044522</v>
      </c>
      <c r="L24" s="121"/>
      <c r="M24" s="121"/>
      <c r="N24" s="509"/>
    </row>
    <row r="25" spans="1:14" s="139" customFormat="1" ht="20.100000000000001" customHeight="1">
      <c r="A25" s="49" t="s">
        <v>297</v>
      </c>
      <c r="B25" s="43" t="s">
        <v>309</v>
      </c>
      <c r="C25" s="43"/>
      <c r="D25" s="43"/>
      <c r="E25" s="43"/>
      <c r="F25" s="43"/>
      <c r="G25" s="43"/>
      <c r="H25" s="43"/>
      <c r="I25" s="43"/>
      <c r="J25" s="43"/>
      <c r="K25" s="132"/>
      <c r="L25" s="43"/>
      <c r="M25" s="43"/>
    </row>
    <row r="26" spans="1:14" ht="20.100000000000001" customHeight="1">
      <c r="B26" s="334"/>
      <c r="C26" s="334"/>
      <c r="D26" s="334"/>
      <c r="E26" s="334"/>
      <c r="F26" s="334"/>
      <c r="H26" s="334"/>
      <c r="I26" s="512"/>
      <c r="J26" s="1008"/>
      <c r="K26" s="334"/>
      <c r="L26" s="334"/>
    </row>
    <row r="27" spans="1:14" ht="50.25" customHeight="1">
      <c r="B27" s="334"/>
      <c r="C27" s="334"/>
      <c r="D27" s="334"/>
      <c r="E27" s="334"/>
      <c r="F27" s="140" t="s">
        <v>306</v>
      </c>
      <c r="G27" s="140" t="s">
        <v>307</v>
      </c>
      <c r="H27" s="140" t="s">
        <v>308</v>
      </c>
      <c r="I27" s="140" t="s">
        <v>577</v>
      </c>
      <c r="J27" s="1012" t="s">
        <v>801</v>
      </c>
      <c r="K27" s="960" t="s">
        <v>724</v>
      </c>
      <c r="L27" s="359"/>
      <c r="M27" s="359"/>
    </row>
    <row r="28" spans="1:14" s="139" customFormat="1" ht="20.100000000000001" customHeight="1">
      <c r="A28" s="543">
        <v>4</v>
      </c>
      <c r="B28" s="334"/>
      <c r="C28" s="334"/>
      <c r="D28" s="334"/>
      <c r="E28" s="141" t="str">
        <f>E24</f>
        <v>12/31/2022</v>
      </c>
      <c r="F28" s="152"/>
      <c r="G28" s="152"/>
      <c r="H28" s="152">
        <v>-9176273.9202710055</v>
      </c>
      <c r="I28" s="152"/>
      <c r="J28" s="152"/>
      <c r="K28" s="493">
        <f>'Attachment 5b - ADIT Norm PTRR'!J43</f>
        <v>-234077.91677084565</v>
      </c>
      <c r="L28" s="121"/>
      <c r="M28" s="121"/>
    </row>
    <row r="29" spans="1:14" s="139" customFormat="1" ht="20.100000000000001" customHeight="1">
      <c r="A29" s="49" t="s">
        <v>310</v>
      </c>
      <c r="B29" s="43" t="s">
        <v>963</v>
      </c>
      <c r="C29" s="43"/>
      <c r="D29" s="43"/>
      <c r="E29" s="43"/>
      <c r="F29" s="43"/>
      <c r="G29" s="43"/>
      <c r="H29" s="43"/>
      <c r="I29" s="43"/>
      <c r="J29" s="43"/>
      <c r="K29" s="132"/>
      <c r="L29" s="43"/>
      <c r="M29" s="43"/>
    </row>
    <row r="30" spans="1:14" s="139" customFormat="1" ht="20.100000000000001" customHeight="1">
      <c r="A30" s="49"/>
      <c r="B30" s="334"/>
      <c r="C30" s="334"/>
      <c r="D30" s="334"/>
      <c r="E30" s="334"/>
      <c r="G30" s="49"/>
      <c r="H30" s="43"/>
      <c r="I30" s="43"/>
      <c r="J30" s="43"/>
      <c r="K30" s="334"/>
      <c r="L30" s="334"/>
      <c r="M30" s="43"/>
    </row>
    <row r="31" spans="1:14" s="139" customFormat="1" ht="50.25" customHeight="1">
      <c r="A31" s="49"/>
      <c r="B31" s="334"/>
      <c r="C31" s="334"/>
      <c r="D31" s="334"/>
      <c r="E31" s="141"/>
      <c r="F31" s="142" t="s">
        <v>306</v>
      </c>
      <c r="G31" s="140" t="s">
        <v>307</v>
      </c>
      <c r="H31" s="140" t="s">
        <v>308</v>
      </c>
      <c r="I31" s="140" t="s">
        <v>577</v>
      </c>
      <c r="J31" s="1012" t="s">
        <v>801</v>
      </c>
      <c r="K31" s="960" t="s">
        <v>724</v>
      </c>
      <c r="L31" s="359"/>
      <c r="M31" s="359"/>
    </row>
    <row r="32" spans="1:14" s="139" customFormat="1" ht="20.100000000000001" customHeight="1">
      <c r="A32" s="543">
        <v>5</v>
      </c>
      <c r="B32" s="334"/>
      <c r="C32" s="334"/>
      <c r="D32" s="334"/>
      <c r="E32" s="141" t="str">
        <f>E28</f>
        <v>12/31/2022</v>
      </c>
      <c r="F32" s="152"/>
      <c r="G32" s="152">
        <v>71194.150590775229</v>
      </c>
      <c r="H32" s="152">
        <v>-2023365.8631288293</v>
      </c>
      <c r="I32" s="152">
        <v>4153409.0372271677</v>
      </c>
      <c r="J32" s="152"/>
      <c r="K32" s="493">
        <f>'Attachment 5b - ADIT Norm PTRR'!J39</f>
        <v>-770319.31122365128</v>
      </c>
      <c r="L32" s="121"/>
      <c r="M32" s="121"/>
    </row>
    <row r="33" spans="1:12" ht="45" customHeight="1">
      <c r="A33" s="938" t="s">
        <v>311</v>
      </c>
      <c r="B33" s="1333" t="s">
        <v>1093</v>
      </c>
      <c r="C33" s="1333"/>
      <c r="D33" s="1333"/>
      <c r="E33" s="1333"/>
      <c r="F33" s="1333"/>
      <c r="G33" s="1333"/>
      <c r="H33" s="1333"/>
      <c r="I33" s="1333"/>
      <c r="J33" s="1333"/>
      <c r="K33" s="1333"/>
      <c r="L33" s="1333"/>
    </row>
    <row r="34" spans="1:12" ht="20.100000000000001" customHeight="1">
      <c r="A34" s="58" t="s">
        <v>725</v>
      </c>
      <c r="B34" s="132" t="s">
        <v>726</v>
      </c>
      <c r="C34" s="132"/>
      <c r="D34" s="132"/>
      <c r="E34" s="58"/>
      <c r="F34" s="58"/>
      <c r="G34" s="58"/>
      <c r="H34" s="58"/>
      <c r="I34" s="58"/>
      <c r="J34" s="58"/>
    </row>
    <row r="35" spans="1:12" ht="20.100000000000001" customHeight="1">
      <c r="A35" s="58" t="s">
        <v>576</v>
      </c>
      <c r="B35" s="132" t="s">
        <v>959</v>
      </c>
      <c r="C35" s="132"/>
      <c r="D35" s="132"/>
      <c r="E35" s="58"/>
      <c r="F35" s="58"/>
      <c r="G35" s="58"/>
      <c r="H35" s="58"/>
      <c r="I35" s="58"/>
      <c r="J35" s="58"/>
    </row>
    <row r="36" spans="1:12" ht="20.100000000000001" customHeight="1">
      <c r="A36" s="1007" t="s">
        <v>802</v>
      </c>
      <c r="B36" s="43" t="s">
        <v>803</v>
      </c>
      <c r="E36" s="1007"/>
      <c r="F36" s="1007"/>
      <c r="G36" s="1007"/>
      <c r="H36" s="1007"/>
      <c r="I36" s="1007"/>
      <c r="J36" s="43"/>
    </row>
  </sheetData>
  <customSheetViews>
    <customSheetView guid="{B991F324-919F-4749-8E3C-A09B2FA7BB10}" scale="80" showPageBreaks="1" printArea="1" view="pageBreakPreview" topLeftCell="A10">
      <selection activeCell="H30" sqref="H30"/>
      <pageMargins left="0.7" right="0.7" top="0.75" bottom="0.75" header="0.3" footer="0.3"/>
      <pageSetup scale="43" orientation="portrait" r:id="rId1"/>
      <headerFooter alignWithMargins="0"/>
    </customSheetView>
    <customSheetView guid="{901B528B-D65D-48CA-A638-FD9B4E5BB6D4}" scale="80" showPageBreaks="1" printArea="1" view="pageBreakPreview" topLeftCell="A20">
      <selection activeCell="K28" sqref="K28"/>
      <pageMargins left="0.7" right="0.7" top="0.75" bottom="0.75" header="0.3" footer="0.3"/>
      <pageSetup scale="43" orientation="portrait" r:id="rId2"/>
      <headerFooter alignWithMargins="0"/>
    </customSheetView>
    <customSheetView guid="{0DE222E8-ADD6-4F4B-9601-960D8109381F}" scale="60" showPageBreaks="1" printArea="1" view="pageBreakPreview">
      <pageMargins left="0.7" right="0.7" top="0.75" bottom="0.75" header="0.3" footer="0.3"/>
      <pageSetup scale="43" orientation="portrait" r:id="rId3"/>
      <headerFooter alignWithMargins="0"/>
    </customSheetView>
  </customSheetViews>
  <mergeCells count="6">
    <mergeCell ref="B33:L33"/>
    <mergeCell ref="E6:L6"/>
    <mergeCell ref="E13:L13"/>
    <mergeCell ref="B19:M19"/>
    <mergeCell ref="B20:L20"/>
    <mergeCell ref="B21:L21"/>
  </mergeCells>
  <pageMargins left="0.7" right="0.7" top="0.75" bottom="0.75" header="0.3" footer="0.3"/>
  <pageSetup scale="43" orientation="portrait" r:id="rId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V230"/>
  <sheetViews>
    <sheetView view="pageBreakPreview" zoomScale="80" zoomScaleNormal="60" workbookViewId="0"/>
  </sheetViews>
  <sheetFormatPr defaultRowHeight="13.2"/>
  <cols>
    <col min="1" max="1" width="4.36328125" style="154" customWidth="1"/>
    <col min="2" max="2" width="44.81640625" style="154" customWidth="1"/>
    <col min="3" max="3" width="12.6328125" style="154" bestFit="1" customWidth="1"/>
    <col min="4" max="4" width="13.6328125" style="154" customWidth="1"/>
    <col min="5" max="5" width="12.54296875" style="154" customWidth="1"/>
    <col min="6" max="6" width="13" style="154" customWidth="1"/>
    <col min="7" max="7" width="11.54296875" style="154" customWidth="1"/>
    <col min="8" max="10" width="13.81640625" style="154" customWidth="1"/>
    <col min="11" max="11" width="49.453125" style="154" customWidth="1"/>
    <col min="12" max="12" width="12.90625" style="154" customWidth="1"/>
    <col min="13" max="254" width="9.1796875" style="154"/>
    <col min="255" max="255" width="3.08984375" style="154" customWidth="1"/>
    <col min="256" max="256" width="33.36328125" style="154" customWidth="1"/>
    <col min="257" max="257" width="11.6328125" style="154" customWidth="1"/>
    <col min="258" max="258" width="12" style="154" customWidth="1"/>
    <col min="259" max="259" width="14.453125" style="154" bestFit="1" customWidth="1"/>
    <col min="260" max="260" width="10.6328125" style="154" customWidth="1"/>
    <col min="261" max="261" width="11.90625" style="154" customWidth="1"/>
    <col min="262" max="262" width="10.90625" style="154" customWidth="1"/>
    <col min="263" max="263" width="11.54296875" style="154" customWidth="1"/>
    <col min="264" max="264" width="13.81640625" style="154" customWidth="1"/>
    <col min="265" max="265" width="2.36328125" style="154" customWidth="1"/>
    <col min="266" max="266" width="2" style="154" customWidth="1"/>
    <col min="267" max="267" width="49.453125" style="154" customWidth="1"/>
    <col min="268" max="268" width="12.90625" style="154" customWidth="1"/>
    <col min="269" max="510" width="9.1796875" style="154"/>
    <col min="511" max="511" width="3.08984375" style="154" customWidth="1"/>
    <col min="512" max="512" width="33.36328125" style="154" customWidth="1"/>
    <col min="513" max="513" width="11.6328125" style="154" customWidth="1"/>
    <col min="514" max="514" width="12" style="154" customWidth="1"/>
    <col min="515" max="515" width="14.453125" style="154" bestFit="1" customWidth="1"/>
    <col min="516" max="516" width="10.6328125" style="154" customWidth="1"/>
    <col min="517" max="517" width="11.90625" style="154" customWidth="1"/>
    <col min="518" max="518" width="10.90625" style="154" customWidth="1"/>
    <col min="519" max="519" width="11.54296875" style="154" customWidth="1"/>
    <col min="520" max="520" width="13.81640625" style="154" customWidth="1"/>
    <col min="521" max="521" width="2.36328125" style="154" customWidth="1"/>
    <col min="522" max="522" width="2" style="154" customWidth="1"/>
    <col min="523" max="523" width="49.453125" style="154" customWidth="1"/>
    <col min="524" max="524" width="12.90625" style="154" customWidth="1"/>
    <col min="525" max="766" width="9.1796875" style="154"/>
    <col min="767" max="767" width="3.08984375" style="154" customWidth="1"/>
    <col min="768" max="768" width="33.36328125" style="154" customWidth="1"/>
    <col min="769" max="769" width="11.6328125" style="154" customWidth="1"/>
    <col min="770" max="770" width="12" style="154" customWidth="1"/>
    <col min="771" max="771" width="14.453125" style="154" bestFit="1" customWidth="1"/>
    <col min="772" max="772" width="10.6328125" style="154" customWidth="1"/>
    <col min="773" max="773" width="11.90625" style="154" customWidth="1"/>
    <col min="774" max="774" width="10.90625" style="154" customWidth="1"/>
    <col min="775" max="775" width="11.54296875" style="154" customWidth="1"/>
    <col min="776" max="776" width="13.81640625" style="154" customWidth="1"/>
    <col min="777" max="777" width="2.36328125" style="154" customWidth="1"/>
    <col min="778" max="778" width="2" style="154" customWidth="1"/>
    <col min="779" max="779" width="49.453125" style="154" customWidth="1"/>
    <col min="780" max="780" width="12.90625" style="154" customWidth="1"/>
    <col min="781" max="1022" width="9.1796875" style="154"/>
    <col min="1023" max="1023" width="3.08984375" style="154" customWidth="1"/>
    <col min="1024" max="1024" width="33.36328125" style="154" customWidth="1"/>
    <col min="1025" max="1025" width="11.6328125" style="154" customWidth="1"/>
    <col min="1026" max="1026" width="12" style="154" customWidth="1"/>
    <col min="1027" max="1027" width="14.453125" style="154" bestFit="1" customWidth="1"/>
    <col min="1028" max="1028" width="10.6328125" style="154" customWidth="1"/>
    <col min="1029" max="1029" width="11.90625" style="154" customWidth="1"/>
    <col min="1030" max="1030" width="10.90625" style="154" customWidth="1"/>
    <col min="1031" max="1031" width="11.54296875" style="154" customWidth="1"/>
    <col min="1032" max="1032" width="13.81640625" style="154" customWidth="1"/>
    <col min="1033" max="1033" width="2.36328125" style="154" customWidth="1"/>
    <col min="1034" max="1034" width="2" style="154" customWidth="1"/>
    <col min="1035" max="1035" width="49.453125" style="154" customWidth="1"/>
    <col min="1036" max="1036" width="12.90625" style="154" customWidth="1"/>
    <col min="1037" max="1278" width="9.1796875" style="154"/>
    <col min="1279" max="1279" width="3.08984375" style="154" customWidth="1"/>
    <col min="1280" max="1280" width="33.36328125" style="154" customWidth="1"/>
    <col min="1281" max="1281" width="11.6328125" style="154" customWidth="1"/>
    <col min="1282" max="1282" width="12" style="154" customWidth="1"/>
    <col min="1283" max="1283" width="14.453125" style="154" bestFit="1" customWidth="1"/>
    <col min="1284" max="1284" width="10.6328125" style="154" customWidth="1"/>
    <col min="1285" max="1285" width="11.90625" style="154" customWidth="1"/>
    <col min="1286" max="1286" width="10.90625" style="154" customWidth="1"/>
    <col min="1287" max="1287" width="11.54296875" style="154" customWidth="1"/>
    <col min="1288" max="1288" width="13.81640625" style="154" customWidth="1"/>
    <col min="1289" max="1289" width="2.36328125" style="154" customWidth="1"/>
    <col min="1290" max="1290" width="2" style="154" customWidth="1"/>
    <col min="1291" max="1291" width="49.453125" style="154" customWidth="1"/>
    <col min="1292" max="1292" width="12.90625" style="154" customWidth="1"/>
    <col min="1293" max="1534" width="9.1796875" style="154"/>
    <col min="1535" max="1535" width="3.08984375" style="154" customWidth="1"/>
    <col min="1536" max="1536" width="33.36328125" style="154" customWidth="1"/>
    <col min="1537" max="1537" width="11.6328125" style="154" customWidth="1"/>
    <col min="1538" max="1538" width="12" style="154" customWidth="1"/>
    <col min="1539" max="1539" width="14.453125" style="154" bestFit="1" customWidth="1"/>
    <col min="1540" max="1540" width="10.6328125" style="154" customWidth="1"/>
    <col min="1541" max="1541" width="11.90625" style="154" customWidth="1"/>
    <col min="1542" max="1542" width="10.90625" style="154" customWidth="1"/>
    <col min="1543" max="1543" width="11.54296875" style="154" customWidth="1"/>
    <col min="1544" max="1544" width="13.81640625" style="154" customWidth="1"/>
    <col min="1545" max="1545" width="2.36328125" style="154" customWidth="1"/>
    <col min="1546" max="1546" width="2" style="154" customWidth="1"/>
    <col min="1547" max="1547" width="49.453125" style="154" customWidth="1"/>
    <col min="1548" max="1548" width="12.90625" style="154" customWidth="1"/>
    <col min="1549" max="1790" width="9.1796875" style="154"/>
    <col min="1791" max="1791" width="3.08984375" style="154" customWidth="1"/>
    <col min="1792" max="1792" width="33.36328125" style="154" customWidth="1"/>
    <col min="1793" max="1793" width="11.6328125" style="154" customWidth="1"/>
    <col min="1794" max="1794" width="12" style="154" customWidth="1"/>
    <col min="1795" max="1795" width="14.453125" style="154" bestFit="1" customWidth="1"/>
    <col min="1796" max="1796" width="10.6328125" style="154" customWidth="1"/>
    <col min="1797" max="1797" width="11.90625" style="154" customWidth="1"/>
    <col min="1798" max="1798" width="10.90625" style="154" customWidth="1"/>
    <col min="1799" max="1799" width="11.54296875" style="154" customWidth="1"/>
    <col min="1800" max="1800" width="13.81640625" style="154" customWidth="1"/>
    <col min="1801" max="1801" width="2.36328125" style="154" customWidth="1"/>
    <col min="1802" max="1802" width="2" style="154" customWidth="1"/>
    <col min="1803" max="1803" width="49.453125" style="154" customWidth="1"/>
    <col min="1804" max="1804" width="12.90625" style="154" customWidth="1"/>
    <col min="1805" max="2046" width="9.1796875" style="154"/>
    <col min="2047" max="2047" width="3.08984375" style="154" customWidth="1"/>
    <col min="2048" max="2048" width="33.36328125" style="154" customWidth="1"/>
    <col min="2049" max="2049" width="11.6328125" style="154" customWidth="1"/>
    <col min="2050" max="2050" width="12" style="154" customWidth="1"/>
    <col min="2051" max="2051" width="14.453125" style="154" bestFit="1" customWidth="1"/>
    <col min="2052" max="2052" width="10.6328125" style="154" customWidth="1"/>
    <col min="2053" max="2053" width="11.90625" style="154" customWidth="1"/>
    <col min="2054" max="2054" width="10.90625" style="154" customWidth="1"/>
    <col min="2055" max="2055" width="11.54296875" style="154" customWidth="1"/>
    <col min="2056" max="2056" width="13.81640625" style="154" customWidth="1"/>
    <col min="2057" max="2057" width="2.36328125" style="154" customWidth="1"/>
    <col min="2058" max="2058" width="2" style="154" customWidth="1"/>
    <col min="2059" max="2059" width="49.453125" style="154" customWidth="1"/>
    <col min="2060" max="2060" width="12.90625" style="154" customWidth="1"/>
    <col min="2061" max="2302" width="9.1796875" style="154"/>
    <col min="2303" max="2303" width="3.08984375" style="154" customWidth="1"/>
    <col min="2304" max="2304" width="33.36328125" style="154" customWidth="1"/>
    <col min="2305" max="2305" width="11.6328125" style="154" customWidth="1"/>
    <col min="2306" max="2306" width="12" style="154" customWidth="1"/>
    <col min="2307" max="2307" width="14.453125" style="154" bestFit="1" customWidth="1"/>
    <col min="2308" max="2308" width="10.6328125" style="154" customWidth="1"/>
    <col min="2309" max="2309" width="11.90625" style="154" customWidth="1"/>
    <col min="2310" max="2310" width="10.90625" style="154" customWidth="1"/>
    <col min="2311" max="2311" width="11.54296875" style="154" customWidth="1"/>
    <col min="2312" max="2312" width="13.81640625" style="154" customWidth="1"/>
    <col min="2313" max="2313" width="2.36328125" style="154" customWidth="1"/>
    <col min="2314" max="2314" width="2" style="154" customWidth="1"/>
    <col min="2315" max="2315" width="49.453125" style="154" customWidth="1"/>
    <col min="2316" max="2316" width="12.90625" style="154" customWidth="1"/>
    <col min="2317" max="2558" width="9.1796875" style="154"/>
    <col min="2559" max="2559" width="3.08984375" style="154" customWidth="1"/>
    <col min="2560" max="2560" width="33.36328125" style="154" customWidth="1"/>
    <col min="2561" max="2561" width="11.6328125" style="154" customWidth="1"/>
    <col min="2562" max="2562" width="12" style="154" customWidth="1"/>
    <col min="2563" max="2563" width="14.453125" style="154" bestFit="1" customWidth="1"/>
    <col min="2564" max="2564" width="10.6328125" style="154" customWidth="1"/>
    <col min="2565" max="2565" width="11.90625" style="154" customWidth="1"/>
    <col min="2566" max="2566" width="10.90625" style="154" customWidth="1"/>
    <col min="2567" max="2567" width="11.54296875" style="154" customWidth="1"/>
    <col min="2568" max="2568" width="13.81640625" style="154" customWidth="1"/>
    <col min="2569" max="2569" width="2.36328125" style="154" customWidth="1"/>
    <col min="2570" max="2570" width="2" style="154" customWidth="1"/>
    <col min="2571" max="2571" width="49.453125" style="154" customWidth="1"/>
    <col min="2572" max="2572" width="12.90625" style="154" customWidth="1"/>
    <col min="2573" max="2814" width="9.1796875" style="154"/>
    <col min="2815" max="2815" width="3.08984375" style="154" customWidth="1"/>
    <col min="2816" max="2816" width="33.36328125" style="154" customWidth="1"/>
    <col min="2817" max="2817" width="11.6328125" style="154" customWidth="1"/>
    <col min="2818" max="2818" width="12" style="154" customWidth="1"/>
    <col min="2819" max="2819" width="14.453125" style="154" bestFit="1" customWidth="1"/>
    <col min="2820" max="2820" width="10.6328125" style="154" customWidth="1"/>
    <col min="2821" max="2821" width="11.90625" style="154" customWidth="1"/>
    <col min="2822" max="2822" width="10.90625" style="154" customWidth="1"/>
    <col min="2823" max="2823" width="11.54296875" style="154" customWidth="1"/>
    <col min="2824" max="2824" width="13.81640625" style="154" customWidth="1"/>
    <col min="2825" max="2825" width="2.36328125" style="154" customWidth="1"/>
    <col min="2826" max="2826" width="2" style="154" customWidth="1"/>
    <col min="2827" max="2827" width="49.453125" style="154" customWidth="1"/>
    <col min="2828" max="2828" width="12.90625" style="154" customWidth="1"/>
    <col min="2829" max="3070" width="9.1796875" style="154"/>
    <col min="3071" max="3071" width="3.08984375" style="154" customWidth="1"/>
    <col min="3072" max="3072" width="33.36328125" style="154" customWidth="1"/>
    <col min="3073" max="3073" width="11.6328125" style="154" customWidth="1"/>
    <col min="3074" max="3074" width="12" style="154" customWidth="1"/>
    <col min="3075" max="3075" width="14.453125" style="154" bestFit="1" customWidth="1"/>
    <col min="3076" max="3076" width="10.6328125" style="154" customWidth="1"/>
    <col min="3077" max="3077" width="11.90625" style="154" customWidth="1"/>
    <col min="3078" max="3078" width="10.90625" style="154" customWidth="1"/>
    <col min="3079" max="3079" width="11.54296875" style="154" customWidth="1"/>
    <col min="3080" max="3080" width="13.81640625" style="154" customWidth="1"/>
    <col min="3081" max="3081" width="2.36328125" style="154" customWidth="1"/>
    <col min="3082" max="3082" width="2" style="154" customWidth="1"/>
    <col min="3083" max="3083" width="49.453125" style="154" customWidth="1"/>
    <col min="3084" max="3084" width="12.90625" style="154" customWidth="1"/>
    <col min="3085" max="3326" width="9.1796875" style="154"/>
    <col min="3327" max="3327" width="3.08984375" style="154" customWidth="1"/>
    <col min="3328" max="3328" width="33.36328125" style="154" customWidth="1"/>
    <col min="3329" max="3329" width="11.6328125" style="154" customWidth="1"/>
    <col min="3330" max="3330" width="12" style="154" customWidth="1"/>
    <col min="3331" max="3331" width="14.453125" style="154" bestFit="1" customWidth="1"/>
    <col min="3332" max="3332" width="10.6328125" style="154" customWidth="1"/>
    <col min="3333" max="3333" width="11.90625" style="154" customWidth="1"/>
    <col min="3334" max="3334" width="10.90625" style="154" customWidth="1"/>
    <col min="3335" max="3335" width="11.54296875" style="154" customWidth="1"/>
    <col min="3336" max="3336" width="13.81640625" style="154" customWidth="1"/>
    <col min="3337" max="3337" width="2.36328125" style="154" customWidth="1"/>
    <col min="3338" max="3338" width="2" style="154" customWidth="1"/>
    <col min="3339" max="3339" width="49.453125" style="154" customWidth="1"/>
    <col min="3340" max="3340" width="12.90625" style="154" customWidth="1"/>
    <col min="3341" max="3582" width="9.1796875" style="154"/>
    <col min="3583" max="3583" width="3.08984375" style="154" customWidth="1"/>
    <col min="3584" max="3584" width="33.36328125" style="154" customWidth="1"/>
    <col min="3585" max="3585" width="11.6328125" style="154" customWidth="1"/>
    <col min="3586" max="3586" width="12" style="154" customWidth="1"/>
    <col min="3587" max="3587" width="14.453125" style="154" bestFit="1" customWidth="1"/>
    <col min="3588" max="3588" width="10.6328125" style="154" customWidth="1"/>
    <col min="3589" max="3589" width="11.90625" style="154" customWidth="1"/>
    <col min="3590" max="3590" width="10.90625" style="154" customWidth="1"/>
    <col min="3591" max="3591" width="11.54296875" style="154" customWidth="1"/>
    <col min="3592" max="3592" width="13.81640625" style="154" customWidth="1"/>
    <col min="3593" max="3593" width="2.36328125" style="154" customWidth="1"/>
    <col min="3594" max="3594" width="2" style="154" customWidth="1"/>
    <col min="3595" max="3595" width="49.453125" style="154" customWidth="1"/>
    <col min="3596" max="3596" width="12.90625" style="154" customWidth="1"/>
    <col min="3597" max="3838" width="9.1796875" style="154"/>
    <col min="3839" max="3839" width="3.08984375" style="154" customWidth="1"/>
    <col min="3840" max="3840" width="33.36328125" style="154" customWidth="1"/>
    <col min="3841" max="3841" width="11.6328125" style="154" customWidth="1"/>
    <col min="3842" max="3842" width="12" style="154" customWidth="1"/>
    <col min="3843" max="3843" width="14.453125" style="154" bestFit="1" customWidth="1"/>
    <col min="3844" max="3844" width="10.6328125" style="154" customWidth="1"/>
    <col min="3845" max="3845" width="11.90625" style="154" customWidth="1"/>
    <col min="3846" max="3846" width="10.90625" style="154" customWidth="1"/>
    <col min="3847" max="3847" width="11.54296875" style="154" customWidth="1"/>
    <col min="3848" max="3848" width="13.81640625" style="154" customWidth="1"/>
    <col min="3849" max="3849" width="2.36328125" style="154" customWidth="1"/>
    <col min="3850" max="3850" width="2" style="154" customWidth="1"/>
    <col min="3851" max="3851" width="49.453125" style="154" customWidth="1"/>
    <col min="3852" max="3852" width="12.90625" style="154" customWidth="1"/>
    <col min="3853" max="4094" width="9.1796875" style="154"/>
    <col min="4095" max="4095" width="3.08984375" style="154" customWidth="1"/>
    <col min="4096" max="4096" width="33.36328125" style="154" customWidth="1"/>
    <col min="4097" max="4097" width="11.6328125" style="154" customWidth="1"/>
    <col min="4098" max="4098" width="12" style="154" customWidth="1"/>
    <col min="4099" max="4099" width="14.453125" style="154" bestFit="1" customWidth="1"/>
    <col min="4100" max="4100" width="10.6328125" style="154" customWidth="1"/>
    <col min="4101" max="4101" width="11.90625" style="154" customWidth="1"/>
    <col min="4102" max="4102" width="10.90625" style="154" customWidth="1"/>
    <col min="4103" max="4103" width="11.54296875" style="154" customWidth="1"/>
    <col min="4104" max="4104" width="13.81640625" style="154" customWidth="1"/>
    <col min="4105" max="4105" width="2.36328125" style="154" customWidth="1"/>
    <col min="4106" max="4106" width="2" style="154" customWidth="1"/>
    <col min="4107" max="4107" width="49.453125" style="154" customWidth="1"/>
    <col min="4108" max="4108" width="12.90625" style="154" customWidth="1"/>
    <col min="4109" max="4350" width="9.1796875" style="154"/>
    <col min="4351" max="4351" width="3.08984375" style="154" customWidth="1"/>
    <col min="4352" max="4352" width="33.36328125" style="154" customWidth="1"/>
    <col min="4353" max="4353" width="11.6328125" style="154" customWidth="1"/>
    <col min="4354" max="4354" width="12" style="154" customWidth="1"/>
    <col min="4355" max="4355" width="14.453125" style="154" bestFit="1" customWidth="1"/>
    <col min="4356" max="4356" width="10.6328125" style="154" customWidth="1"/>
    <col min="4357" max="4357" width="11.90625" style="154" customWidth="1"/>
    <col min="4358" max="4358" width="10.90625" style="154" customWidth="1"/>
    <col min="4359" max="4359" width="11.54296875" style="154" customWidth="1"/>
    <col min="4360" max="4360" width="13.81640625" style="154" customWidth="1"/>
    <col min="4361" max="4361" width="2.36328125" style="154" customWidth="1"/>
    <col min="4362" max="4362" width="2" style="154" customWidth="1"/>
    <col min="4363" max="4363" width="49.453125" style="154" customWidth="1"/>
    <col min="4364" max="4364" width="12.90625" style="154" customWidth="1"/>
    <col min="4365" max="4606" width="9.1796875" style="154"/>
    <col min="4607" max="4607" width="3.08984375" style="154" customWidth="1"/>
    <col min="4608" max="4608" width="33.36328125" style="154" customWidth="1"/>
    <col min="4609" max="4609" width="11.6328125" style="154" customWidth="1"/>
    <col min="4610" max="4610" width="12" style="154" customWidth="1"/>
    <col min="4611" max="4611" width="14.453125" style="154" bestFit="1" customWidth="1"/>
    <col min="4612" max="4612" width="10.6328125" style="154" customWidth="1"/>
    <col min="4613" max="4613" width="11.90625" style="154" customWidth="1"/>
    <col min="4614" max="4614" width="10.90625" style="154" customWidth="1"/>
    <col min="4615" max="4615" width="11.54296875" style="154" customWidth="1"/>
    <col min="4616" max="4616" width="13.81640625" style="154" customWidth="1"/>
    <col min="4617" max="4617" width="2.36328125" style="154" customWidth="1"/>
    <col min="4618" max="4618" width="2" style="154" customWidth="1"/>
    <col min="4619" max="4619" width="49.453125" style="154" customWidth="1"/>
    <col min="4620" max="4620" width="12.90625" style="154" customWidth="1"/>
    <col min="4621" max="4862" width="9.1796875" style="154"/>
    <col min="4863" max="4863" width="3.08984375" style="154" customWidth="1"/>
    <col min="4864" max="4864" width="33.36328125" style="154" customWidth="1"/>
    <col min="4865" max="4865" width="11.6328125" style="154" customWidth="1"/>
    <col min="4866" max="4866" width="12" style="154" customWidth="1"/>
    <col min="4867" max="4867" width="14.453125" style="154" bestFit="1" customWidth="1"/>
    <col min="4868" max="4868" width="10.6328125" style="154" customWidth="1"/>
    <col min="4869" max="4869" width="11.90625" style="154" customWidth="1"/>
    <col min="4870" max="4870" width="10.90625" style="154" customWidth="1"/>
    <col min="4871" max="4871" width="11.54296875" style="154" customWidth="1"/>
    <col min="4872" max="4872" width="13.81640625" style="154" customWidth="1"/>
    <col min="4873" max="4873" width="2.36328125" style="154" customWidth="1"/>
    <col min="4874" max="4874" width="2" style="154" customWidth="1"/>
    <col min="4875" max="4875" width="49.453125" style="154" customWidth="1"/>
    <col min="4876" max="4876" width="12.90625" style="154" customWidth="1"/>
    <col min="4877" max="5118" width="9.1796875" style="154"/>
    <col min="5119" max="5119" width="3.08984375" style="154" customWidth="1"/>
    <col min="5120" max="5120" width="33.36328125" style="154" customWidth="1"/>
    <col min="5121" max="5121" width="11.6328125" style="154" customWidth="1"/>
    <col min="5122" max="5122" width="12" style="154" customWidth="1"/>
    <col min="5123" max="5123" width="14.453125" style="154" bestFit="1" customWidth="1"/>
    <col min="5124" max="5124" width="10.6328125" style="154" customWidth="1"/>
    <col min="5125" max="5125" width="11.90625" style="154" customWidth="1"/>
    <col min="5126" max="5126" width="10.90625" style="154" customWidth="1"/>
    <col min="5127" max="5127" width="11.54296875" style="154" customWidth="1"/>
    <col min="5128" max="5128" width="13.81640625" style="154" customWidth="1"/>
    <col min="5129" max="5129" width="2.36328125" style="154" customWidth="1"/>
    <col min="5130" max="5130" width="2" style="154" customWidth="1"/>
    <col min="5131" max="5131" width="49.453125" style="154" customWidth="1"/>
    <col min="5132" max="5132" width="12.90625" style="154" customWidth="1"/>
    <col min="5133" max="5374" width="9.1796875" style="154"/>
    <col min="5375" max="5375" width="3.08984375" style="154" customWidth="1"/>
    <col min="5376" max="5376" width="33.36328125" style="154" customWidth="1"/>
    <col min="5377" max="5377" width="11.6328125" style="154" customWidth="1"/>
    <col min="5378" max="5378" width="12" style="154" customWidth="1"/>
    <col min="5379" max="5379" width="14.453125" style="154" bestFit="1" customWidth="1"/>
    <col min="5380" max="5380" width="10.6328125" style="154" customWidth="1"/>
    <col min="5381" max="5381" width="11.90625" style="154" customWidth="1"/>
    <col min="5382" max="5382" width="10.90625" style="154" customWidth="1"/>
    <col min="5383" max="5383" width="11.54296875" style="154" customWidth="1"/>
    <col min="5384" max="5384" width="13.81640625" style="154" customWidth="1"/>
    <col min="5385" max="5385" width="2.36328125" style="154" customWidth="1"/>
    <col min="5386" max="5386" width="2" style="154" customWidth="1"/>
    <col min="5387" max="5387" width="49.453125" style="154" customWidth="1"/>
    <col min="5388" max="5388" width="12.90625" style="154" customWidth="1"/>
    <col min="5389" max="5630" width="9.1796875" style="154"/>
    <col min="5631" max="5631" width="3.08984375" style="154" customWidth="1"/>
    <col min="5632" max="5632" width="33.36328125" style="154" customWidth="1"/>
    <col min="5633" max="5633" width="11.6328125" style="154" customWidth="1"/>
    <col min="5634" max="5634" width="12" style="154" customWidth="1"/>
    <col min="5635" max="5635" width="14.453125" style="154" bestFit="1" customWidth="1"/>
    <col min="5636" max="5636" width="10.6328125" style="154" customWidth="1"/>
    <col min="5637" max="5637" width="11.90625" style="154" customWidth="1"/>
    <col min="5638" max="5638" width="10.90625" style="154" customWidth="1"/>
    <col min="5639" max="5639" width="11.54296875" style="154" customWidth="1"/>
    <col min="5640" max="5640" width="13.81640625" style="154" customWidth="1"/>
    <col min="5641" max="5641" width="2.36328125" style="154" customWidth="1"/>
    <col min="5642" max="5642" width="2" style="154" customWidth="1"/>
    <col min="5643" max="5643" width="49.453125" style="154" customWidth="1"/>
    <col min="5644" max="5644" width="12.90625" style="154" customWidth="1"/>
    <col min="5645" max="5886" width="9.1796875" style="154"/>
    <col min="5887" max="5887" width="3.08984375" style="154" customWidth="1"/>
    <col min="5888" max="5888" width="33.36328125" style="154" customWidth="1"/>
    <col min="5889" max="5889" width="11.6328125" style="154" customWidth="1"/>
    <col min="5890" max="5890" width="12" style="154" customWidth="1"/>
    <col min="5891" max="5891" width="14.453125" style="154" bestFit="1" customWidth="1"/>
    <col min="5892" max="5892" width="10.6328125" style="154" customWidth="1"/>
    <col min="5893" max="5893" width="11.90625" style="154" customWidth="1"/>
    <col min="5894" max="5894" width="10.90625" style="154" customWidth="1"/>
    <col min="5895" max="5895" width="11.54296875" style="154" customWidth="1"/>
    <col min="5896" max="5896" width="13.81640625" style="154" customWidth="1"/>
    <col min="5897" max="5897" width="2.36328125" style="154" customWidth="1"/>
    <col min="5898" max="5898" width="2" style="154" customWidth="1"/>
    <col min="5899" max="5899" width="49.453125" style="154" customWidth="1"/>
    <col min="5900" max="5900" width="12.90625" style="154" customWidth="1"/>
    <col min="5901" max="6142" width="9.1796875" style="154"/>
    <col min="6143" max="6143" width="3.08984375" style="154" customWidth="1"/>
    <col min="6144" max="6144" width="33.36328125" style="154" customWidth="1"/>
    <col min="6145" max="6145" width="11.6328125" style="154" customWidth="1"/>
    <col min="6146" max="6146" width="12" style="154" customWidth="1"/>
    <col min="6147" max="6147" width="14.453125" style="154" bestFit="1" customWidth="1"/>
    <col min="6148" max="6148" width="10.6328125" style="154" customWidth="1"/>
    <col min="6149" max="6149" width="11.90625" style="154" customWidth="1"/>
    <col min="6150" max="6150" width="10.90625" style="154" customWidth="1"/>
    <col min="6151" max="6151" width="11.54296875" style="154" customWidth="1"/>
    <col min="6152" max="6152" width="13.81640625" style="154" customWidth="1"/>
    <col min="6153" max="6153" width="2.36328125" style="154" customWidth="1"/>
    <col min="6154" max="6154" width="2" style="154" customWidth="1"/>
    <col min="6155" max="6155" width="49.453125" style="154" customWidth="1"/>
    <col min="6156" max="6156" width="12.90625" style="154" customWidth="1"/>
    <col min="6157" max="6398" width="9.1796875" style="154"/>
    <col min="6399" max="6399" width="3.08984375" style="154" customWidth="1"/>
    <col min="6400" max="6400" width="33.36328125" style="154" customWidth="1"/>
    <col min="6401" max="6401" width="11.6328125" style="154" customWidth="1"/>
    <col min="6402" max="6402" width="12" style="154" customWidth="1"/>
    <col min="6403" max="6403" width="14.453125" style="154" bestFit="1" customWidth="1"/>
    <col min="6404" max="6404" width="10.6328125" style="154" customWidth="1"/>
    <col min="6405" max="6405" width="11.90625" style="154" customWidth="1"/>
    <col min="6406" max="6406" width="10.90625" style="154" customWidth="1"/>
    <col min="6407" max="6407" width="11.54296875" style="154" customWidth="1"/>
    <col min="6408" max="6408" width="13.81640625" style="154" customWidth="1"/>
    <col min="6409" max="6409" width="2.36328125" style="154" customWidth="1"/>
    <col min="6410" max="6410" width="2" style="154" customWidth="1"/>
    <col min="6411" max="6411" width="49.453125" style="154" customWidth="1"/>
    <col min="6412" max="6412" width="12.90625" style="154" customWidth="1"/>
    <col min="6413" max="6654" width="9.1796875" style="154"/>
    <col min="6655" max="6655" width="3.08984375" style="154" customWidth="1"/>
    <col min="6656" max="6656" width="33.36328125" style="154" customWidth="1"/>
    <col min="6657" max="6657" width="11.6328125" style="154" customWidth="1"/>
    <col min="6658" max="6658" width="12" style="154" customWidth="1"/>
    <col min="6659" max="6659" width="14.453125" style="154" bestFit="1" customWidth="1"/>
    <col min="6660" max="6660" width="10.6328125" style="154" customWidth="1"/>
    <col min="6661" max="6661" width="11.90625" style="154" customWidth="1"/>
    <col min="6662" max="6662" width="10.90625" style="154" customWidth="1"/>
    <col min="6663" max="6663" width="11.54296875" style="154" customWidth="1"/>
    <col min="6664" max="6664" width="13.81640625" style="154" customWidth="1"/>
    <col min="6665" max="6665" width="2.36328125" style="154" customWidth="1"/>
    <col min="6666" max="6666" width="2" style="154" customWidth="1"/>
    <col min="6667" max="6667" width="49.453125" style="154" customWidth="1"/>
    <col min="6668" max="6668" width="12.90625" style="154" customWidth="1"/>
    <col min="6669" max="6910" width="9.1796875" style="154"/>
    <col min="6911" max="6911" width="3.08984375" style="154" customWidth="1"/>
    <col min="6912" max="6912" width="33.36328125" style="154" customWidth="1"/>
    <col min="6913" max="6913" width="11.6328125" style="154" customWidth="1"/>
    <col min="6914" max="6914" width="12" style="154" customWidth="1"/>
    <col min="6915" max="6915" width="14.453125" style="154" bestFit="1" customWidth="1"/>
    <col min="6916" max="6916" width="10.6328125" style="154" customWidth="1"/>
    <col min="6917" max="6917" width="11.90625" style="154" customWidth="1"/>
    <col min="6918" max="6918" width="10.90625" style="154" customWidth="1"/>
    <col min="6919" max="6919" width="11.54296875" style="154" customWidth="1"/>
    <col min="6920" max="6920" width="13.81640625" style="154" customWidth="1"/>
    <col min="6921" max="6921" width="2.36328125" style="154" customWidth="1"/>
    <col min="6922" max="6922" width="2" style="154" customWidth="1"/>
    <col min="6923" max="6923" width="49.453125" style="154" customWidth="1"/>
    <col min="6924" max="6924" width="12.90625" style="154" customWidth="1"/>
    <col min="6925" max="7166" width="9.1796875" style="154"/>
    <col min="7167" max="7167" width="3.08984375" style="154" customWidth="1"/>
    <col min="7168" max="7168" width="33.36328125" style="154" customWidth="1"/>
    <col min="7169" max="7169" width="11.6328125" style="154" customWidth="1"/>
    <col min="7170" max="7170" width="12" style="154" customWidth="1"/>
    <col min="7171" max="7171" width="14.453125" style="154" bestFit="1" customWidth="1"/>
    <col min="7172" max="7172" width="10.6328125" style="154" customWidth="1"/>
    <col min="7173" max="7173" width="11.90625" style="154" customWidth="1"/>
    <col min="7174" max="7174" width="10.90625" style="154" customWidth="1"/>
    <col min="7175" max="7175" width="11.54296875" style="154" customWidth="1"/>
    <col min="7176" max="7176" width="13.81640625" style="154" customWidth="1"/>
    <col min="7177" max="7177" width="2.36328125" style="154" customWidth="1"/>
    <col min="7178" max="7178" width="2" style="154" customWidth="1"/>
    <col min="7179" max="7179" width="49.453125" style="154" customWidth="1"/>
    <col min="7180" max="7180" width="12.90625" style="154" customWidth="1"/>
    <col min="7181" max="7422" width="9.1796875" style="154"/>
    <col min="7423" max="7423" width="3.08984375" style="154" customWidth="1"/>
    <col min="7424" max="7424" width="33.36328125" style="154" customWidth="1"/>
    <col min="7425" max="7425" width="11.6328125" style="154" customWidth="1"/>
    <col min="7426" max="7426" width="12" style="154" customWidth="1"/>
    <col min="7427" max="7427" width="14.453125" style="154" bestFit="1" customWidth="1"/>
    <col min="7428" max="7428" width="10.6328125" style="154" customWidth="1"/>
    <col min="7429" max="7429" width="11.90625" style="154" customWidth="1"/>
    <col min="7430" max="7430" width="10.90625" style="154" customWidth="1"/>
    <col min="7431" max="7431" width="11.54296875" style="154" customWidth="1"/>
    <col min="7432" max="7432" width="13.81640625" style="154" customWidth="1"/>
    <col min="7433" max="7433" width="2.36328125" style="154" customWidth="1"/>
    <col min="7434" max="7434" width="2" style="154" customWidth="1"/>
    <col min="7435" max="7435" width="49.453125" style="154" customWidth="1"/>
    <col min="7436" max="7436" width="12.90625" style="154" customWidth="1"/>
    <col min="7437" max="7678" width="9.1796875" style="154"/>
    <col min="7679" max="7679" width="3.08984375" style="154" customWidth="1"/>
    <col min="7680" max="7680" width="33.36328125" style="154" customWidth="1"/>
    <col min="7681" max="7681" width="11.6328125" style="154" customWidth="1"/>
    <col min="7682" max="7682" width="12" style="154" customWidth="1"/>
    <col min="7683" max="7683" width="14.453125" style="154" bestFit="1" customWidth="1"/>
    <col min="7684" max="7684" width="10.6328125" style="154" customWidth="1"/>
    <col min="7685" max="7685" width="11.90625" style="154" customWidth="1"/>
    <col min="7686" max="7686" width="10.90625" style="154" customWidth="1"/>
    <col min="7687" max="7687" width="11.54296875" style="154" customWidth="1"/>
    <col min="7688" max="7688" width="13.81640625" style="154" customWidth="1"/>
    <col min="7689" max="7689" width="2.36328125" style="154" customWidth="1"/>
    <col min="7690" max="7690" width="2" style="154" customWidth="1"/>
    <col min="7691" max="7691" width="49.453125" style="154" customWidth="1"/>
    <col min="7692" max="7692" width="12.90625" style="154" customWidth="1"/>
    <col min="7693" max="7934" width="9.1796875" style="154"/>
    <col min="7935" max="7935" width="3.08984375" style="154" customWidth="1"/>
    <col min="7936" max="7936" width="33.36328125" style="154" customWidth="1"/>
    <col min="7937" max="7937" width="11.6328125" style="154" customWidth="1"/>
    <col min="7938" max="7938" width="12" style="154" customWidth="1"/>
    <col min="7939" max="7939" width="14.453125" style="154" bestFit="1" customWidth="1"/>
    <col min="7940" max="7940" width="10.6328125" style="154" customWidth="1"/>
    <col min="7941" max="7941" width="11.90625" style="154" customWidth="1"/>
    <col min="7942" max="7942" width="10.90625" style="154" customWidth="1"/>
    <col min="7943" max="7943" width="11.54296875" style="154" customWidth="1"/>
    <col min="7944" max="7944" width="13.81640625" style="154" customWidth="1"/>
    <col min="7945" max="7945" width="2.36328125" style="154" customWidth="1"/>
    <col min="7946" max="7946" width="2" style="154" customWidth="1"/>
    <col min="7947" max="7947" width="49.453125" style="154" customWidth="1"/>
    <col min="7948" max="7948" width="12.90625" style="154" customWidth="1"/>
    <col min="7949" max="8190" width="9.1796875" style="154"/>
    <col min="8191" max="8191" width="3.08984375" style="154" customWidth="1"/>
    <col min="8192" max="8192" width="33.36328125" style="154" customWidth="1"/>
    <col min="8193" max="8193" width="11.6328125" style="154" customWidth="1"/>
    <col min="8194" max="8194" width="12" style="154" customWidth="1"/>
    <col min="8195" max="8195" width="14.453125" style="154" bestFit="1" customWidth="1"/>
    <col min="8196" max="8196" width="10.6328125" style="154" customWidth="1"/>
    <col min="8197" max="8197" width="11.90625" style="154" customWidth="1"/>
    <col min="8198" max="8198" width="10.90625" style="154" customWidth="1"/>
    <col min="8199" max="8199" width="11.54296875" style="154" customWidth="1"/>
    <col min="8200" max="8200" width="13.81640625" style="154" customWidth="1"/>
    <col min="8201" max="8201" width="2.36328125" style="154" customWidth="1"/>
    <col min="8202" max="8202" width="2" style="154" customWidth="1"/>
    <col min="8203" max="8203" width="49.453125" style="154" customWidth="1"/>
    <col min="8204" max="8204" width="12.90625" style="154" customWidth="1"/>
    <col min="8205" max="8446" width="9.1796875" style="154"/>
    <col min="8447" max="8447" width="3.08984375" style="154" customWidth="1"/>
    <col min="8448" max="8448" width="33.36328125" style="154" customWidth="1"/>
    <col min="8449" max="8449" width="11.6328125" style="154" customWidth="1"/>
    <col min="8450" max="8450" width="12" style="154" customWidth="1"/>
    <col min="8451" max="8451" width="14.453125" style="154" bestFit="1" customWidth="1"/>
    <col min="8452" max="8452" width="10.6328125" style="154" customWidth="1"/>
    <col min="8453" max="8453" width="11.90625" style="154" customWidth="1"/>
    <col min="8454" max="8454" width="10.90625" style="154" customWidth="1"/>
    <col min="8455" max="8455" width="11.54296875" style="154" customWidth="1"/>
    <col min="8456" max="8456" width="13.81640625" style="154" customWidth="1"/>
    <col min="8457" max="8457" width="2.36328125" style="154" customWidth="1"/>
    <col min="8458" max="8458" width="2" style="154" customWidth="1"/>
    <col min="8459" max="8459" width="49.453125" style="154" customWidth="1"/>
    <col min="8460" max="8460" width="12.90625" style="154" customWidth="1"/>
    <col min="8461" max="8702" width="9.1796875" style="154"/>
    <col min="8703" max="8703" width="3.08984375" style="154" customWidth="1"/>
    <col min="8704" max="8704" width="33.36328125" style="154" customWidth="1"/>
    <col min="8705" max="8705" width="11.6328125" style="154" customWidth="1"/>
    <col min="8706" max="8706" width="12" style="154" customWidth="1"/>
    <col min="8707" max="8707" width="14.453125" style="154" bestFit="1" customWidth="1"/>
    <col min="8708" max="8708" width="10.6328125" style="154" customWidth="1"/>
    <col min="8709" max="8709" width="11.90625" style="154" customWidth="1"/>
    <col min="8710" max="8710" width="10.90625" style="154" customWidth="1"/>
    <col min="8711" max="8711" width="11.54296875" style="154" customWidth="1"/>
    <col min="8712" max="8712" width="13.81640625" style="154" customWidth="1"/>
    <col min="8713" max="8713" width="2.36328125" style="154" customWidth="1"/>
    <col min="8714" max="8714" width="2" style="154" customWidth="1"/>
    <col min="8715" max="8715" width="49.453125" style="154" customWidth="1"/>
    <col min="8716" max="8716" width="12.90625" style="154" customWidth="1"/>
    <col min="8717" max="8958" width="9.1796875" style="154"/>
    <col min="8959" max="8959" width="3.08984375" style="154" customWidth="1"/>
    <col min="8960" max="8960" width="33.36328125" style="154" customWidth="1"/>
    <col min="8961" max="8961" width="11.6328125" style="154" customWidth="1"/>
    <col min="8962" max="8962" width="12" style="154" customWidth="1"/>
    <col min="8963" max="8963" width="14.453125" style="154" bestFit="1" customWidth="1"/>
    <col min="8964" max="8964" width="10.6328125" style="154" customWidth="1"/>
    <col min="8965" max="8965" width="11.90625" style="154" customWidth="1"/>
    <col min="8966" max="8966" width="10.90625" style="154" customWidth="1"/>
    <col min="8967" max="8967" width="11.54296875" style="154" customWidth="1"/>
    <col min="8968" max="8968" width="13.81640625" style="154" customWidth="1"/>
    <col min="8969" max="8969" width="2.36328125" style="154" customWidth="1"/>
    <col min="8970" max="8970" width="2" style="154" customWidth="1"/>
    <col min="8971" max="8971" width="49.453125" style="154" customWidth="1"/>
    <col min="8972" max="8972" width="12.90625" style="154" customWidth="1"/>
    <col min="8973" max="9214" width="9.1796875" style="154"/>
    <col min="9215" max="9215" width="3.08984375" style="154" customWidth="1"/>
    <col min="9216" max="9216" width="33.36328125" style="154" customWidth="1"/>
    <col min="9217" max="9217" width="11.6328125" style="154" customWidth="1"/>
    <col min="9218" max="9218" width="12" style="154" customWidth="1"/>
    <col min="9219" max="9219" width="14.453125" style="154" bestFit="1" customWidth="1"/>
    <col min="9220" max="9220" width="10.6328125" style="154" customWidth="1"/>
    <col min="9221" max="9221" width="11.90625" style="154" customWidth="1"/>
    <col min="9222" max="9222" width="10.90625" style="154" customWidth="1"/>
    <col min="9223" max="9223" width="11.54296875" style="154" customWidth="1"/>
    <col min="9224" max="9224" width="13.81640625" style="154" customWidth="1"/>
    <col min="9225" max="9225" width="2.36328125" style="154" customWidth="1"/>
    <col min="9226" max="9226" width="2" style="154" customWidth="1"/>
    <col min="9227" max="9227" width="49.453125" style="154" customWidth="1"/>
    <col min="9228" max="9228" width="12.90625" style="154" customWidth="1"/>
    <col min="9229" max="9470" width="9.1796875" style="154"/>
    <col min="9471" max="9471" width="3.08984375" style="154" customWidth="1"/>
    <col min="9472" max="9472" width="33.36328125" style="154" customWidth="1"/>
    <col min="9473" max="9473" width="11.6328125" style="154" customWidth="1"/>
    <col min="9474" max="9474" width="12" style="154" customWidth="1"/>
    <col min="9475" max="9475" width="14.453125" style="154" bestFit="1" customWidth="1"/>
    <col min="9476" max="9476" width="10.6328125" style="154" customWidth="1"/>
    <col min="9477" max="9477" width="11.90625" style="154" customWidth="1"/>
    <col min="9478" max="9478" width="10.90625" style="154" customWidth="1"/>
    <col min="9479" max="9479" width="11.54296875" style="154" customWidth="1"/>
    <col min="9480" max="9480" width="13.81640625" style="154" customWidth="1"/>
    <col min="9481" max="9481" width="2.36328125" style="154" customWidth="1"/>
    <col min="9482" max="9482" width="2" style="154" customWidth="1"/>
    <col min="9483" max="9483" width="49.453125" style="154" customWidth="1"/>
    <col min="9484" max="9484" width="12.90625" style="154" customWidth="1"/>
    <col min="9485" max="9726" width="9.1796875" style="154"/>
    <col min="9727" max="9727" width="3.08984375" style="154" customWidth="1"/>
    <col min="9728" max="9728" width="33.36328125" style="154" customWidth="1"/>
    <col min="9729" max="9729" width="11.6328125" style="154" customWidth="1"/>
    <col min="9730" max="9730" width="12" style="154" customWidth="1"/>
    <col min="9731" max="9731" width="14.453125" style="154" bestFit="1" customWidth="1"/>
    <col min="9732" max="9732" width="10.6328125" style="154" customWidth="1"/>
    <col min="9733" max="9733" width="11.90625" style="154" customWidth="1"/>
    <col min="9734" max="9734" width="10.90625" style="154" customWidth="1"/>
    <col min="9735" max="9735" width="11.54296875" style="154" customWidth="1"/>
    <col min="9736" max="9736" width="13.81640625" style="154" customWidth="1"/>
    <col min="9737" max="9737" width="2.36328125" style="154" customWidth="1"/>
    <col min="9738" max="9738" width="2" style="154" customWidth="1"/>
    <col min="9739" max="9739" width="49.453125" style="154" customWidth="1"/>
    <col min="9740" max="9740" width="12.90625" style="154" customWidth="1"/>
    <col min="9741" max="9982" width="9.1796875" style="154"/>
    <col min="9983" max="9983" width="3.08984375" style="154" customWidth="1"/>
    <col min="9984" max="9984" width="33.36328125" style="154" customWidth="1"/>
    <col min="9985" max="9985" width="11.6328125" style="154" customWidth="1"/>
    <col min="9986" max="9986" width="12" style="154" customWidth="1"/>
    <col min="9987" max="9987" width="14.453125" style="154" bestFit="1" customWidth="1"/>
    <col min="9988" max="9988" width="10.6328125" style="154" customWidth="1"/>
    <col min="9989" max="9989" width="11.90625" style="154" customWidth="1"/>
    <col min="9990" max="9990" width="10.90625" style="154" customWidth="1"/>
    <col min="9991" max="9991" width="11.54296875" style="154" customWidth="1"/>
    <col min="9992" max="9992" width="13.81640625" style="154" customWidth="1"/>
    <col min="9993" max="9993" width="2.36328125" style="154" customWidth="1"/>
    <col min="9994" max="9994" width="2" style="154" customWidth="1"/>
    <col min="9995" max="9995" width="49.453125" style="154" customWidth="1"/>
    <col min="9996" max="9996" width="12.90625" style="154" customWidth="1"/>
    <col min="9997" max="10238" width="9.1796875" style="154"/>
    <col min="10239" max="10239" width="3.08984375" style="154" customWidth="1"/>
    <col min="10240" max="10240" width="33.36328125" style="154" customWidth="1"/>
    <col min="10241" max="10241" width="11.6328125" style="154" customWidth="1"/>
    <col min="10242" max="10242" width="12" style="154" customWidth="1"/>
    <col min="10243" max="10243" width="14.453125" style="154" bestFit="1" customWidth="1"/>
    <col min="10244" max="10244" width="10.6328125" style="154" customWidth="1"/>
    <col min="10245" max="10245" width="11.90625" style="154" customWidth="1"/>
    <col min="10246" max="10246" width="10.90625" style="154" customWidth="1"/>
    <col min="10247" max="10247" width="11.54296875" style="154" customWidth="1"/>
    <col min="10248" max="10248" width="13.81640625" style="154" customWidth="1"/>
    <col min="10249" max="10249" width="2.36328125" style="154" customWidth="1"/>
    <col min="10250" max="10250" width="2" style="154" customWidth="1"/>
    <col min="10251" max="10251" width="49.453125" style="154" customWidth="1"/>
    <col min="10252" max="10252" width="12.90625" style="154" customWidth="1"/>
    <col min="10253" max="10494" width="9.1796875" style="154"/>
    <col min="10495" max="10495" width="3.08984375" style="154" customWidth="1"/>
    <col min="10496" max="10496" width="33.36328125" style="154" customWidth="1"/>
    <col min="10497" max="10497" width="11.6328125" style="154" customWidth="1"/>
    <col min="10498" max="10498" width="12" style="154" customWidth="1"/>
    <col min="10499" max="10499" width="14.453125" style="154" bestFit="1" customWidth="1"/>
    <col min="10500" max="10500" width="10.6328125" style="154" customWidth="1"/>
    <col min="10501" max="10501" width="11.90625" style="154" customWidth="1"/>
    <col min="10502" max="10502" width="10.90625" style="154" customWidth="1"/>
    <col min="10503" max="10503" width="11.54296875" style="154" customWidth="1"/>
    <col min="10504" max="10504" width="13.81640625" style="154" customWidth="1"/>
    <col min="10505" max="10505" width="2.36328125" style="154" customWidth="1"/>
    <col min="10506" max="10506" width="2" style="154" customWidth="1"/>
    <col min="10507" max="10507" width="49.453125" style="154" customWidth="1"/>
    <col min="10508" max="10508" width="12.90625" style="154" customWidth="1"/>
    <col min="10509" max="10750" width="9.1796875" style="154"/>
    <col min="10751" max="10751" width="3.08984375" style="154" customWidth="1"/>
    <col min="10752" max="10752" width="33.36328125" style="154" customWidth="1"/>
    <col min="10753" max="10753" width="11.6328125" style="154" customWidth="1"/>
    <col min="10754" max="10754" width="12" style="154" customWidth="1"/>
    <col min="10755" max="10755" width="14.453125" style="154" bestFit="1" customWidth="1"/>
    <col min="10756" max="10756" width="10.6328125" style="154" customWidth="1"/>
    <col min="10757" max="10757" width="11.90625" style="154" customWidth="1"/>
    <col min="10758" max="10758" width="10.90625" style="154" customWidth="1"/>
    <col min="10759" max="10759" width="11.54296875" style="154" customWidth="1"/>
    <col min="10760" max="10760" width="13.81640625" style="154" customWidth="1"/>
    <col min="10761" max="10761" width="2.36328125" style="154" customWidth="1"/>
    <col min="10762" max="10762" width="2" style="154" customWidth="1"/>
    <col min="10763" max="10763" width="49.453125" style="154" customWidth="1"/>
    <col min="10764" max="10764" width="12.90625" style="154" customWidth="1"/>
    <col min="10765" max="11006" width="9.1796875" style="154"/>
    <col min="11007" max="11007" width="3.08984375" style="154" customWidth="1"/>
    <col min="11008" max="11008" width="33.36328125" style="154" customWidth="1"/>
    <col min="11009" max="11009" width="11.6328125" style="154" customWidth="1"/>
    <col min="11010" max="11010" width="12" style="154" customWidth="1"/>
    <col min="11011" max="11011" width="14.453125" style="154" bestFit="1" customWidth="1"/>
    <col min="11012" max="11012" width="10.6328125" style="154" customWidth="1"/>
    <col min="11013" max="11013" width="11.90625" style="154" customWidth="1"/>
    <col min="11014" max="11014" width="10.90625" style="154" customWidth="1"/>
    <col min="11015" max="11015" width="11.54296875" style="154" customWidth="1"/>
    <col min="11016" max="11016" width="13.81640625" style="154" customWidth="1"/>
    <col min="11017" max="11017" width="2.36328125" style="154" customWidth="1"/>
    <col min="11018" max="11018" width="2" style="154" customWidth="1"/>
    <col min="11019" max="11019" width="49.453125" style="154" customWidth="1"/>
    <col min="11020" max="11020" width="12.90625" style="154" customWidth="1"/>
    <col min="11021" max="11262" width="9.1796875" style="154"/>
    <col min="11263" max="11263" width="3.08984375" style="154" customWidth="1"/>
    <col min="11264" max="11264" width="33.36328125" style="154" customWidth="1"/>
    <col min="11265" max="11265" width="11.6328125" style="154" customWidth="1"/>
    <col min="11266" max="11266" width="12" style="154" customWidth="1"/>
    <col min="11267" max="11267" width="14.453125" style="154" bestFit="1" customWidth="1"/>
    <col min="11268" max="11268" width="10.6328125" style="154" customWidth="1"/>
    <col min="11269" max="11269" width="11.90625" style="154" customWidth="1"/>
    <col min="11270" max="11270" width="10.90625" style="154" customWidth="1"/>
    <col min="11271" max="11271" width="11.54296875" style="154" customWidth="1"/>
    <col min="11272" max="11272" width="13.81640625" style="154" customWidth="1"/>
    <col min="11273" max="11273" width="2.36328125" style="154" customWidth="1"/>
    <col min="11274" max="11274" width="2" style="154" customWidth="1"/>
    <col min="11275" max="11275" width="49.453125" style="154" customWidth="1"/>
    <col min="11276" max="11276" width="12.90625" style="154" customWidth="1"/>
    <col min="11277" max="11518" width="9.1796875" style="154"/>
    <col min="11519" max="11519" width="3.08984375" style="154" customWidth="1"/>
    <col min="11520" max="11520" width="33.36328125" style="154" customWidth="1"/>
    <col min="11521" max="11521" width="11.6328125" style="154" customWidth="1"/>
    <col min="11522" max="11522" width="12" style="154" customWidth="1"/>
    <col min="11523" max="11523" width="14.453125" style="154" bestFit="1" customWidth="1"/>
    <col min="11524" max="11524" width="10.6328125" style="154" customWidth="1"/>
    <col min="11525" max="11525" width="11.90625" style="154" customWidth="1"/>
    <col min="11526" max="11526" width="10.90625" style="154" customWidth="1"/>
    <col min="11527" max="11527" width="11.54296875" style="154" customWidth="1"/>
    <col min="11528" max="11528" width="13.81640625" style="154" customWidth="1"/>
    <col min="11529" max="11529" width="2.36328125" style="154" customWidth="1"/>
    <col min="11530" max="11530" width="2" style="154" customWidth="1"/>
    <col min="11531" max="11531" width="49.453125" style="154" customWidth="1"/>
    <col min="11532" max="11532" width="12.90625" style="154" customWidth="1"/>
    <col min="11533" max="11774" width="9.1796875" style="154"/>
    <col min="11775" max="11775" width="3.08984375" style="154" customWidth="1"/>
    <col min="11776" max="11776" width="33.36328125" style="154" customWidth="1"/>
    <col min="11777" max="11777" width="11.6328125" style="154" customWidth="1"/>
    <col min="11778" max="11778" width="12" style="154" customWidth="1"/>
    <col min="11779" max="11779" width="14.453125" style="154" bestFit="1" customWidth="1"/>
    <col min="11780" max="11780" width="10.6328125" style="154" customWidth="1"/>
    <col min="11781" max="11781" width="11.90625" style="154" customWidth="1"/>
    <col min="11782" max="11782" width="10.90625" style="154" customWidth="1"/>
    <col min="11783" max="11783" width="11.54296875" style="154" customWidth="1"/>
    <col min="11784" max="11784" width="13.81640625" style="154" customWidth="1"/>
    <col min="11785" max="11785" width="2.36328125" style="154" customWidth="1"/>
    <col min="11786" max="11786" width="2" style="154" customWidth="1"/>
    <col min="11787" max="11787" width="49.453125" style="154" customWidth="1"/>
    <col min="11788" max="11788" width="12.90625" style="154" customWidth="1"/>
    <col min="11789" max="12030" width="9.1796875" style="154"/>
    <col min="12031" max="12031" width="3.08984375" style="154" customWidth="1"/>
    <col min="12032" max="12032" width="33.36328125" style="154" customWidth="1"/>
    <col min="12033" max="12033" width="11.6328125" style="154" customWidth="1"/>
    <col min="12034" max="12034" width="12" style="154" customWidth="1"/>
    <col min="12035" max="12035" width="14.453125" style="154" bestFit="1" customWidth="1"/>
    <col min="12036" max="12036" width="10.6328125" style="154" customWidth="1"/>
    <col min="12037" max="12037" width="11.90625" style="154" customWidth="1"/>
    <col min="12038" max="12038" width="10.90625" style="154" customWidth="1"/>
    <col min="12039" max="12039" width="11.54296875" style="154" customWidth="1"/>
    <col min="12040" max="12040" width="13.81640625" style="154" customWidth="1"/>
    <col min="12041" max="12041" width="2.36328125" style="154" customWidth="1"/>
    <col min="12042" max="12042" width="2" style="154" customWidth="1"/>
    <col min="12043" max="12043" width="49.453125" style="154" customWidth="1"/>
    <col min="12044" max="12044" width="12.90625" style="154" customWidth="1"/>
    <col min="12045" max="12286" width="9.1796875" style="154"/>
    <col min="12287" max="12287" width="3.08984375" style="154" customWidth="1"/>
    <col min="12288" max="12288" width="33.36328125" style="154" customWidth="1"/>
    <col min="12289" max="12289" width="11.6328125" style="154" customWidth="1"/>
    <col min="12290" max="12290" width="12" style="154" customWidth="1"/>
    <col min="12291" max="12291" width="14.453125" style="154" bestFit="1" customWidth="1"/>
    <col min="12292" max="12292" width="10.6328125" style="154" customWidth="1"/>
    <col min="12293" max="12293" width="11.90625" style="154" customWidth="1"/>
    <col min="12294" max="12294" width="10.90625" style="154" customWidth="1"/>
    <col min="12295" max="12295" width="11.54296875" style="154" customWidth="1"/>
    <col min="12296" max="12296" width="13.81640625" style="154" customWidth="1"/>
    <col min="12297" max="12297" width="2.36328125" style="154" customWidth="1"/>
    <col min="12298" max="12298" width="2" style="154" customWidth="1"/>
    <col min="12299" max="12299" width="49.453125" style="154" customWidth="1"/>
    <col min="12300" max="12300" width="12.90625" style="154" customWidth="1"/>
    <col min="12301" max="12542" width="9.1796875" style="154"/>
    <col min="12543" max="12543" width="3.08984375" style="154" customWidth="1"/>
    <col min="12544" max="12544" width="33.36328125" style="154" customWidth="1"/>
    <col min="12545" max="12545" width="11.6328125" style="154" customWidth="1"/>
    <col min="12546" max="12546" width="12" style="154" customWidth="1"/>
    <col min="12547" max="12547" width="14.453125" style="154" bestFit="1" customWidth="1"/>
    <col min="12548" max="12548" width="10.6328125" style="154" customWidth="1"/>
    <col min="12549" max="12549" width="11.90625" style="154" customWidth="1"/>
    <col min="12550" max="12550" width="10.90625" style="154" customWidth="1"/>
    <col min="12551" max="12551" width="11.54296875" style="154" customWidth="1"/>
    <col min="12552" max="12552" width="13.81640625" style="154" customWidth="1"/>
    <col min="12553" max="12553" width="2.36328125" style="154" customWidth="1"/>
    <col min="12554" max="12554" width="2" style="154" customWidth="1"/>
    <col min="12555" max="12555" width="49.453125" style="154" customWidth="1"/>
    <col min="12556" max="12556" width="12.90625" style="154" customWidth="1"/>
    <col min="12557" max="12798" width="9.1796875" style="154"/>
    <col min="12799" max="12799" width="3.08984375" style="154" customWidth="1"/>
    <col min="12800" max="12800" width="33.36328125" style="154" customWidth="1"/>
    <col min="12801" max="12801" width="11.6328125" style="154" customWidth="1"/>
    <col min="12802" max="12802" width="12" style="154" customWidth="1"/>
    <col min="12803" max="12803" width="14.453125" style="154" bestFit="1" customWidth="1"/>
    <col min="12804" max="12804" width="10.6328125" style="154" customWidth="1"/>
    <col min="12805" max="12805" width="11.90625" style="154" customWidth="1"/>
    <col min="12806" max="12806" width="10.90625" style="154" customWidth="1"/>
    <col min="12807" max="12807" width="11.54296875" style="154" customWidth="1"/>
    <col min="12808" max="12808" width="13.81640625" style="154" customWidth="1"/>
    <col min="12809" max="12809" width="2.36328125" style="154" customWidth="1"/>
    <col min="12810" max="12810" width="2" style="154" customWidth="1"/>
    <col min="12811" max="12811" width="49.453125" style="154" customWidth="1"/>
    <col min="12812" max="12812" width="12.90625" style="154" customWidth="1"/>
    <col min="12813" max="13054" width="9.1796875" style="154"/>
    <col min="13055" max="13055" width="3.08984375" style="154" customWidth="1"/>
    <col min="13056" max="13056" width="33.36328125" style="154" customWidth="1"/>
    <col min="13057" max="13057" width="11.6328125" style="154" customWidth="1"/>
    <col min="13058" max="13058" width="12" style="154" customWidth="1"/>
    <col min="13059" max="13059" width="14.453125" style="154" bestFit="1" customWidth="1"/>
    <col min="13060" max="13060" width="10.6328125" style="154" customWidth="1"/>
    <col min="13061" max="13061" width="11.90625" style="154" customWidth="1"/>
    <col min="13062" max="13062" width="10.90625" style="154" customWidth="1"/>
    <col min="13063" max="13063" width="11.54296875" style="154" customWidth="1"/>
    <col min="13064" max="13064" width="13.81640625" style="154" customWidth="1"/>
    <col min="13065" max="13065" width="2.36328125" style="154" customWidth="1"/>
    <col min="13066" max="13066" width="2" style="154" customWidth="1"/>
    <col min="13067" max="13067" width="49.453125" style="154" customWidth="1"/>
    <col min="13068" max="13068" width="12.90625" style="154" customWidth="1"/>
    <col min="13069" max="13310" width="9.1796875" style="154"/>
    <col min="13311" max="13311" width="3.08984375" style="154" customWidth="1"/>
    <col min="13312" max="13312" width="33.36328125" style="154" customWidth="1"/>
    <col min="13313" max="13313" width="11.6328125" style="154" customWidth="1"/>
    <col min="13314" max="13314" width="12" style="154" customWidth="1"/>
    <col min="13315" max="13315" width="14.453125" style="154" bestFit="1" customWidth="1"/>
    <col min="13316" max="13316" width="10.6328125" style="154" customWidth="1"/>
    <col min="13317" max="13317" width="11.90625" style="154" customWidth="1"/>
    <col min="13318" max="13318" width="10.90625" style="154" customWidth="1"/>
    <col min="13319" max="13319" width="11.54296875" style="154" customWidth="1"/>
    <col min="13320" max="13320" width="13.81640625" style="154" customWidth="1"/>
    <col min="13321" max="13321" width="2.36328125" style="154" customWidth="1"/>
    <col min="13322" max="13322" width="2" style="154" customWidth="1"/>
    <col min="13323" max="13323" width="49.453125" style="154" customWidth="1"/>
    <col min="13324" max="13324" width="12.90625" style="154" customWidth="1"/>
    <col min="13325" max="13566" width="9.1796875" style="154"/>
    <col min="13567" max="13567" width="3.08984375" style="154" customWidth="1"/>
    <col min="13568" max="13568" width="33.36328125" style="154" customWidth="1"/>
    <col min="13569" max="13569" width="11.6328125" style="154" customWidth="1"/>
    <col min="13570" max="13570" width="12" style="154" customWidth="1"/>
    <col min="13571" max="13571" width="14.453125" style="154" bestFit="1" customWidth="1"/>
    <col min="13572" max="13572" width="10.6328125" style="154" customWidth="1"/>
    <col min="13573" max="13573" width="11.90625" style="154" customWidth="1"/>
    <col min="13574" max="13574" width="10.90625" style="154" customWidth="1"/>
    <col min="13575" max="13575" width="11.54296875" style="154" customWidth="1"/>
    <col min="13576" max="13576" width="13.81640625" style="154" customWidth="1"/>
    <col min="13577" max="13577" width="2.36328125" style="154" customWidth="1"/>
    <col min="13578" max="13578" width="2" style="154" customWidth="1"/>
    <col min="13579" max="13579" width="49.453125" style="154" customWidth="1"/>
    <col min="13580" max="13580" width="12.90625" style="154" customWidth="1"/>
    <col min="13581" max="13822" width="9.1796875" style="154"/>
    <col min="13823" max="13823" width="3.08984375" style="154" customWidth="1"/>
    <col min="13824" max="13824" width="33.36328125" style="154" customWidth="1"/>
    <col min="13825" max="13825" width="11.6328125" style="154" customWidth="1"/>
    <col min="13826" max="13826" width="12" style="154" customWidth="1"/>
    <col min="13827" max="13827" width="14.453125" style="154" bestFit="1" customWidth="1"/>
    <col min="13828" max="13828" width="10.6328125" style="154" customWidth="1"/>
    <col min="13829" max="13829" width="11.90625" style="154" customWidth="1"/>
    <col min="13830" max="13830" width="10.90625" style="154" customWidth="1"/>
    <col min="13831" max="13831" width="11.54296875" style="154" customWidth="1"/>
    <col min="13832" max="13832" width="13.81640625" style="154" customWidth="1"/>
    <col min="13833" max="13833" width="2.36328125" style="154" customWidth="1"/>
    <col min="13834" max="13834" width="2" style="154" customWidth="1"/>
    <col min="13835" max="13835" width="49.453125" style="154" customWidth="1"/>
    <col min="13836" max="13836" width="12.90625" style="154" customWidth="1"/>
    <col min="13837" max="14078" width="9.1796875" style="154"/>
    <col min="14079" max="14079" width="3.08984375" style="154" customWidth="1"/>
    <col min="14080" max="14080" width="33.36328125" style="154" customWidth="1"/>
    <col min="14081" max="14081" width="11.6328125" style="154" customWidth="1"/>
    <col min="14082" max="14082" width="12" style="154" customWidth="1"/>
    <col min="14083" max="14083" width="14.453125" style="154" bestFit="1" customWidth="1"/>
    <col min="14084" max="14084" width="10.6328125" style="154" customWidth="1"/>
    <col min="14085" max="14085" width="11.90625" style="154" customWidth="1"/>
    <col min="14086" max="14086" width="10.90625" style="154" customWidth="1"/>
    <col min="14087" max="14087" width="11.54296875" style="154" customWidth="1"/>
    <col min="14088" max="14088" width="13.81640625" style="154" customWidth="1"/>
    <col min="14089" max="14089" width="2.36328125" style="154" customWidth="1"/>
    <col min="14090" max="14090" width="2" style="154" customWidth="1"/>
    <col min="14091" max="14091" width="49.453125" style="154" customWidth="1"/>
    <col min="14092" max="14092" width="12.90625" style="154" customWidth="1"/>
    <col min="14093" max="14334" width="9.1796875" style="154"/>
    <col min="14335" max="14335" width="3.08984375" style="154" customWidth="1"/>
    <col min="14336" max="14336" width="33.36328125" style="154" customWidth="1"/>
    <col min="14337" max="14337" width="11.6328125" style="154" customWidth="1"/>
    <col min="14338" max="14338" width="12" style="154" customWidth="1"/>
    <col min="14339" max="14339" width="14.453125" style="154" bestFit="1" customWidth="1"/>
    <col min="14340" max="14340" width="10.6328125" style="154" customWidth="1"/>
    <col min="14341" max="14341" width="11.90625" style="154" customWidth="1"/>
    <col min="14342" max="14342" width="10.90625" style="154" customWidth="1"/>
    <col min="14343" max="14343" width="11.54296875" style="154" customWidth="1"/>
    <col min="14344" max="14344" width="13.81640625" style="154" customWidth="1"/>
    <col min="14345" max="14345" width="2.36328125" style="154" customWidth="1"/>
    <col min="14346" max="14346" width="2" style="154" customWidth="1"/>
    <col min="14347" max="14347" width="49.453125" style="154" customWidth="1"/>
    <col min="14348" max="14348" width="12.90625" style="154" customWidth="1"/>
    <col min="14349" max="14590" width="9.1796875" style="154"/>
    <col min="14591" max="14591" width="3.08984375" style="154" customWidth="1"/>
    <col min="14592" max="14592" width="33.36328125" style="154" customWidth="1"/>
    <col min="14593" max="14593" width="11.6328125" style="154" customWidth="1"/>
    <col min="14594" max="14594" width="12" style="154" customWidth="1"/>
    <col min="14595" max="14595" width="14.453125" style="154" bestFit="1" customWidth="1"/>
    <col min="14596" max="14596" width="10.6328125" style="154" customWidth="1"/>
    <col min="14597" max="14597" width="11.90625" style="154" customWidth="1"/>
    <col min="14598" max="14598" width="10.90625" style="154" customWidth="1"/>
    <col min="14599" max="14599" width="11.54296875" style="154" customWidth="1"/>
    <col min="14600" max="14600" width="13.81640625" style="154" customWidth="1"/>
    <col min="14601" max="14601" width="2.36328125" style="154" customWidth="1"/>
    <col min="14602" max="14602" width="2" style="154" customWidth="1"/>
    <col min="14603" max="14603" width="49.453125" style="154" customWidth="1"/>
    <col min="14604" max="14604" width="12.90625" style="154" customWidth="1"/>
    <col min="14605" max="14846" width="9.1796875" style="154"/>
    <col min="14847" max="14847" width="3.08984375" style="154" customWidth="1"/>
    <col min="14848" max="14848" width="33.36328125" style="154" customWidth="1"/>
    <col min="14849" max="14849" width="11.6328125" style="154" customWidth="1"/>
    <col min="14850" max="14850" width="12" style="154" customWidth="1"/>
    <col min="14851" max="14851" width="14.453125" style="154" bestFit="1" customWidth="1"/>
    <col min="14852" max="14852" width="10.6328125" style="154" customWidth="1"/>
    <col min="14853" max="14853" width="11.90625" style="154" customWidth="1"/>
    <col min="14854" max="14854" width="10.90625" style="154" customWidth="1"/>
    <col min="14855" max="14855" width="11.54296875" style="154" customWidth="1"/>
    <col min="14856" max="14856" width="13.81640625" style="154" customWidth="1"/>
    <col min="14857" max="14857" width="2.36328125" style="154" customWidth="1"/>
    <col min="14858" max="14858" width="2" style="154" customWidth="1"/>
    <col min="14859" max="14859" width="49.453125" style="154" customWidth="1"/>
    <col min="14860" max="14860" width="12.90625" style="154" customWidth="1"/>
    <col min="14861" max="15102" width="9.1796875" style="154"/>
    <col min="15103" max="15103" width="3.08984375" style="154" customWidth="1"/>
    <col min="15104" max="15104" width="33.36328125" style="154" customWidth="1"/>
    <col min="15105" max="15105" width="11.6328125" style="154" customWidth="1"/>
    <col min="15106" max="15106" width="12" style="154" customWidth="1"/>
    <col min="15107" max="15107" width="14.453125" style="154" bestFit="1" customWidth="1"/>
    <col min="15108" max="15108" width="10.6328125" style="154" customWidth="1"/>
    <col min="15109" max="15109" width="11.90625" style="154" customWidth="1"/>
    <col min="15110" max="15110" width="10.90625" style="154" customWidth="1"/>
    <col min="15111" max="15111" width="11.54296875" style="154" customWidth="1"/>
    <col min="15112" max="15112" width="13.81640625" style="154" customWidth="1"/>
    <col min="15113" max="15113" width="2.36328125" style="154" customWidth="1"/>
    <col min="15114" max="15114" width="2" style="154" customWidth="1"/>
    <col min="15115" max="15115" width="49.453125" style="154" customWidth="1"/>
    <col min="15116" max="15116" width="12.90625" style="154" customWidth="1"/>
    <col min="15117" max="15358" width="9.1796875" style="154"/>
    <col min="15359" max="15359" width="3.08984375" style="154" customWidth="1"/>
    <col min="15360" max="15360" width="33.36328125" style="154" customWidth="1"/>
    <col min="15361" max="15361" width="11.6328125" style="154" customWidth="1"/>
    <col min="15362" max="15362" width="12" style="154" customWidth="1"/>
    <col min="15363" max="15363" width="14.453125" style="154" bestFit="1" customWidth="1"/>
    <col min="15364" max="15364" width="10.6328125" style="154" customWidth="1"/>
    <col min="15365" max="15365" width="11.90625" style="154" customWidth="1"/>
    <col min="15366" max="15366" width="10.90625" style="154" customWidth="1"/>
    <col min="15367" max="15367" width="11.54296875" style="154" customWidth="1"/>
    <col min="15368" max="15368" width="13.81640625" style="154" customWidth="1"/>
    <col min="15369" max="15369" width="2.36328125" style="154" customWidth="1"/>
    <col min="15370" max="15370" width="2" style="154" customWidth="1"/>
    <col min="15371" max="15371" width="49.453125" style="154" customWidth="1"/>
    <col min="15372" max="15372" width="12.90625" style="154" customWidth="1"/>
    <col min="15373" max="15614" width="9.1796875" style="154"/>
    <col min="15615" max="15615" width="3.08984375" style="154" customWidth="1"/>
    <col min="15616" max="15616" width="33.36328125" style="154" customWidth="1"/>
    <col min="15617" max="15617" width="11.6328125" style="154" customWidth="1"/>
    <col min="15618" max="15618" width="12" style="154" customWidth="1"/>
    <col min="15619" max="15619" width="14.453125" style="154" bestFit="1" customWidth="1"/>
    <col min="15620" max="15620" width="10.6328125" style="154" customWidth="1"/>
    <col min="15621" max="15621" width="11.90625" style="154" customWidth="1"/>
    <col min="15622" max="15622" width="10.90625" style="154" customWidth="1"/>
    <col min="15623" max="15623" width="11.54296875" style="154" customWidth="1"/>
    <col min="15624" max="15624" width="13.81640625" style="154" customWidth="1"/>
    <col min="15625" max="15625" width="2.36328125" style="154" customWidth="1"/>
    <col min="15626" max="15626" width="2" style="154" customWidth="1"/>
    <col min="15627" max="15627" width="49.453125" style="154" customWidth="1"/>
    <col min="15628" max="15628" width="12.90625" style="154" customWidth="1"/>
    <col min="15629" max="15870" width="9.1796875" style="154"/>
    <col min="15871" max="15871" width="3.08984375" style="154" customWidth="1"/>
    <col min="15872" max="15872" width="33.36328125" style="154" customWidth="1"/>
    <col min="15873" max="15873" width="11.6328125" style="154" customWidth="1"/>
    <col min="15874" max="15874" width="12" style="154" customWidth="1"/>
    <col min="15875" max="15875" width="14.453125" style="154" bestFit="1" customWidth="1"/>
    <col min="15876" max="15876" width="10.6328125" style="154" customWidth="1"/>
    <col min="15877" max="15877" width="11.90625" style="154" customWidth="1"/>
    <col min="15878" max="15878" width="10.90625" style="154" customWidth="1"/>
    <col min="15879" max="15879" width="11.54296875" style="154" customWidth="1"/>
    <col min="15880" max="15880" width="13.81640625" style="154" customWidth="1"/>
    <col min="15881" max="15881" width="2.36328125" style="154" customWidth="1"/>
    <col min="15882" max="15882" width="2" style="154" customWidth="1"/>
    <col min="15883" max="15883" width="49.453125" style="154" customWidth="1"/>
    <col min="15884" max="15884" width="12.90625" style="154" customWidth="1"/>
    <col min="15885" max="16126" width="9.1796875" style="154"/>
    <col min="16127" max="16127" width="3.08984375" style="154" customWidth="1"/>
    <col min="16128" max="16128" width="33.36328125" style="154" customWidth="1"/>
    <col min="16129" max="16129" width="11.6328125" style="154" customWidth="1"/>
    <col min="16130" max="16130" width="12" style="154" customWidth="1"/>
    <col min="16131" max="16131" width="14.453125" style="154" bestFit="1" customWidth="1"/>
    <col min="16132" max="16132" width="10.6328125" style="154" customWidth="1"/>
    <col min="16133" max="16133" width="11.90625" style="154" customWidth="1"/>
    <col min="16134" max="16134" width="10.90625" style="154" customWidth="1"/>
    <col min="16135" max="16135" width="11.54296875" style="154" customWidth="1"/>
    <col min="16136" max="16136" width="13.81640625" style="154" customWidth="1"/>
    <col min="16137" max="16137" width="2.36328125" style="154" customWidth="1"/>
    <col min="16138" max="16138" width="2" style="154" customWidth="1"/>
    <col min="16139" max="16139" width="49.453125" style="154" customWidth="1"/>
    <col min="16140" max="16140" width="12.90625" style="154" customWidth="1"/>
    <col min="16141" max="16382" width="9.1796875" style="154"/>
    <col min="16383" max="16384" width="8.90625" style="154" customWidth="1"/>
  </cols>
  <sheetData>
    <row r="1" spans="1:11" s="293" customFormat="1" ht="19.5" customHeight="1">
      <c r="A1" s="52"/>
      <c r="C1" s="1337"/>
      <c r="D1" s="1337"/>
      <c r="E1" s="1337"/>
      <c r="F1" s="1337"/>
      <c r="G1" s="1337"/>
      <c r="H1" s="1337"/>
      <c r="I1" s="912"/>
      <c r="K1" s="4" t="str">
        <f>'Attachment H-11A '!K1&amp;""&amp;", Attachment 5a"</f>
        <v>Attachment H -11A, Attachment 5a</v>
      </c>
    </row>
    <row r="2" spans="1:11" s="293" customFormat="1" ht="17.399999999999999" customHeight="1">
      <c r="B2" s="953"/>
      <c r="C2" s="954"/>
      <c r="D2" s="954"/>
      <c r="E2" s="954"/>
      <c r="F2" s="294"/>
      <c r="G2" s="294"/>
      <c r="H2" s="294"/>
      <c r="I2" s="294"/>
      <c r="K2" s="42" t="s">
        <v>580</v>
      </c>
    </row>
    <row r="3" spans="1:11" s="293" customFormat="1" ht="15.6" customHeight="1">
      <c r="B3" s="953"/>
      <c r="C3" s="1338"/>
      <c r="D3" s="1338"/>
      <c r="E3" s="1338"/>
      <c r="F3" s="1338"/>
      <c r="G3" s="1338"/>
      <c r="H3" s="1338"/>
      <c r="I3" s="295"/>
      <c r="K3" s="6" t="str">
        <f>'Attachment H-11A '!K4</f>
        <v>For the 12 months ended 12/31/2022</v>
      </c>
    </row>
    <row r="4" spans="1:11" s="293" customFormat="1" ht="15.9" customHeight="1" thickBot="1">
      <c r="B4" s="953"/>
      <c r="C4" s="300"/>
      <c r="D4" s="300"/>
      <c r="E4" s="300"/>
      <c r="F4" s="300"/>
      <c r="G4" s="913"/>
      <c r="H4" s="913"/>
      <c r="I4" s="295"/>
      <c r="K4" s="6"/>
    </row>
    <row r="5" spans="1:11" s="293" customFormat="1" ht="15.6" customHeight="1">
      <c r="B5" s="953"/>
      <c r="C5" s="1339"/>
      <c r="D5" s="1340"/>
      <c r="E5" s="1340"/>
      <c r="F5" s="1340"/>
      <c r="G5" s="1340"/>
      <c r="H5" s="1340"/>
      <c r="I5" s="1340"/>
      <c r="J5" s="1341"/>
      <c r="K5" s="6"/>
    </row>
    <row r="6" spans="1:11" s="293" customFormat="1" ht="15.9" customHeight="1" thickBot="1">
      <c r="B6" s="953"/>
      <c r="C6" s="1342" t="s">
        <v>711</v>
      </c>
      <c r="D6" s="1343"/>
      <c r="E6" s="1343"/>
      <c r="F6" s="1343"/>
      <c r="G6" s="1343"/>
      <c r="H6" s="1343"/>
      <c r="I6" s="1343"/>
      <c r="J6" s="1344"/>
      <c r="K6" s="6"/>
    </row>
    <row r="7" spans="1:11" s="293" customFormat="1" ht="15.6">
      <c r="A7" s="293" t="s">
        <v>5</v>
      </c>
      <c r="B7" s="300">
        <v>1</v>
      </c>
      <c r="C7" s="300">
        <v>2</v>
      </c>
      <c r="D7" s="300">
        <v>3</v>
      </c>
      <c r="E7" s="300">
        <v>4</v>
      </c>
      <c r="F7" s="298"/>
      <c r="G7" s="298"/>
      <c r="H7" s="298"/>
      <c r="I7" s="298"/>
      <c r="J7" s="6"/>
    </row>
    <row r="8" spans="1:11" s="293" customFormat="1" ht="57" customHeight="1">
      <c r="B8" s="297"/>
      <c r="C8" s="480" t="s">
        <v>597</v>
      </c>
      <c r="D8" s="480" t="s">
        <v>1193</v>
      </c>
      <c r="E8" s="480" t="s">
        <v>602</v>
      </c>
      <c r="F8" s="913"/>
      <c r="G8" s="913"/>
      <c r="H8" s="295"/>
      <c r="J8" s="6"/>
    </row>
    <row r="9" spans="1:11" s="293" customFormat="1" ht="27">
      <c r="B9" s="297"/>
      <c r="C9" s="306" t="s">
        <v>605</v>
      </c>
      <c r="D9" s="523" t="s">
        <v>712</v>
      </c>
      <c r="E9" s="523" t="s">
        <v>713</v>
      </c>
      <c r="F9" s="913"/>
      <c r="G9" s="913"/>
      <c r="H9" s="295"/>
      <c r="J9" s="6"/>
    </row>
    <row r="10" spans="1:11" s="293" customFormat="1" ht="15.6">
      <c r="A10" s="293">
        <v>1</v>
      </c>
      <c r="B10" s="297" t="s">
        <v>1195</v>
      </c>
      <c r="C10" s="520">
        <f>F118</f>
        <v>78182148.751846299</v>
      </c>
      <c r="D10" s="522">
        <f>H28</f>
        <v>0</v>
      </c>
      <c r="E10" s="520">
        <f>C10+D10</f>
        <v>78182148.751846299</v>
      </c>
      <c r="F10" s="521"/>
      <c r="G10" s="521"/>
      <c r="H10" s="295"/>
      <c r="J10" s="6"/>
    </row>
    <row r="11" spans="1:11" s="293" customFormat="1" ht="15.6">
      <c r="A11" s="293">
        <v>2</v>
      </c>
      <c r="B11" s="297" t="s">
        <v>598</v>
      </c>
      <c r="C11" s="520">
        <f>F149</f>
        <v>-4077451.2583876946</v>
      </c>
      <c r="D11" s="522">
        <f>H29</f>
        <v>0</v>
      </c>
      <c r="E11" s="520">
        <f>C11+D11</f>
        <v>-4077451.2583876946</v>
      </c>
      <c r="F11" s="521"/>
      <c r="G11" s="521"/>
      <c r="H11" s="295"/>
      <c r="J11" s="6"/>
    </row>
    <row r="12" spans="1:11" s="293" customFormat="1" ht="15.6">
      <c r="A12" s="293">
        <v>3</v>
      </c>
      <c r="B12" s="297" t="s">
        <v>599</v>
      </c>
      <c r="C12" s="520">
        <f>F74</f>
        <v>11449238.689737931</v>
      </c>
      <c r="D12" s="522">
        <f>H30</f>
        <v>0</v>
      </c>
      <c r="E12" s="520">
        <f>C12+D12</f>
        <v>11449238.689737931</v>
      </c>
      <c r="F12" s="521"/>
      <c r="G12" s="521"/>
      <c r="H12" s="295"/>
      <c r="J12" s="6"/>
    </row>
    <row r="13" spans="1:11" s="293" customFormat="1" ht="15.6">
      <c r="A13" s="293">
        <v>4</v>
      </c>
      <c r="B13" s="297" t="s">
        <v>600</v>
      </c>
      <c r="C13" s="520">
        <f>F182</f>
        <v>0</v>
      </c>
      <c r="D13" s="522">
        <f>H31</f>
        <v>0</v>
      </c>
      <c r="E13" s="520">
        <f>C13+D13</f>
        <v>0</v>
      </c>
      <c r="F13" s="521"/>
      <c r="G13" s="521"/>
      <c r="H13" s="295"/>
      <c r="J13" s="6"/>
    </row>
    <row r="14" spans="1:11" s="293" customFormat="1" ht="16.8">
      <c r="A14" s="293">
        <v>5</v>
      </c>
      <c r="B14" s="297" t="s">
        <v>601</v>
      </c>
      <c r="C14" s="524">
        <f>F217</f>
        <v>0</v>
      </c>
      <c r="D14" s="525">
        <f>H32</f>
        <v>0</v>
      </c>
      <c r="E14" s="524">
        <f>C14+D14</f>
        <v>0</v>
      </c>
      <c r="F14" s="521"/>
      <c r="G14" s="521"/>
      <c r="H14" s="295"/>
      <c r="J14" s="6"/>
    </row>
    <row r="15" spans="1:11" s="293" customFormat="1" ht="15.6">
      <c r="B15" s="297" t="s">
        <v>606</v>
      </c>
      <c r="C15" s="520">
        <f>SUM(C10:C14)</f>
        <v>85553936.18319653</v>
      </c>
      <c r="D15" s="520">
        <f>SUM(D10:D14)</f>
        <v>0</v>
      </c>
      <c r="E15" s="520">
        <f t="shared" ref="E15" si="0">SUM(E10:E14)</f>
        <v>85553936.18319653</v>
      </c>
      <c r="F15" s="521"/>
      <c r="G15" s="521"/>
      <c r="H15" s="295"/>
      <c r="J15" s="6"/>
    </row>
    <row r="16" spans="1:11" s="293" customFormat="1" ht="15.6">
      <c r="C16" s="521"/>
      <c r="D16" s="521"/>
      <c r="E16" s="521"/>
      <c r="F16" s="521"/>
      <c r="G16" s="521"/>
      <c r="H16" s="295"/>
      <c r="J16" s="6"/>
    </row>
    <row r="17" spans="1:13" s="293" customFormat="1" ht="15.6">
      <c r="C17" s="521"/>
      <c r="D17" s="521"/>
      <c r="E17" s="521"/>
      <c r="F17" s="521"/>
      <c r="G17" s="521"/>
      <c r="H17" s="295"/>
      <c r="J17" s="6"/>
    </row>
    <row r="18" spans="1:13" s="293" customFormat="1" ht="15.6">
      <c r="C18" s="913"/>
      <c r="D18" s="913"/>
      <c r="E18" s="913"/>
      <c r="F18" s="913"/>
      <c r="G18" s="913"/>
      <c r="H18" s="295"/>
      <c r="J18" s="6"/>
    </row>
    <row r="19" spans="1:13" s="293" customFormat="1" ht="15.6">
      <c r="C19" s="913"/>
      <c r="D19" s="913"/>
      <c r="E19" s="913"/>
      <c r="F19" s="913"/>
      <c r="G19" s="913"/>
      <c r="H19" s="295"/>
      <c r="J19" s="6"/>
    </row>
    <row r="20" spans="1:13" s="293" customFormat="1" ht="13.8" thickBot="1">
      <c r="B20" s="155"/>
      <c r="H20" s="297"/>
      <c r="I20" s="297"/>
    </row>
    <row r="21" spans="1:13" s="293" customFormat="1" ht="15.75" customHeight="1">
      <c r="C21" s="1349"/>
      <c r="D21" s="1350"/>
      <c r="E21" s="1350"/>
      <c r="F21" s="1350"/>
      <c r="G21" s="1350"/>
      <c r="H21" s="1350"/>
      <c r="I21" s="1350"/>
      <c r="J21" s="1351"/>
    </row>
    <row r="22" spans="1:13" s="293" customFormat="1" ht="13.8" thickBot="1">
      <c r="C22" s="1342" t="s">
        <v>711</v>
      </c>
      <c r="D22" s="1343"/>
      <c r="E22" s="1343"/>
      <c r="F22" s="1343"/>
      <c r="G22" s="1343"/>
      <c r="H22" s="1343"/>
      <c r="I22" s="1343"/>
      <c r="J22" s="1344"/>
      <c r="M22" s="299"/>
    </row>
    <row r="23" spans="1:13" s="293" customFormat="1">
      <c r="A23" s="293" t="s">
        <v>5</v>
      </c>
      <c r="C23" s="300" t="s">
        <v>107</v>
      </c>
      <c r="D23" s="300" t="s">
        <v>108</v>
      </c>
      <c r="E23" s="300" t="s">
        <v>109</v>
      </c>
      <c r="F23" s="300" t="s">
        <v>110</v>
      </c>
      <c r="G23" s="300" t="s">
        <v>111</v>
      </c>
      <c r="H23" s="300" t="s">
        <v>112</v>
      </c>
    </row>
    <row r="24" spans="1:13" s="293" customFormat="1" ht="26.4">
      <c r="C24" s="300" t="s">
        <v>503</v>
      </c>
      <c r="D24" s="300" t="s">
        <v>504</v>
      </c>
      <c r="E24" s="300" t="s">
        <v>395</v>
      </c>
      <c r="F24" s="300" t="s">
        <v>394</v>
      </c>
      <c r="G24" s="300" t="s">
        <v>396</v>
      </c>
      <c r="H24" s="480" t="s">
        <v>505</v>
      </c>
    </row>
    <row r="25" spans="1:13" s="293" customFormat="1">
      <c r="C25" s="300" t="s">
        <v>357</v>
      </c>
      <c r="D25" s="300" t="s">
        <v>357</v>
      </c>
      <c r="E25" s="300" t="s">
        <v>257</v>
      </c>
      <c r="F25" s="300" t="s">
        <v>11</v>
      </c>
      <c r="G25" s="300" t="s">
        <v>11</v>
      </c>
      <c r="H25" s="300" t="s">
        <v>358</v>
      </c>
    </row>
    <row r="26" spans="1:13" s="293" customFormat="1" ht="40.5" customHeight="1">
      <c r="C26" s="306" t="s">
        <v>14</v>
      </c>
      <c r="D26" s="306" t="s">
        <v>15</v>
      </c>
      <c r="E26" s="962" t="s">
        <v>731</v>
      </c>
      <c r="F26" s="306" t="s">
        <v>16</v>
      </c>
      <c r="G26" s="306" t="s">
        <v>17</v>
      </c>
      <c r="H26" s="962" t="s">
        <v>732</v>
      </c>
    </row>
    <row r="27" spans="1:13" s="293" customFormat="1">
      <c r="A27" s="293" t="s">
        <v>3</v>
      </c>
      <c r="B27" s="293" t="s">
        <v>3</v>
      </c>
    </row>
    <row r="28" spans="1:13" s="293" customFormat="1">
      <c r="A28" s="293">
        <v>1</v>
      </c>
      <c r="B28" s="293" t="s">
        <v>1194</v>
      </c>
      <c r="C28" s="302">
        <f>G118</f>
        <v>0</v>
      </c>
      <c r="D28" s="302">
        <f>H118</f>
        <v>0</v>
      </c>
      <c r="E28" s="302">
        <f>SUM(C28:D28)</f>
        <v>0</v>
      </c>
      <c r="F28" s="353">
        <f>'Attachment H-11A '!$G$45</f>
        <v>0.10048304765204427</v>
      </c>
      <c r="G28" s="353">
        <f>'Attachment H-11A '!$I$218</f>
        <v>4.071049245958664E-2</v>
      </c>
      <c r="H28" s="326">
        <f>(C28*F28)+(D28*G28)</f>
        <v>0</v>
      </c>
    </row>
    <row r="29" spans="1:13" s="293" customFormat="1">
      <c r="A29" s="293">
        <f t="shared" ref="A29:A30" si="1">A28+1</f>
        <v>2</v>
      </c>
      <c r="B29" s="293" t="s">
        <v>359</v>
      </c>
      <c r="C29" s="302">
        <f>G149</f>
        <v>0</v>
      </c>
      <c r="D29" s="302">
        <f>H149</f>
        <v>0</v>
      </c>
      <c r="E29" s="302">
        <f>SUM(C29:D29)</f>
        <v>0</v>
      </c>
      <c r="F29" s="353">
        <f>'Attachment H-11A '!$G$45</f>
        <v>0.10048304765204427</v>
      </c>
      <c r="G29" s="353">
        <f>'Attachment H-11A '!$I$218</f>
        <v>4.071049245958664E-2</v>
      </c>
      <c r="H29" s="326">
        <f>(C29*F29)+(D29*G29)</f>
        <v>0</v>
      </c>
    </row>
    <row r="30" spans="1:13" s="293" customFormat="1">
      <c r="A30" s="293">
        <f t="shared" si="1"/>
        <v>3</v>
      </c>
      <c r="B30" s="293" t="s">
        <v>360</v>
      </c>
      <c r="C30" s="301">
        <f>G74</f>
        <v>0</v>
      </c>
      <c r="D30" s="301">
        <f>H74</f>
        <v>0</v>
      </c>
      <c r="E30" s="302">
        <f t="shared" ref="E30:E33" si="2">SUM(C30:D30)</f>
        <v>0</v>
      </c>
      <c r="F30" s="353">
        <f>'Attachment H-11A '!$G$45</f>
        <v>0.10048304765204427</v>
      </c>
      <c r="G30" s="353">
        <f>'Attachment H-11A '!$I$218</f>
        <v>4.071049245958664E-2</v>
      </c>
      <c r="H30" s="326">
        <f>(C30*F30)+(D30*G30)</f>
        <v>0</v>
      </c>
    </row>
    <row r="31" spans="1:13" s="293" customFormat="1">
      <c r="A31" s="293">
        <v>4</v>
      </c>
      <c r="B31" s="293" t="s">
        <v>383</v>
      </c>
      <c r="C31" s="303">
        <f>G182</f>
        <v>0</v>
      </c>
      <c r="D31" s="303">
        <f>H182</f>
        <v>0</v>
      </c>
      <c r="E31" s="302">
        <f t="shared" si="2"/>
        <v>0</v>
      </c>
      <c r="F31" s="353">
        <f>'Attachment H-11A '!$G$45</f>
        <v>0.10048304765204427</v>
      </c>
      <c r="G31" s="353">
        <f>'Attachment H-11A '!$I$218</f>
        <v>4.071049245958664E-2</v>
      </c>
      <c r="H31" s="326">
        <f>(C31*F31)+(D31*G31)</f>
        <v>0</v>
      </c>
    </row>
    <row r="32" spans="1:13" s="293" customFormat="1" ht="15">
      <c r="A32" s="293">
        <v>5</v>
      </c>
      <c r="B32" s="293" t="s">
        <v>384</v>
      </c>
      <c r="C32" s="355">
        <f>G217</f>
        <v>0</v>
      </c>
      <c r="D32" s="355">
        <f>H217</f>
        <v>0</v>
      </c>
      <c r="E32" s="304">
        <f t="shared" si="2"/>
        <v>0</v>
      </c>
      <c r="F32" s="353">
        <f>'Attachment H-11A '!$G$45</f>
        <v>0.10048304765204427</v>
      </c>
      <c r="G32" s="353">
        <f>'Attachment H-11A '!$I$218</f>
        <v>4.071049245958664E-2</v>
      </c>
      <c r="H32" s="354">
        <f>(C32*F32)+(D32*G32)</f>
        <v>0</v>
      </c>
    </row>
    <row r="33" spans="1:11" s="293" customFormat="1">
      <c r="A33" s="293">
        <v>6</v>
      </c>
      <c r="B33" s="297" t="s">
        <v>257</v>
      </c>
      <c r="C33" s="302">
        <f>SUM(C28:C32)</f>
        <v>0</v>
      </c>
      <c r="D33" s="302">
        <f>SUM(D28:D32)</f>
        <v>0</v>
      </c>
      <c r="E33" s="302">
        <f t="shared" si="2"/>
        <v>0</v>
      </c>
      <c r="F33" s="302"/>
      <c r="G33" s="302"/>
      <c r="H33" s="302">
        <f>SUM(H28:H32)</f>
        <v>0</v>
      </c>
    </row>
    <row r="34" spans="1:11" s="293" customFormat="1">
      <c r="A34" s="299"/>
      <c r="B34" s="296"/>
      <c r="C34" s="351"/>
      <c r="D34" s="302"/>
      <c r="E34" s="302"/>
      <c r="F34" s="299"/>
    </row>
    <row r="35" spans="1:11" s="293" customFormat="1">
      <c r="A35" s="299" t="s">
        <v>196</v>
      </c>
      <c r="B35" s="296"/>
      <c r="C35" s="311"/>
      <c r="D35" s="311"/>
      <c r="E35" s="311"/>
      <c r="F35" s="299"/>
    </row>
    <row r="36" spans="1:11" s="293" customFormat="1">
      <c r="A36" s="356" t="s">
        <v>107</v>
      </c>
      <c r="B36" s="299" t="s">
        <v>603</v>
      </c>
      <c r="C36" s="311"/>
      <c r="D36" s="302"/>
      <c r="E36" s="302"/>
      <c r="J36" s="326"/>
    </row>
    <row r="37" spans="1:11" s="293" customFormat="1">
      <c r="A37" s="357" t="s">
        <v>108</v>
      </c>
      <c r="B37" s="299" t="s">
        <v>604</v>
      </c>
      <c r="E37" s="302"/>
      <c r="F37" s="302"/>
      <c r="G37" s="302"/>
      <c r="H37" s="306"/>
      <c r="I37" s="302"/>
      <c r="J37" s="302"/>
      <c r="K37" s="299"/>
    </row>
    <row r="38" spans="1:11" s="293" customFormat="1">
      <c r="A38" s="357" t="s">
        <v>109</v>
      </c>
      <c r="B38" s="299" t="s">
        <v>1112</v>
      </c>
      <c r="E38" s="302"/>
      <c r="F38" s="302"/>
      <c r="G38" s="302"/>
      <c r="H38" s="305"/>
      <c r="I38" s="302"/>
      <c r="J38" s="302"/>
      <c r="K38" s="299"/>
    </row>
    <row r="39" spans="1:11" s="293" customFormat="1">
      <c r="A39" s="357" t="s">
        <v>110</v>
      </c>
      <c r="B39" s="299" t="s">
        <v>1113</v>
      </c>
      <c r="K39" s="299"/>
    </row>
    <row r="40" spans="1:11" s="293" customFormat="1" ht="12" customHeight="1">
      <c r="A40" s="521" t="s">
        <v>111</v>
      </c>
      <c r="B40" s="358" t="s">
        <v>714</v>
      </c>
      <c r="C40" s="332"/>
      <c r="D40" s="332"/>
      <c r="E40" s="332"/>
      <c r="F40" s="332"/>
      <c r="G40" s="332"/>
      <c r="H40" s="332"/>
      <c r="I40" s="307"/>
      <c r="K40" s="299"/>
    </row>
    <row r="41" spans="1:11" s="293" customFormat="1">
      <c r="A41" s="521" t="s">
        <v>112</v>
      </c>
      <c r="B41" s="299" t="s">
        <v>620</v>
      </c>
      <c r="C41" s="299"/>
      <c r="D41" s="299"/>
      <c r="E41" s="299"/>
      <c r="F41" s="331"/>
      <c r="G41" s="299"/>
      <c r="H41" s="299"/>
      <c r="I41" s="299"/>
      <c r="K41" s="299"/>
    </row>
    <row r="42" spans="1:11" s="293" customFormat="1">
      <c r="A42" s="357"/>
      <c r="B42" s="299"/>
      <c r="C42" s="299"/>
      <c r="D42" s="299"/>
      <c r="E42" s="299"/>
      <c r="F42" s="299"/>
      <c r="G42" s="299"/>
      <c r="H42" s="299"/>
      <c r="I42" s="299"/>
      <c r="K42" s="299"/>
    </row>
    <row r="43" spans="1:11" s="293" customFormat="1" ht="15.6">
      <c r="B43" s="912"/>
      <c r="C43" s="912"/>
      <c r="D43" s="912"/>
      <c r="E43" s="912"/>
      <c r="F43" s="912"/>
      <c r="G43" s="912"/>
      <c r="H43" s="912"/>
      <c r="I43" s="308"/>
      <c r="K43" s="299"/>
    </row>
    <row r="44" spans="1:11" s="293" customFormat="1">
      <c r="H44" s="297"/>
      <c r="I44" s="297"/>
      <c r="K44" s="299"/>
    </row>
    <row r="45" spans="1:11" s="293" customFormat="1" ht="16.2" thickBot="1">
      <c r="B45" s="912" t="s">
        <v>107</v>
      </c>
      <c r="C45" s="912" t="s">
        <v>108</v>
      </c>
      <c r="D45" s="912" t="s">
        <v>109</v>
      </c>
      <c r="E45" s="912" t="s">
        <v>110</v>
      </c>
      <c r="F45" s="912" t="s">
        <v>111</v>
      </c>
      <c r="G45" s="912" t="s">
        <v>112</v>
      </c>
      <c r="H45" s="912" t="s">
        <v>113</v>
      </c>
      <c r="I45" s="297"/>
      <c r="K45" s="4" t="str">
        <f>K1</f>
        <v>Attachment H -11A, Attachment 5a</v>
      </c>
    </row>
    <row r="46" spans="1:11" s="293" customFormat="1" ht="16.2" thickBot="1">
      <c r="C46" s="1346"/>
      <c r="D46" s="1347"/>
      <c r="E46" s="1347"/>
      <c r="F46" s="1347"/>
      <c r="G46" s="1347"/>
      <c r="H46" s="1348"/>
      <c r="I46" s="298"/>
      <c r="J46" s="298"/>
      <c r="K46" s="42" t="s">
        <v>621</v>
      </c>
    </row>
    <row r="47" spans="1:11" s="293" customFormat="1" ht="15.6">
      <c r="K47" s="6" t="str">
        <f>'Attachment H-11A '!K4</f>
        <v>For the 12 months ended 12/31/2022</v>
      </c>
    </row>
    <row r="48" spans="1:11" s="293" customFormat="1" ht="13.8">
      <c r="B48" s="310"/>
      <c r="C48" s="311"/>
      <c r="D48" s="311"/>
      <c r="E48" s="311"/>
      <c r="F48" s="311"/>
      <c r="G48" s="311"/>
      <c r="H48" s="311"/>
      <c r="I48" s="311"/>
      <c r="J48" s="311"/>
      <c r="K48" s="312"/>
    </row>
    <row r="49" spans="2:11" s="293" customFormat="1" ht="13.8">
      <c r="B49" s="310"/>
      <c r="C49" s="311"/>
      <c r="D49" s="311"/>
      <c r="E49" s="311"/>
      <c r="F49" s="311"/>
      <c r="G49" s="311"/>
      <c r="H49" s="311"/>
      <c r="I49" s="311"/>
      <c r="J49" s="311"/>
      <c r="K49" s="312"/>
    </row>
    <row r="50" spans="2:11" s="293" customFormat="1">
      <c r="B50" s="297" t="s">
        <v>361</v>
      </c>
      <c r="C50" s="300" t="s">
        <v>362</v>
      </c>
      <c r="D50" s="912" t="s">
        <v>354</v>
      </c>
      <c r="E50" s="300" t="s">
        <v>363</v>
      </c>
      <c r="F50" s="300" t="s">
        <v>364</v>
      </c>
      <c r="G50" s="300"/>
      <c r="H50" s="300"/>
      <c r="I50" s="300"/>
      <c r="J50" s="300"/>
      <c r="K50" s="299"/>
    </row>
    <row r="51" spans="2:11" s="293" customFormat="1">
      <c r="C51" s="912" t="s">
        <v>365</v>
      </c>
      <c r="D51" s="912" t="s">
        <v>357</v>
      </c>
      <c r="E51" s="300" t="s">
        <v>366</v>
      </c>
      <c r="F51" s="300" t="s">
        <v>25</v>
      </c>
      <c r="G51" s="300" t="s">
        <v>355</v>
      </c>
      <c r="H51" s="300" t="s">
        <v>356</v>
      </c>
      <c r="I51" s="300"/>
      <c r="J51" s="300"/>
      <c r="K51" s="299"/>
    </row>
    <row r="52" spans="2:11" s="293" customFormat="1">
      <c r="C52" s="300" t="s">
        <v>367</v>
      </c>
      <c r="E52" s="300" t="s">
        <v>357</v>
      </c>
      <c r="F52" s="300" t="s">
        <v>357</v>
      </c>
      <c r="G52" s="300" t="s">
        <v>357</v>
      </c>
      <c r="H52" s="300" t="s">
        <v>357</v>
      </c>
      <c r="I52" s="300"/>
      <c r="J52" s="300"/>
      <c r="K52" s="300" t="s">
        <v>368</v>
      </c>
    </row>
    <row r="53" spans="2:11" s="293" customFormat="1" ht="13.8">
      <c r="B53" s="502"/>
      <c r="E53" s="299"/>
      <c r="F53" s="299"/>
      <c r="G53" s="299"/>
      <c r="H53" s="299"/>
      <c r="I53" s="299"/>
      <c r="J53" s="299"/>
      <c r="K53" s="299"/>
    </row>
    <row r="54" spans="2:11" s="293" customFormat="1" ht="13.8">
      <c r="B54" s="473" t="s">
        <v>1280</v>
      </c>
      <c r="C54" s="474">
        <f t="shared" ref="C54:C71" si="3">F54</f>
        <v>3432.5085754789561</v>
      </c>
      <c r="D54" s="475"/>
      <c r="E54" s="475"/>
      <c r="F54" s="475">
        <v>3432.5085754789561</v>
      </c>
      <c r="G54" s="475"/>
      <c r="H54" s="475"/>
      <c r="I54" s="475"/>
      <c r="J54" s="475"/>
      <c r="K54" s="476"/>
    </row>
    <row r="55" spans="2:11" s="293" customFormat="1" ht="13.8">
      <c r="B55" s="473" t="s">
        <v>1229</v>
      </c>
      <c r="C55" s="474">
        <f t="shared" si="3"/>
        <v>130837.4723174696</v>
      </c>
      <c r="D55" s="475"/>
      <c r="E55" s="475"/>
      <c r="F55" s="475">
        <v>130837.4723174696</v>
      </c>
      <c r="G55" s="475"/>
      <c r="H55" s="475"/>
      <c r="I55" s="475"/>
      <c r="J55" s="475"/>
      <c r="K55" s="475"/>
    </row>
    <row r="56" spans="2:11" s="293" customFormat="1" ht="13.8">
      <c r="B56" s="473" t="s">
        <v>1281</v>
      </c>
      <c r="C56" s="474">
        <f t="shared" si="3"/>
        <v>8932.7734242215702</v>
      </c>
      <c r="D56" s="475"/>
      <c r="E56" s="475"/>
      <c r="F56" s="475">
        <v>8932.7734242215702</v>
      </c>
      <c r="G56" s="475"/>
      <c r="H56" s="475"/>
      <c r="I56" s="475"/>
      <c r="J56" s="475"/>
      <c r="K56" s="475"/>
    </row>
    <row r="57" spans="2:11" s="293" customFormat="1" ht="13.8">
      <c r="B57" s="473" t="s">
        <v>1282</v>
      </c>
      <c r="C57" s="474">
        <f t="shared" si="3"/>
        <v>113862.89942322101</v>
      </c>
      <c r="D57" s="475"/>
      <c r="E57" s="475"/>
      <c r="F57" s="475">
        <v>113862.89942322101</v>
      </c>
      <c r="G57" s="475"/>
      <c r="H57" s="475"/>
      <c r="I57" s="475"/>
      <c r="J57" s="475"/>
      <c r="K57" s="475"/>
    </row>
    <row r="58" spans="2:11" s="293" customFormat="1" ht="13.8">
      <c r="B58" s="473" t="s">
        <v>1240</v>
      </c>
      <c r="C58" s="474">
        <f t="shared" si="3"/>
        <v>19296.171204700371</v>
      </c>
      <c r="D58" s="475"/>
      <c r="E58" s="475"/>
      <c r="F58" s="475">
        <v>19296.171204700371</v>
      </c>
      <c r="G58" s="475"/>
      <c r="H58" s="475"/>
      <c r="I58" s="475"/>
      <c r="J58" s="475"/>
      <c r="K58" s="475"/>
    </row>
    <row r="59" spans="2:11" s="293" customFormat="1" ht="13.8">
      <c r="B59" s="473" t="s">
        <v>1283</v>
      </c>
      <c r="C59" s="474">
        <f t="shared" si="3"/>
        <v>16591.81592915166</v>
      </c>
      <c r="D59" s="475"/>
      <c r="E59" s="475"/>
      <c r="F59" s="475">
        <v>16591.81592915166</v>
      </c>
      <c r="G59" s="475"/>
      <c r="H59" s="475"/>
      <c r="I59" s="475"/>
      <c r="J59" s="475"/>
      <c r="K59" s="475"/>
    </row>
    <row r="60" spans="2:11" s="293" customFormat="1" ht="13.8">
      <c r="B60" s="473" t="s">
        <v>1284</v>
      </c>
      <c r="C60" s="474">
        <f t="shared" si="3"/>
        <v>8771.8863060251879</v>
      </c>
      <c r="D60" s="475"/>
      <c r="E60" s="475"/>
      <c r="F60" s="475">
        <v>8771.8863060251879</v>
      </c>
      <c r="G60" s="475"/>
      <c r="H60" s="475"/>
      <c r="I60" s="475"/>
      <c r="J60" s="475"/>
      <c r="K60" s="475"/>
    </row>
    <row r="61" spans="2:11" s="293" customFormat="1" ht="13.8">
      <c r="B61" s="473" t="s">
        <v>1285</v>
      </c>
      <c r="C61" s="474">
        <f t="shared" si="3"/>
        <v>5013123.3719154112</v>
      </c>
      <c r="D61" s="475"/>
      <c r="E61" s="475"/>
      <c r="F61" s="475">
        <v>5013123.3719154112</v>
      </c>
      <c r="G61" s="475"/>
      <c r="H61" s="475"/>
      <c r="I61" s="475"/>
      <c r="J61" s="475"/>
      <c r="K61" s="475"/>
    </row>
    <row r="62" spans="2:11" s="293" customFormat="1" ht="13.8">
      <c r="B62" s="473" t="s">
        <v>1286</v>
      </c>
      <c r="C62" s="474">
        <f t="shared" si="3"/>
        <v>192988.85065336231</v>
      </c>
      <c r="D62" s="475"/>
      <c r="E62" s="475"/>
      <c r="F62" s="475">
        <v>192988.85065336231</v>
      </c>
      <c r="G62" s="475"/>
      <c r="H62" s="475"/>
      <c r="I62" s="475"/>
      <c r="J62" s="475"/>
      <c r="K62" s="475"/>
    </row>
    <row r="63" spans="2:11" s="293" customFormat="1" ht="13.8">
      <c r="B63" s="473" t="s">
        <v>1287</v>
      </c>
      <c r="C63" s="474">
        <f t="shared" si="3"/>
        <v>15597.097748087001</v>
      </c>
      <c r="D63" s="475"/>
      <c r="E63" s="475"/>
      <c r="F63" s="475">
        <v>15597.097748087001</v>
      </c>
      <c r="G63" s="475"/>
      <c r="H63" s="475"/>
      <c r="I63" s="475"/>
      <c r="J63" s="475"/>
      <c r="K63" s="475"/>
    </row>
    <row r="64" spans="2:11" s="293" customFormat="1" ht="13.8">
      <c r="B64" s="473" t="s">
        <v>1288</v>
      </c>
      <c r="C64" s="474">
        <f t="shared" si="3"/>
        <v>297329.88884902408</v>
      </c>
      <c r="D64" s="475"/>
      <c r="E64" s="475"/>
      <c r="F64" s="475">
        <v>297329.88884902408</v>
      </c>
      <c r="G64" s="475"/>
      <c r="H64" s="475"/>
      <c r="I64" s="475"/>
      <c r="J64" s="475"/>
      <c r="K64" s="475"/>
    </row>
    <row r="65" spans="2:11" s="293" customFormat="1" ht="13.8">
      <c r="B65" s="473" t="s">
        <v>1289</v>
      </c>
      <c r="C65" s="474">
        <f t="shared" si="3"/>
        <v>938798.39581609424</v>
      </c>
      <c r="D65" s="475"/>
      <c r="E65" s="475"/>
      <c r="F65" s="475">
        <v>938798.39581609424</v>
      </c>
      <c r="G65" s="475"/>
      <c r="H65" s="475"/>
      <c r="I65" s="475"/>
      <c r="J65" s="475"/>
      <c r="K65" s="475"/>
    </row>
    <row r="66" spans="2:11" s="293" customFormat="1" ht="13.8">
      <c r="B66" s="473" t="s">
        <v>1290</v>
      </c>
      <c r="C66" s="474">
        <f t="shared" si="3"/>
        <v>71194.150590775229</v>
      </c>
      <c r="D66" s="475"/>
      <c r="E66" s="475"/>
      <c r="F66" s="475">
        <v>71194.150590775229</v>
      </c>
      <c r="G66" s="475"/>
      <c r="H66" s="475"/>
      <c r="I66" s="475"/>
      <c r="J66" s="475"/>
      <c r="K66" s="475"/>
    </row>
    <row r="67" spans="2:11" s="293" customFormat="1" ht="13.8">
      <c r="B67" s="473" t="s">
        <v>1260</v>
      </c>
      <c r="C67" s="474">
        <f t="shared" si="3"/>
        <v>308277.4624303446</v>
      </c>
      <c r="D67" s="475"/>
      <c r="E67" s="475"/>
      <c r="F67" s="475">
        <v>308277.4624303446</v>
      </c>
      <c r="G67" s="475"/>
      <c r="H67" s="475"/>
      <c r="I67" s="475"/>
      <c r="J67" s="475"/>
      <c r="K67" s="475"/>
    </row>
    <row r="68" spans="2:11" s="293" customFormat="1" ht="13.8">
      <c r="B68" s="473" t="s">
        <v>1291</v>
      </c>
      <c r="C68" s="474">
        <f t="shared" si="3"/>
        <v>35222.44718895491</v>
      </c>
      <c r="D68" s="475"/>
      <c r="E68" s="475"/>
      <c r="F68" s="475">
        <v>35222.44718895491</v>
      </c>
      <c r="G68" s="475"/>
      <c r="H68" s="475"/>
      <c r="I68" s="475"/>
      <c r="J68" s="475"/>
      <c r="K68" s="475"/>
    </row>
    <row r="69" spans="2:11" s="293" customFormat="1" ht="13.8">
      <c r="B69" s="473" t="s">
        <v>1295</v>
      </c>
      <c r="C69" s="474">
        <f t="shared" si="3"/>
        <v>2144938.3232672713</v>
      </c>
      <c r="D69" s="475"/>
      <c r="E69" s="475"/>
      <c r="F69" s="475">
        <v>2144938.3232672713</v>
      </c>
      <c r="G69" s="475"/>
      <c r="H69" s="475"/>
      <c r="I69" s="475"/>
      <c r="J69" s="475"/>
      <c r="K69" s="475"/>
    </row>
    <row r="70" spans="2:11" s="293" customFormat="1" ht="13.8">
      <c r="B70" s="473" t="s">
        <v>577</v>
      </c>
      <c r="C70" s="474">
        <f t="shared" si="3"/>
        <v>4153409.0372271677</v>
      </c>
      <c r="D70" s="475"/>
      <c r="E70" s="475"/>
      <c r="F70" s="475">
        <v>4153409.0372271677</v>
      </c>
      <c r="G70" s="475"/>
      <c r="H70" s="475"/>
      <c r="I70" s="475"/>
      <c r="J70" s="475"/>
      <c r="K70" s="475"/>
    </row>
    <row r="71" spans="2:11" s="293" customFormat="1" ht="13.8">
      <c r="B71" s="473" t="s">
        <v>1296</v>
      </c>
      <c r="C71" s="474">
        <f t="shared" si="3"/>
        <v>-2023365.8631288293</v>
      </c>
      <c r="D71" s="475"/>
      <c r="E71" s="475"/>
      <c r="F71" s="475">
        <v>-2023365.8631288293</v>
      </c>
      <c r="G71" s="475"/>
      <c r="H71" s="475"/>
      <c r="I71" s="475"/>
      <c r="J71" s="475"/>
      <c r="K71" s="475"/>
    </row>
    <row r="72" spans="2:11" s="293" customFormat="1" ht="13.8">
      <c r="B72" s="473"/>
      <c r="C72" s="474"/>
      <c r="D72" s="475"/>
      <c r="E72" s="475"/>
      <c r="F72" s="475"/>
      <c r="G72" s="475"/>
      <c r="H72" s="475"/>
      <c r="I72" s="475"/>
      <c r="J72" s="475"/>
      <c r="K72" s="476"/>
    </row>
    <row r="73" spans="2:11" s="293" customFormat="1" ht="13.8">
      <c r="B73" s="477"/>
      <c r="C73" s="492"/>
      <c r="D73" s="478"/>
      <c r="E73" s="478"/>
      <c r="F73" s="478"/>
      <c r="G73" s="478"/>
      <c r="H73" s="478"/>
      <c r="I73" s="478"/>
      <c r="J73" s="478"/>
      <c r="K73" s="479"/>
    </row>
    <row r="74" spans="2:11" s="293" customFormat="1" ht="13.8">
      <c r="B74" s="310" t="s">
        <v>257</v>
      </c>
      <c r="C74" s="311">
        <f>SUM(C54:C73)</f>
        <v>11449238.689737931</v>
      </c>
      <c r="D74" s="311">
        <f>SUM(D54:D73)</f>
        <v>0</v>
      </c>
      <c r="E74" s="311">
        <f t="shared" ref="E74:H74" si="4">SUM(E54:E73)</f>
        <v>0</v>
      </c>
      <c r="F74" s="311">
        <f>SUM(F54:F73)</f>
        <v>11449238.689737931</v>
      </c>
      <c r="G74" s="311">
        <f t="shared" si="4"/>
        <v>0</v>
      </c>
      <c r="H74" s="311">
        <f t="shared" si="4"/>
        <v>0</v>
      </c>
      <c r="I74" s="311"/>
      <c r="J74" s="311"/>
      <c r="K74" s="312"/>
    </row>
    <row r="75" spans="2:11" s="293" customFormat="1" ht="13.8">
      <c r="B75" s="310"/>
      <c r="C75" s="311"/>
      <c r="D75" s="311"/>
      <c r="E75" s="311"/>
      <c r="F75" s="311"/>
      <c r="G75" s="311"/>
      <c r="H75" s="311"/>
      <c r="I75" s="311"/>
      <c r="J75" s="311"/>
      <c r="K75" s="312"/>
    </row>
    <row r="76" spans="2:11" s="293" customFormat="1" ht="13.8">
      <c r="B76" s="310"/>
      <c r="C76" s="311"/>
      <c r="D76" s="311"/>
      <c r="E76" s="311"/>
      <c r="F76" s="311"/>
      <c r="G76" s="311"/>
      <c r="H76" s="311"/>
      <c r="I76" s="311"/>
      <c r="J76" s="311"/>
      <c r="K76" s="312"/>
    </row>
    <row r="77" spans="2:11" s="293" customFormat="1" ht="13.8">
      <c r="B77" s="310"/>
      <c r="C77" s="311"/>
      <c r="D77" s="311"/>
      <c r="E77" s="311"/>
      <c r="F77" s="311"/>
      <c r="G77" s="311"/>
      <c r="H77" s="311"/>
      <c r="I77" s="311"/>
      <c r="J77" s="311"/>
      <c r="K77" s="312"/>
    </row>
    <row r="78" spans="2:11" s="293" customFormat="1" ht="13.8">
      <c r="B78" s="310"/>
      <c r="C78" s="311"/>
      <c r="D78" s="311"/>
      <c r="E78" s="311"/>
      <c r="F78" s="311"/>
      <c r="G78" s="311"/>
      <c r="H78" s="311"/>
      <c r="I78" s="311"/>
      <c r="J78" s="311"/>
      <c r="K78" s="312"/>
    </row>
    <row r="79" spans="2:11" s="293" customFormat="1" ht="13.8">
      <c r="B79" s="310"/>
      <c r="C79" s="311"/>
      <c r="D79" s="311"/>
      <c r="E79" s="311"/>
      <c r="F79" s="311"/>
      <c r="G79" s="311"/>
      <c r="H79" s="311"/>
      <c r="I79" s="311"/>
      <c r="J79" s="311"/>
      <c r="K79" s="312"/>
    </row>
    <row r="80" spans="2:11" s="293" customFormat="1">
      <c r="B80" s="319"/>
      <c r="H80" s="305"/>
      <c r="I80" s="314"/>
      <c r="J80" s="302"/>
      <c r="K80" s="299"/>
    </row>
    <row r="81" spans="2:11" s="293" customFormat="1" ht="13.8">
      <c r="B81" s="313" t="s">
        <v>369</v>
      </c>
      <c r="C81" s="301"/>
      <c r="D81" s="301"/>
      <c r="E81" s="305"/>
      <c r="F81" s="305"/>
      <c r="G81" s="315"/>
      <c r="H81" s="315"/>
      <c r="I81" s="315"/>
      <c r="J81" s="317"/>
      <c r="K81" s="299"/>
    </row>
    <row r="82" spans="2:11" s="293" customFormat="1" ht="13.8">
      <c r="B82" s="313"/>
      <c r="C82" s="301"/>
      <c r="D82" s="301"/>
      <c r="E82" s="305"/>
      <c r="F82" s="305"/>
      <c r="G82" s="315"/>
      <c r="H82" s="315"/>
      <c r="I82" s="315"/>
      <c r="J82" s="317"/>
      <c r="K82" s="299"/>
    </row>
    <row r="83" spans="2:11" s="293" customFormat="1" ht="12.9" customHeight="1">
      <c r="B83" s="1345" t="s">
        <v>370</v>
      </c>
      <c r="C83" s="1345"/>
      <c r="D83" s="1345"/>
      <c r="E83" s="1345"/>
      <c r="F83" s="1345"/>
      <c r="G83" s="1345"/>
      <c r="H83" s="1345"/>
      <c r="I83" s="1345"/>
      <c r="J83" s="317"/>
      <c r="K83" s="299"/>
    </row>
    <row r="84" spans="2:11" s="293" customFormat="1" ht="12.75" customHeight="1">
      <c r="B84" s="1345" t="s">
        <v>371</v>
      </c>
      <c r="C84" s="1345"/>
      <c r="D84" s="1345"/>
      <c r="E84" s="1345"/>
      <c r="F84" s="1345"/>
      <c r="G84" s="1345"/>
      <c r="H84" s="1345"/>
      <c r="I84" s="1345"/>
      <c r="K84" s="299"/>
    </row>
    <row r="85" spans="2:11" s="293" customFormat="1" ht="12.75" customHeight="1">
      <c r="B85" s="1004" t="s">
        <v>372</v>
      </c>
      <c r="C85" s="305"/>
      <c r="D85" s="305"/>
      <c r="E85" s="305"/>
      <c r="F85" s="305"/>
      <c r="G85" s="315"/>
      <c r="H85" s="315"/>
      <c r="I85" s="315"/>
      <c r="K85" s="299"/>
    </row>
    <row r="86" spans="2:11" s="293" customFormat="1" ht="13.8">
      <c r="B86" s="1004" t="s">
        <v>373</v>
      </c>
      <c r="C86" s="305"/>
      <c r="D86" s="305"/>
      <c r="E86" s="305"/>
      <c r="F86" s="305"/>
      <c r="G86" s="315"/>
      <c r="H86" s="315"/>
      <c r="I86" s="315"/>
      <c r="K86" s="299"/>
    </row>
    <row r="87" spans="2:11" s="293" customFormat="1" ht="13.8">
      <c r="B87" s="1004" t="s">
        <v>374</v>
      </c>
      <c r="C87" s="305"/>
      <c r="D87" s="305"/>
      <c r="E87" s="305"/>
      <c r="F87" s="305"/>
      <c r="G87" s="315"/>
      <c r="H87" s="315"/>
      <c r="I87" s="315"/>
      <c r="K87" s="299"/>
    </row>
    <row r="88" spans="2:11" s="293" customFormat="1" ht="13.8">
      <c r="B88" s="1005" t="s">
        <v>375</v>
      </c>
      <c r="C88" s="1005"/>
      <c r="D88" s="1005"/>
      <c r="E88" s="1005"/>
      <c r="F88" s="1005"/>
      <c r="G88" s="1005"/>
      <c r="H88" s="1005"/>
      <c r="I88" s="1005"/>
      <c r="K88" s="299"/>
    </row>
    <row r="89" spans="2:11" s="293" customFormat="1" ht="27" customHeight="1">
      <c r="B89" s="914"/>
      <c r="C89" s="914"/>
      <c r="D89" s="914"/>
      <c r="E89" s="914"/>
      <c r="F89" s="914"/>
      <c r="G89" s="914"/>
      <c r="H89" s="914"/>
      <c r="I89" s="914"/>
      <c r="K89" s="299"/>
    </row>
    <row r="90" spans="2:11" s="293" customFormat="1" ht="18" customHeight="1" thickBot="1">
      <c r="B90" s="912" t="s">
        <v>107</v>
      </c>
      <c r="C90" s="912" t="s">
        <v>108</v>
      </c>
      <c r="D90" s="912" t="s">
        <v>109</v>
      </c>
      <c r="E90" s="912" t="s">
        <v>110</v>
      </c>
      <c r="F90" s="912" t="s">
        <v>111</v>
      </c>
      <c r="G90" s="912" t="s">
        <v>112</v>
      </c>
      <c r="H90" s="912" t="s">
        <v>113</v>
      </c>
      <c r="I90" s="321"/>
      <c r="K90" s="4" t="str">
        <f>K1</f>
        <v>Attachment H -11A, Attachment 5a</v>
      </c>
    </row>
    <row r="91" spans="2:11" s="293" customFormat="1" ht="16.2" thickBot="1">
      <c r="B91" s="912"/>
      <c r="C91" s="1346"/>
      <c r="D91" s="1347"/>
      <c r="E91" s="1347"/>
      <c r="F91" s="1347"/>
      <c r="G91" s="1347"/>
      <c r="H91" s="1348"/>
      <c r="I91" s="314"/>
      <c r="K91" s="42" t="s">
        <v>584</v>
      </c>
    </row>
    <row r="92" spans="2:11" s="293" customFormat="1" ht="15.6">
      <c r="B92" s="320"/>
      <c r="C92" s="300"/>
      <c r="D92" s="912"/>
      <c r="E92" s="300"/>
      <c r="F92" s="300"/>
      <c r="G92" s="300"/>
      <c r="H92" s="300"/>
      <c r="I92" s="324"/>
      <c r="J92" s="324"/>
      <c r="K92" s="6" t="str">
        <f>'Attachment H-11A '!K4</f>
        <v>For the 12 months ended 12/31/2022</v>
      </c>
    </row>
    <row r="93" spans="2:11" s="293" customFormat="1" ht="15.6">
      <c r="B93" s="391"/>
      <c r="C93" s="391"/>
      <c r="D93" s="391"/>
      <c r="E93" s="391"/>
      <c r="F93" s="391"/>
      <c r="G93" s="391"/>
      <c r="H93" s="391"/>
      <c r="I93" s="391"/>
      <c r="K93" s="299"/>
    </row>
    <row r="94" spans="2:11" s="293" customFormat="1" ht="15.6">
      <c r="B94" s="391"/>
      <c r="C94" s="391"/>
      <c r="D94" s="391"/>
      <c r="E94" s="391"/>
      <c r="F94" s="391"/>
      <c r="G94" s="391"/>
      <c r="H94" s="391"/>
      <c r="I94" s="391"/>
      <c r="K94" s="299"/>
    </row>
    <row r="95" spans="2:11" s="293" customFormat="1">
      <c r="B95" s="320"/>
      <c r="C95" s="300" t="s">
        <v>362</v>
      </c>
      <c r="D95" s="912" t="s">
        <v>354</v>
      </c>
      <c r="E95" s="300" t="s">
        <v>363</v>
      </c>
      <c r="F95" s="300" t="s">
        <v>364</v>
      </c>
      <c r="G95" s="300"/>
      <c r="H95" s="300"/>
      <c r="I95" s="324"/>
      <c r="J95" s="324"/>
      <c r="K95" s="299"/>
    </row>
    <row r="96" spans="2:11" s="293" customFormat="1">
      <c r="B96" s="323" t="s">
        <v>502</v>
      </c>
      <c r="C96" s="912" t="s">
        <v>365</v>
      </c>
      <c r="D96" s="912" t="s">
        <v>357</v>
      </c>
      <c r="E96" s="300" t="s">
        <v>366</v>
      </c>
      <c r="F96" s="300" t="s">
        <v>25</v>
      </c>
      <c r="G96" s="300" t="s">
        <v>355</v>
      </c>
      <c r="H96" s="300" t="s">
        <v>356</v>
      </c>
      <c r="I96" s="324"/>
      <c r="J96" s="324"/>
      <c r="K96" s="316" t="s">
        <v>3</v>
      </c>
    </row>
    <row r="97" spans="2:11" s="293" customFormat="1" ht="13.8">
      <c r="B97" s="318"/>
      <c r="C97" s="300" t="s">
        <v>376</v>
      </c>
      <c r="E97" s="300" t="s">
        <v>357</v>
      </c>
      <c r="F97" s="300" t="s">
        <v>357</v>
      </c>
      <c r="G97" s="300" t="s">
        <v>357</v>
      </c>
      <c r="H97" s="300" t="s">
        <v>357</v>
      </c>
      <c r="I97" s="324"/>
      <c r="J97" s="324"/>
      <c r="K97" s="299"/>
    </row>
    <row r="98" spans="2:11" s="293" customFormat="1" ht="13.8">
      <c r="B98" s="325"/>
      <c r="C98" s="302"/>
      <c r="D98" s="302"/>
      <c r="E98" s="324"/>
      <c r="F98" s="324"/>
      <c r="G98" s="324"/>
      <c r="H98" s="324"/>
      <c r="I98" s="324"/>
      <c r="J98" s="324"/>
      <c r="K98" s="300" t="s">
        <v>368</v>
      </c>
    </row>
    <row r="99" spans="2:11" s="293" customFormat="1" ht="13.8">
      <c r="B99" s="325"/>
      <c r="C99" s="302"/>
      <c r="D99" s="302"/>
      <c r="E99" s="311"/>
      <c r="F99" s="311"/>
      <c r="G99" s="311"/>
      <c r="H99" s="311"/>
      <c r="I99" s="311"/>
      <c r="J99" s="311"/>
      <c r="K99" s="299"/>
    </row>
    <row r="100" spans="2:11" s="293" customFormat="1" ht="13.8">
      <c r="B100" s="473" t="s">
        <v>1297</v>
      </c>
      <c r="C100" s="475">
        <f t="shared" ref="C100:C115" si="5">F100</f>
        <v>4950243.3320798846</v>
      </c>
      <c r="D100" s="475"/>
      <c r="E100" s="475"/>
      <c r="F100" s="475">
        <v>4950243.3320798846</v>
      </c>
      <c r="G100" s="475"/>
      <c r="H100" s="475"/>
      <c r="I100" s="481"/>
      <c r="J100" s="482"/>
      <c r="K100" s="483"/>
    </row>
    <row r="101" spans="2:11" s="293" customFormat="1" ht="13.8">
      <c r="B101" s="473" t="s">
        <v>1298</v>
      </c>
      <c r="C101" s="475">
        <f t="shared" si="5"/>
        <v>71550795.951746598</v>
      </c>
      <c r="D101" s="475"/>
      <c r="E101" s="475"/>
      <c r="F101" s="475">
        <v>71550795.951746598</v>
      </c>
      <c r="G101" s="484"/>
      <c r="H101" s="475"/>
      <c r="I101" s="481"/>
      <c r="J101" s="482"/>
      <c r="K101" s="485"/>
    </row>
    <row r="102" spans="2:11" s="293" customFormat="1" ht="13.8">
      <c r="B102" s="473" t="s">
        <v>1299</v>
      </c>
      <c r="C102" s="475">
        <f t="shared" si="5"/>
        <v>1543421.8828442232</v>
      </c>
      <c r="D102" s="475"/>
      <c r="E102" s="475"/>
      <c r="F102" s="475">
        <v>1543421.8828442232</v>
      </c>
      <c r="G102" s="475"/>
      <c r="H102" s="475"/>
      <c r="I102" s="481"/>
      <c r="J102" s="482"/>
      <c r="K102" s="485"/>
    </row>
    <row r="103" spans="2:11" s="293" customFormat="1" ht="13.8">
      <c r="B103" s="473" t="s">
        <v>1300</v>
      </c>
      <c r="C103" s="475">
        <f t="shared" si="5"/>
        <v>716.52</v>
      </c>
      <c r="D103" s="475"/>
      <c r="E103" s="475"/>
      <c r="F103" s="475">
        <v>716.52</v>
      </c>
      <c r="G103" s="475"/>
      <c r="H103" s="475"/>
      <c r="I103" s="481"/>
      <c r="J103" s="482"/>
      <c r="K103" s="485"/>
    </row>
    <row r="104" spans="2:11" s="293" customFormat="1" ht="13.8">
      <c r="B104" s="473" t="s">
        <v>1301</v>
      </c>
      <c r="C104" s="475">
        <f t="shared" si="5"/>
        <v>6945323.7300000004</v>
      </c>
      <c r="D104" s="475"/>
      <c r="E104" s="475"/>
      <c r="F104" s="475">
        <v>6945323.7300000004</v>
      </c>
      <c r="G104" s="475"/>
      <c r="H104" s="475"/>
      <c r="I104" s="481"/>
      <c r="J104" s="482"/>
      <c r="K104" s="485"/>
    </row>
    <row r="105" spans="2:11" s="293" customFormat="1" ht="13.8">
      <c r="B105" s="473" t="s">
        <v>1302</v>
      </c>
      <c r="C105" s="475">
        <f t="shared" si="5"/>
        <v>110165.61564120924</v>
      </c>
      <c r="D105" s="475"/>
      <c r="E105" s="475"/>
      <c r="F105" s="475">
        <v>110165.61564120924</v>
      </c>
      <c r="G105" s="475"/>
      <c r="H105" s="475"/>
      <c r="I105" s="481"/>
      <c r="J105" s="482"/>
      <c r="K105" s="485"/>
    </row>
    <row r="106" spans="2:11" s="293" customFormat="1" ht="13.8">
      <c r="B106" s="473" t="s">
        <v>1303</v>
      </c>
      <c r="C106" s="475">
        <f t="shared" si="5"/>
        <v>121686.44</v>
      </c>
      <c r="D106" s="475"/>
      <c r="E106" s="475"/>
      <c r="F106" s="475">
        <v>121686.44</v>
      </c>
      <c r="G106" s="475"/>
      <c r="H106" s="475"/>
      <c r="I106" s="481"/>
      <c r="J106" s="482"/>
      <c r="K106" s="483"/>
    </row>
    <row r="107" spans="2:11" s="293" customFormat="1" ht="13.8">
      <c r="B107" s="473" t="s">
        <v>1304</v>
      </c>
      <c r="C107" s="475">
        <f t="shared" si="5"/>
        <v>26527.266738910726</v>
      </c>
      <c r="D107" s="475"/>
      <c r="E107" s="475"/>
      <c r="F107" s="475">
        <v>26527.266738910726</v>
      </c>
      <c r="G107" s="475"/>
      <c r="H107" s="475"/>
      <c r="I107" s="481"/>
      <c r="J107" s="482"/>
      <c r="K107" s="483"/>
    </row>
    <row r="108" spans="2:11" s="293" customFormat="1" ht="13.8">
      <c r="B108" s="473" t="s">
        <v>1305</v>
      </c>
      <c r="C108" s="475">
        <f t="shared" si="5"/>
        <v>18549.04</v>
      </c>
      <c r="D108" s="475"/>
      <c r="E108" s="475"/>
      <c r="F108" s="475">
        <v>18549.04</v>
      </c>
      <c r="G108" s="475"/>
      <c r="H108" s="475"/>
      <c r="I108" s="481"/>
      <c r="J108" s="482"/>
      <c r="K108" s="483"/>
    </row>
    <row r="109" spans="2:11" s="293" customFormat="1" ht="13.8">
      <c r="B109" s="473" t="s">
        <v>1306</v>
      </c>
      <c r="C109" s="475">
        <f t="shared" si="5"/>
        <v>-4185.8431656476469</v>
      </c>
      <c r="D109" s="475"/>
      <c r="E109" s="475"/>
      <c r="F109" s="475">
        <v>-4185.8431656476469</v>
      </c>
      <c r="G109" s="475"/>
      <c r="H109" s="475"/>
      <c r="I109" s="481"/>
      <c r="J109" s="482"/>
      <c r="K109" s="483"/>
    </row>
    <row r="110" spans="2:11" s="293" customFormat="1" ht="13.8">
      <c r="B110" s="473" t="s">
        <v>1307</v>
      </c>
      <c r="C110" s="475">
        <f t="shared" si="5"/>
        <v>88165.969999999987</v>
      </c>
      <c r="D110" s="475"/>
      <c r="E110" s="475"/>
      <c r="F110" s="475">
        <v>88165.969999999987</v>
      </c>
      <c r="G110" s="475"/>
      <c r="H110" s="475"/>
      <c r="I110" s="481"/>
      <c r="J110" s="482"/>
      <c r="K110" s="483"/>
    </row>
    <row r="111" spans="2:11" s="293" customFormat="1" ht="13.8">
      <c r="B111" s="473" t="s">
        <v>1308</v>
      </c>
      <c r="C111" s="475">
        <f t="shared" si="5"/>
        <v>-637998.06633922015</v>
      </c>
      <c r="D111" s="475"/>
      <c r="E111" s="475"/>
      <c r="F111" s="475">
        <v>-637998.06633922015</v>
      </c>
      <c r="G111" s="475"/>
      <c r="H111" s="475"/>
      <c r="I111" s="481"/>
      <c r="J111" s="482"/>
      <c r="K111" s="483"/>
    </row>
    <row r="112" spans="2:11" s="293" customFormat="1" ht="13.8">
      <c r="B112" s="473" t="s">
        <v>1309</v>
      </c>
      <c r="C112" s="475">
        <f t="shared" si="5"/>
        <v>664770.41864569974</v>
      </c>
      <c r="D112" s="475"/>
      <c r="E112" s="475"/>
      <c r="F112" s="475">
        <v>664770.41864569974</v>
      </c>
      <c r="G112" s="475"/>
      <c r="H112" s="475"/>
      <c r="I112" s="481"/>
      <c r="J112" s="482"/>
      <c r="K112" s="483"/>
    </row>
    <row r="113" spans="2:22" s="293" customFormat="1" ht="13.8">
      <c r="B113" s="473" t="s">
        <v>1310</v>
      </c>
      <c r="C113" s="475">
        <f t="shared" si="5"/>
        <v>2295.9529000827047</v>
      </c>
      <c r="D113" s="475"/>
      <c r="E113" s="475"/>
      <c r="F113" s="475">
        <v>2295.9529000827047</v>
      </c>
      <c r="G113" s="475"/>
      <c r="H113" s="475"/>
      <c r="I113" s="481"/>
      <c r="J113" s="482"/>
      <c r="K113" s="483"/>
    </row>
    <row r="114" spans="2:22" s="293" customFormat="1" ht="13.8">
      <c r="B114" s="473" t="s">
        <v>1311</v>
      </c>
      <c r="C114" s="475">
        <f t="shared" si="5"/>
        <v>11139692.422737336</v>
      </c>
      <c r="D114" s="475"/>
      <c r="E114" s="475"/>
      <c r="F114" s="475">
        <v>11139692.422737336</v>
      </c>
      <c r="G114" s="475"/>
      <c r="H114" s="475"/>
      <c r="I114" s="481"/>
      <c r="J114" s="482"/>
      <c r="K114" s="485"/>
    </row>
    <row r="115" spans="2:22" s="293" customFormat="1" ht="13.8">
      <c r="B115" s="473" t="s">
        <v>1296</v>
      </c>
      <c r="C115" s="475">
        <f t="shared" si="5"/>
        <v>-18338021.881982755</v>
      </c>
      <c r="D115" s="475"/>
      <c r="E115" s="475"/>
      <c r="F115" s="475">
        <v>-18338021.881982755</v>
      </c>
      <c r="G115" s="475"/>
      <c r="H115" s="475"/>
      <c r="I115" s="481"/>
      <c r="J115" s="482"/>
      <c r="K115" s="485"/>
    </row>
    <row r="116" spans="2:22" s="293" customFormat="1" ht="13.8">
      <c r="B116" s="473"/>
      <c r="C116" s="475"/>
      <c r="D116" s="475"/>
      <c r="E116" s="475"/>
      <c r="F116" s="475"/>
      <c r="G116" s="475"/>
      <c r="H116" s="475"/>
      <c r="I116" s="481"/>
      <c r="J116" s="482"/>
      <c r="K116" s="485"/>
    </row>
    <row r="117" spans="2:22" s="293" customFormat="1" ht="13.8">
      <c r="B117" s="487"/>
      <c r="C117" s="478"/>
      <c r="D117" s="478"/>
      <c r="E117" s="478"/>
      <c r="F117" s="478"/>
      <c r="G117" s="478"/>
      <c r="H117" s="478"/>
      <c r="I117" s="488"/>
      <c r="J117" s="489"/>
      <c r="K117" s="483"/>
    </row>
    <row r="118" spans="2:22" s="293" customFormat="1" ht="13.8">
      <c r="B118" s="310" t="s">
        <v>257</v>
      </c>
      <c r="C118" s="311">
        <f t="shared" ref="C118:H118" si="6">SUM(C100:C117)</f>
        <v>78182148.751846299</v>
      </c>
      <c r="D118" s="311">
        <f t="shared" si="6"/>
        <v>0</v>
      </c>
      <c r="E118" s="311">
        <f t="shared" si="6"/>
        <v>0</v>
      </c>
      <c r="F118" s="311">
        <f t="shared" si="6"/>
        <v>78182148.751846299</v>
      </c>
      <c r="G118" s="311">
        <f t="shared" si="6"/>
        <v>0</v>
      </c>
      <c r="H118" s="311">
        <f t="shared" si="6"/>
        <v>0</v>
      </c>
      <c r="I118" s="311"/>
      <c r="J118" s="311"/>
      <c r="K118" s="299"/>
    </row>
    <row r="119" spans="2:22" s="293" customFormat="1" ht="13.8">
      <c r="B119" s="310"/>
      <c r="C119" s="311"/>
      <c r="D119" s="311"/>
      <c r="E119" s="311"/>
      <c r="F119" s="311"/>
      <c r="G119" s="311"/>
      <c r="H119" s="311"/>
      <c r="I119" s="311"/>
      <c r="J119" s="311"/>
      <c r="K119" s="299"/>
    </row>
    <row r="120" spans="2:22" s="293" customFormat="1" ht="13.8">
      <c r="B120" s="310"/>
      <c r="C120" s="311"/>
      <c r="D120" s="311"/>
      <c r="E120" s="311"/>
      <c r="F120" s="311"/>
      <c r="G120" s="311"/>
      <c r="H120" s="311"/>
      <c r="I120" s="311"/>
      <c r="J120" s="311"/>
      <c r="K120" s="299"/>
    </row>
    <row r="121" spans="2:22" s="293" customFormat="1">
      <c r="E121" s="326"/>
      <c r="H121" s="317" t="s">
        <v>3</v>
      </c>
      <c r="I121" s="314"/>
      <c r="J121" s="317"/>
      <c r="K121" s="316"/>
    </row>
    <row r="122" spans="2:22" s="293" customFormat="1" ht="13.8">
      <c r="B122" s="313" t="s">
        <v>377</v>
      </c>
      <c r="C122" s="301"/>
      <c r="E122" s="305"/>
      <c r="F122" s="305"/>
      <c r="G122" s="315"/>
      <c r="H122" s="315"/>
      <c r="I122" s="315"/>
      <c r="K122" s="299"/>
    </row>
    <row r="123" spans="2:22" s="293" customFormat="1" ht="13.8">
      <c r="B123" s="313"/>
      <c r="C123" s="301"/>
      <c r="E123" s="305"/>
      <c r="F123" s="305"/>
      <c r="G123" s="315"/>
      <c r="H123" s="315"/>
      <c r="I123" s="315"/>
      <c r="K123" s="299"/>
    </row>
    <row r="124" spans="2:22" s="293" customFormat="1" ht="12.75" customHeight="1">
      <c r="B124" s="1345" t="s">
        <v>370</v>
      </c>
      <c r="C124" s="1345"/>
      <c r="D124" s="1345"/>
      <c r="E124" s="1345"/>
      <c r="F124" s="1345"/>
      <c r="G124" s="1345"/>
      <c r="H124" s="1345"/>
      <c r="I124" s="1345"/>
      <c r="K124" s="299"/>
    </row>
    <row r="125" spans="2:22" s="293" customFormat="1" ht="12" customHeight="1">
      <c r="B125" s="1345" t="s">
        <v>371</v>
      </c>
      <c r="C125" s="1345"/>
      <c r="D125" s="1345"/>
      <c r="E125" s="1345"/>
      <c r="F125" s="1345"/>
      <c r="G125" s="1345"/>
      <c r="H125" s="1345"/>
      <c r="I125" s="1345"/>
      <c r="K125" s="299"/>
    </row>
    <row r="126" spans="2:22" s="293" customFormat="1" ht="13.8">
      <c r="B126" s="1004" t="s">
        <v>372</v>
      </c>
      <c r="C126" s="305"/>
      <c r="D126" s="305"/>
      <c r="E126" s="305"/>
      <c r="F126" s="305"/>
      <c r="G126" s="315"/>
      <c r="H126" s="315"/>
      <c r="I126" s="315"/>
      <c r="K126" s="299"/>
    </row>
    <row r="127" spans="2:22" s="293" customFormat="1" ht="13.8">
      <c r="B127" s="1004" t="s">
        <v>373</v>
      </c>
      <c r="C127" s="305"/>
      <c r="D127" s="305"/>
      <c r="E127" s="305"/>
      <c r="F127" s="305"/>
      <c r="G127" s="315"/>
      <c r="H127" s="315"/>
      <c r="I127" s="315"/>
      <c r="K127" s="299"/>
    </row>
    <row r="128" spans="2:22" s="293" customFormat="1" ht="13.8">
      <c r="B128" s="1004" t="s">
        <v>374</v>
      </c>
      <c r="C128" s="305"/>
      <c r="D128" s="305"/>
      <c r="E128" s="305"/>
      <c r="F128" s="305"/>
      <c r="G128" s="315"/>
      <c r="H128" s="315"/>
      <c r="I128" s="315"/>
      <c r="K128" s="299"/>
      <c r="V128" s="327"/>
    </row>
    <row r="129" spans="2:11" s="293" customFormat="1" ht="13.8">
      <c r="B129" s="1005" t="s">
        <v>375</v>
      </c>
      <c r="C129" s="1005"/>
      <c r="D129" s="1005"/>
      <c r="E129" s="1005"/>
      <c r="F129" s="1005"/>
      <c r="G129" s="1005"/>
      <c r="H129" s="1005"/>
      <c r="I129" s="1005"/>
      <c r="K129" s="299"/>
    </row>
    <row r="130" spans="2:11" s="293" customFormat="1" ht="13.8">
      <c r="B130" s="328"/>
      <c r="C130" s="301"/>
      <c r="D130" s="301"/>
      <c r="E130" s="305"/>
      <c r="F130" s="305"/>
      <c r="G130" s="315"/>
      <c r="H130" s="315"/>
      <c r="I130" s="315"/>
      <c r="K130" s="299"/>
    </row>
    <row r="131" spans="2:11" s="293" customFormat="1" ht="13.8">
      <c r="B131" s="328"/>
      <c r="C131" s="301"/>
      <c r="D131" s="301"/>
      <c r="E131" s="305"/>
      <c r="F131" s="305"/>
      <c r="G131" s="315"/>
      <c r="H131" s="315"/>
      <c r="I131" s="315"/>
      <c r="K131" s="299"/>
    </row>
    <row r="132" spans="2:11" s="293" customFormat="1" ht="15.6">
      <c r="B132" s="329"/>
      <c r="C132" s="301"/>
      <c r="D132" s="301"/>
      <c r="E132" s="305"/>
      <c r="F132" s="305"/>
      <c r="G132" s="315"/>
      <c r="H132" s="315"/>
      <c r="I132" s="315"/>
      <c r="K132" s="4" t="str">
        <f>K1</f>
        <v>Attachment H -11A, Attachment 5a</v>
      </c>
    </row>
    <row r="133" spans="2:11" s="293" customFormat="1" ht="16.2" thickBot="1">
      <c r="B133" s="912" t="s">
        <v>107</v>
      </c>
      <c r="C133" s="912" t="s">
        <v>108</v>
      </c>
      <c r="D133" s="912" t="s">
        <v>109</v>
      </c>
      <c r="E133" s="912" t="s">
        <v>110</v>
      </c>
      <c r="F133" s="912" t="s">
        <v>111</v>
      </c>
      <c r="G133" s="912" t="s">
        <v>112</v>
      </c>
      <c r="H133" s="912" t="s">
        <v>113</v>
      </c>
      <c r="I133" s="298"/>
      <c r="J133" s="298"/>
      <c r="K133" s="42" t="s">
        <v>583</v>
      </c>
    </row>
    <row r="134" spans="2:11" s="293" customFormat="1" ht="16.2" thickBot="1">
      <c r="B134" s="319"/>
      <c r="C134" s="1346"/>
      <c r="D134" s="1347"/>
      <c r="E134" s="1347"/>
      <c r="F134" s="1347"/>
      <c r="G134" s="1347"/>
      <c r="H134" s="1348"/>
      <c r="I134" s="298"/>
      <c r="J134" s="298"/>
      <c r="K134" s="6" t="str">
        <f>'Attachment H-11A '!K4</f>
        <v>For the 12 months ended 12/31/2022</v>
      </c>
    </row>
    <row r="135" spans="2:11" s="293" customFormat="1">
      <c r="B135" s="302"/>
      <c r="I135" s="324"/>
      <c r="J135" s="324"/>
      <c r="K135" s="299"/>
    </row>
    <row r="136" spans="2:11" s="293" customFormat="1" ht="13.8">
      <c r="B136" s="328"/>
      <c r="C136" s="301"/>
      <c r="D136" s="301"/>
      <c r="E136" s="305"/>
      <c r="F136" s="305"/>
      <c r="G136" s="315"/>
      <c r="H136" s="315"/>
      <c r="I136" s="315"/>
      <c r="K136" s="299"/>
    </row>
    <row r="137" spans="2:11" s="293" customFormat="1" ht="13.8">
      <c r="B137" s="328"/>
      <c r="C137" s="301"/>
      <c r="D137" s="301"/>
      <c r="E137" s="305"/>
      <c r="F137" s="305"/>
      <c r="G137" s="315"/>
      <c r="H137" s="315"/>
      <c r="I137" s="315"/>
      <c r="K137" s="299"/>
    </row>
    <row r="138" spans="2:11" s="293" customFormat="1">
      <c r="B138" s="323" t="s">
        <v>378</v>
      </c>
      <c r="C138" s="300" t="s">
        <v>362</v>
      </c>
      <c r="D138" s="912" t="s">
        <v>354</v>
      </c>
      <c r="E138" s="300" t="s">
        <v>363</v>
      </c>
      <c r="F138" s="300" t="s">
        <v>364</v>
      </c>
      <c r="G138" s="300"/>
      <c r="H138" s="300"/>
      <c r="I138" s="324"/>
      <c r="J138" s="324"/>
      <c r="K138" s="299"/>
    </row>
    <row r="139" spans="2:11" s="293" customFormat="1">
      <c r="B139" s="302"/>
      <c r="C139" s="912" t="s">
        <v>365</v>
      </c>
      <c r="D139" s="912" t="s">
        <v>357</v>
      </c>
      <c r="E139" s="300" t="s">
        <v>366</v>
      </c>
      <c r="F139" s="300" t="s">
        <v>25</v>
      </c>
      <c r="G139" s="300" t="s">
        <v>355</v>
      </c>
      <c r="H139" s="300" t="s">
        <v>356</v>
      </c>
      <c r="I139" s="324"/>
      <c r="J139" s="324"/>
      <c r="K139" s="300" t="s">
        <v>368</v>
      </c>
    </row>
    <row r="140" spans="2:11" s="293" customFormat="1" ht="13.8">
      <c r="B140" s="309" t="s">
        <v>3</v>
      </c>
      <c r="C140" s="300" t="s">
        <v>379</v>
      </c>
      <c r="E140" s="300" t="s">
        <v>357</v>
      </c>
      <c r="F140" s="300" t="s">
        <v>357</v>
      </c>
      <c r="G140" s="300" t="s">
        <v>357</v>
      </c>
      <c r="H140" s="300" t="s">
        <v>357</v>
      </c>
      <c r="I140" s="324"/>
      <c r="J140" s="324"/>
      <c r="K140" s="299"/>
    </row>
    <row r="141" spans="2:11" s="293" customFormat="1" ht="13.8">
      <c r="B141" s="325"/>
      <c r="C141" s="311"/>
      <c r="D141" s="311"/>
      <c r="E141" s="311"/>
      <c r="F141" s="311"/>
      <c r="G141" s="311"/>
      <c r="H141" s="311"/>
      <c r="I141" s="490"/>
      <c r="J141" s="491"/>
      <c r="K141" s="299"/>
    </row>
    <row r="142" spans="2:11" s="293" customFormat="1" ht="13.8">
      <c r="B142" s="473" t="s">
        <v>1292</v>
      </c>
      <c r="C142" s="486">
        <f>F142</f>
        <v>28.723079171336856</v>
      </c>
      <c r="D142" s="475"/>
      <c r="E142" s="475"/>
      <c r="F142" s="475">
        <v>28.723079171336856</v>
      </c>
      <c r="G142" s="475"/>
      <c r="H142" s="475"/>
      <c r="I142" s="475"/>
      <c r="J142" s="475"/>
      <c r="K142" s="475"/>
    </row>
    <row r="143" spans="2:11" s="293" customFormat="1" ht="13.8">
      <c r="B143" s="473" t="s">
        <v>1267</v>
      </c>
      <c r="C143" s="486">
        <f>F143</f>
        <v>119529.79850621335</v>
      </c>
      <c r="D143" s="475"/>
      <c r="E143" s="475"/>
      <c r="F143" s="475">
        <v>119529.79850621335</v>
      </c>
      <c r="G143" s="475"/>
      <c r="H143" s="475"/>
      <c r="I143" s="475"/>
      <c r="J143" s="475"/>
      <c r="K143" s="475"/>
    </row>
    <row r="144" spans="2:11" s="293" customFormat="1" ht="13.8">
      <c r="B144" s="473" t="s">
        <v>1293</v>
      </c>
      <c r="C144" s="486">
        <f>F144</f>
        <v>26634.908851471704</v>
      </c>
      <c r="D144" s="475"/>
      <c r="E144" s="475"/>
      <c r="F144" s="475">
        <v>26634.908851471704</v>
      </c>
      <c r="G144" s="475"/>
      <c r="H144" s="475"/>
      <c r="I144" s="475"/>
      <c r="J144" s="475"/>
      <c r="K144" s="475"/>
    </row>
    <row r="145" spans="2:11" s="293" customFormat="1" ht="13.8">
      <c r="B145" s="473" t="s">
        <v>1294</v>
      </c>
      <c r="C145" s="486">
        <f>F145</f>
        <v>1407584.2294167068</v>
      </c>
      <c r="D145" s="475"/>
      <c r="E145" s="475"/>
      <c r="F145" s="475">
        <v>1407584.2294167068</v>
      </c>
      <c r="G145" s="475"/>
      <c r="H145" s="475"/>
      <c r="I145" s="475"/>
      <c r="J145" s="475"/>
      <c r="K145" s="475"/>
    </row>
    <row r="146" spans="2:11" s="293" customFormat="1" ht="13.8">
      <c r="B146" s="473" t="s">
        <v>1312</v>
      </c>
      <c r="C146" s="486">
        <f>F146</f>
        <v>-5631228.9182412578</v>
      </c>
      <c r="D146" s="475"/>
      <c r="E146" s="475"/>
      <c r="F146" s="475">
        <v>-5631228.9182412578</v>
      </c>
      <c r="G146" s="475"/>
      <c r="H146" s="475"/>
      <c r="I146" s="475"/>
      <c r="J146" s="475"/>
      <c r="K146" s="475"/>
    </row>
    <row r="147" spans="2:11" s="293" customFormat="1" ht="13.8">
      <c r="B147" s="473"/>
      <c r="C147" s="486"/>
      <c r="D147" s="475"/>
      <c r="E147" s="475"/>
      <c r="F147" s="475"/>
      <c r="G147" s="475"/>
      <c r="H147" s="475"/>
      <c r="I147" s="475"/>
      <c r="J147" s="475"/>
      <c r="K147" s="475"/>
    </row>
    <row r="148" spans="2:11" s="293" customFormat="1" ht="13.8">
      <c r="B148" s="473"/>
      <c r="C148" s="492"/>
      <c r="D148" s="478"/>
      <c r="E148" s="478"/>
      <c r="F148" s="478"/>
      <c r="G148" s="478"/>
      <c r="H148" s="478"/>
      <c r="I148" s="478"/>
      <c r="J148" s="478"/>
      <c r="K148" s="479"/>
    </row>
    <row r="149" spans="2:11" s="293" customFormat="1" ht="13.8">
      <c r="B149" s="310" t="s">
        <v>257</v>
      </c>
      <c r="C149" s="311">
        <f t="shared" ref="C149:H149" si="7">SUM(C142:C148)</f>
        <v>-4077451.2583876946</v>
      </c>
      <c r="D149" s="311">
        <f t="shared" si="7"/>
        <v>0</v>
      </c>
      <c r="E149" s="311">
        <f t="shared" si="7"/>
        <v>0</v>
      </c>
      <c r="F149" s="311">
        <f t="shared" si="7"/>
        <v>-4077451.2583876946</v>
      </c>
      <c r="G149" s="311">
        <f t="shared" si="7"/>
        <v>0</v>
      </c>
      <c r="H149" s="311">
        <f t="shared" si="7"/>
        <v>0</v>
      </c>
      <c r="I149" s="311"/>
      <c r="J149" s="311"/>
      <c r="K149" s="299"/>
    </row>
    <row r="150" spans="2:11" s="293" customFormat="1" ht="15.6">
      <c r="B150" s="322"/>
      <c r="C150" s="301"/>
      <c r="D150" s="301"/>
      <c r="E150" s="305"/>
      <c r="F150" s="305"/>
      <c r="G150" s="315"/>
      <c r="H150" s="315"/>
      <c r="I150" s="315"/>
      <c r="K150" s="299"/>
    </row>
    <row r="151" spans="2:11" s="293" customFormat="1">
      <c r="B151" s="302"/>
      <c r="C151" s="302"/>
      <c r="D151" s="302"/>
      <c r="E151" s="302"/>
      <c r="F151" s="302"/>
      <c r="G151" s="302"/>
      <c r="H151" s="323"/>
      <c r="I151" s="323"/>
      <c r="K151" s="299"/>
    </row>
    <row r="152" spans="2:11" s="293" customFormat="1" ht="13.8">
      <c r="B152" s="313"/>
      <c r="E152" s="305"/>
      <c r="F152" s="305"/>
      <c r="G152" s="305"/>
      <c r="H152" s="305"/>
      <c r="I152" s="311"/>
      <c r="J152" s="305"/>
      <c r="K152" s="299"/>
    </row>
    <row r="153" spans="2:11" s="293" customFormat="1" ht="13.8">
      <c r="B153" s="313" t="s">
        <v>380</v>
      </c>
      <c r="C153" s="301"/>
      <c r="D153" s="301"/>
      <c r="E153" s="305"/>
      <c r="F153" s="305"/>
      <c r="G153" s="315"/>
      <c r="H153" s="315"/>
      <c r="I153" s="315"/>
      <c r="K153" s="299"/>
    </row>
    <row r="154" spans="2:11" s="293" customFormat="1" ht="13.8">
      <c r="B154" s="328"/>
      <c r="C154" s="301"/>
      <c r="D154" s="301"/>
      <c r="E154" s="301"/>
      <c r="F154" s="301"/>
      <c r="G154" s="301"/>
      <c r="H154" s="301"/>
      <c r="I154" s="301"/>
      <c r="K154" s="299"/>
    </row>
    <row r="155" spans="2:11" s="293" customFormat="1" ht="12.9" customHeight="1">
      <c r="B155" s="1345" t="s">
        <v>370</v>
      </c>
      <c r="C155" s="1345"/>
      <c r="D155" s="1345"/>
      <c r="E155" s="1345"/>
      <c r="F155" s="1345"/>
      <c r="G155" s="1345"/>
      <c r="H155" s="1345"/>
      <c r="I155" s="1345"/>
      <c r="K155" s="299"/>
    </row>
    <row r="156" spans="2:11" s="293" customFormat="1" ht="12.9" customHeight="1">
      <c r="B156" s="1345" t="s">
        <v>371</v>
      </c>
      <c r="C156" s="1345"/>
      <c r="D156" s="1345"/>
      <c r="E156" s="1345"/>
      <c r="F156" s="1345"/>
      <c r="G156" s="1345"/>
      <c r="H156" s="1345"/>
      <c r="I156" s="1345"/>
      <c r="K156" s="299"/>
    </row>
    <row r="157" spans="2:11" s="293" customFormat="1" ht="13.8">
      <c r="B157" s="1004" t="s">
        <v>372</v>
      </c>
      <c r="C157" s="305"/>
      <c r="D157" s="305"/>
      <c r="E157" s="305"/>
      <c r="F157" s="305"/>
      <c r="G157" s="315"/>
      <c r="H157" s="315"/>
      <c r="I157" s="315"/>
      <c r="K157" s="299"/>
    </row>
    <row r="158" spans="2:11" s="293" customFormat="1" ht="13.8">
      <c r="B158" s="1004" t="s">
        <v>373</v>
      </c>
      <c r="C158" s="305"/>
      <c r="D158" s="305"/>
      <c r="E158" s="305"/>
      <c r="F158" s="305"/>
      <c r="G158" s="315"/>
      <c r="H158" s="315"/>
      <c r="I158" s="315"/>
      <c r="J158" s="307"/>
      <c r="K158" s="307"/>
    </row>
    <row r="159" spans="2:11" s="293" customFormat="1" ht="13.8">
      <c r="B159" s="1004" t="s">
        <v>374</v>
      </c>
      <c r="C159" s="305"/>
      <c r="D159" s="305"/>
      <c r="E159" s="305"/>
      <c r="F159" s="305"/>
      <c r="G159" s="315"/>
      <c r="H159" s="315"/>
      <c r="I159" s="315"/>
      <c r="J159" s="307"/>
      <c r="K159" s="307"/>
    </row>
    <row r="160" spans="2:11" s="293" customFormat="1" ht="13.8">
      <c r="B160" s="1005" t="s">
        <v>375</v>
      </c>
      <c r="C160" s="1005"/>
      <c r="D160" s="1005"/>
      <c r="E160" s="1005"/>
      <c r="F160" s="1005"/>
      <c r="G160" s="1005"/>
      <c r="H160" s="1005"/>
      <c r="I160" s="1005"/>
      <c r="J160" s="307"/>
      <c r="K160" s="307"/>
    </row>
    <row r="161" spans="2:11" s="293" customFormat="1">
      <c r="B161" s="305"/>
      <c r="C161" s="305"/>
      <c r="D161" s="305"/>
      <c r="E161" s="305"/>
      <c r="F161" s="305"/>
      <c r="G161" s="305"/>
      <c r="H161" s="330"/>
      <c r="I161" s="330"/>
      <c r="J161" s="307"/>
      <c r="K161" s="307"/>
    </row>
    <row r="162" spans="2:11" s="293" customFormat="1">
      <c r="C162" s="301"/>
      <c r="D162" s="301"/>
      <c r="E162" s="305"/>
      <c r="F162" s="305"/>
      <c r="G162" s="315"/>
      <c r="H162" s="315"/>
      <c r="I162" s="315"/>
      <c r="K162" s="299"/>
    </row>
    <row r="163" spans="2:11" s="293" customFormat="1">
      <c r="B163" s="329"/>
      <c r="C163" s="301"/>
      <c r="D163" s="301"/>
      <c r="E163" s="305"/>
      <c r="F163" s="305"/>
      <c r="G163" s="315"/>
      <c r="H163" s="315"/>
      <c r="I163" s="315"/>
      <c r="K163" s="299"/>
    </row>
    <row r="164" spans="2:11" s="293" customFormat="1" ht="16.2" thickBot="1">
      <c r="B164" s="912" t="s">
        <v>107</v>
      </c>
      <c r="C164" s="912" t="s">
        <v>108</v>
      </c>
      <c r="D164" s="912" t="s">
        <v>109</v>
      </c>
      <c r="E164" s="912" t="s">
        <v>110</v>
      </c>
      <c r="F164" s="912" t="s">
        <v>111</v>
      </c>
      <c r="G164" s="912" t="s">
        <v>112</v>
      </c>
      <c r="H164" s="912" t="s">
        <v>113</v>
      </c>
      <c r="I164" s="298"/>
      <c r="J164" s="298"/>
      <c r="K164" s="4" t="str">
        <f>K1</f>
        <v>Attachment H -11A, Attachment 5a</v>
      </c>
    </row>
    <row r="165" spans="2:11" s="293" customFormat="1" ht="16.2" thickBot="1">
      <c r="B165" s="319"/>
      <c r="C165" s="1346"/>
      <c r="D165" s="1347"/>
      <c r="E165" s="1347"/>
      <c r="F165" s="1347"/>
      <c r="G165" s="1347"/>
      <c r="H165" s="1348"/>
      <c r="I165" s="298"/>
      <c r="J165" s="298"/>
      <c r="K165" s="42" t="s">
        <v>582</v>
      </c>
    </row>
    <row r="166" spans="2:11" s="293" customFormat="1" ht="15.6">
      <c r="B166" s="302"/>
      <c r="I166" s="324"/>
      <c r="J166" s="324"/>
      <c r="K166" s="6" t="str">
        <f>'Attachment H-11A '!K4</f>
        <v>For the 12 months ended 12/31/2022</v>
      </c>
    </row>
    <row r="167" spans="2:11" s="293" customFormat="1">
      <c r="B167" s="302"/>
      <c r="C167" s="302"/>
      <c r="D167" s="302"/>
      <c r="E167" s="302"/>
      <c r="F167" s="302"/>
      <c r="G167" s="302"/>
      <c r="H167" s="323"/>
      <c r="I167" s="323"/>
      <c r="K167" s="299"/>
    </row>
    <row r="168" spans="2:11" s="293" customFormat="1">
      <c r="B168" s="302"/>
      <c r="C168" s="302"/>
      <c r="D168" s="302"/>
      <c r="E168" s="302"/>
      <c r="F168" s="302"/>
      <c r="G168" s="302"/>
      <c r="H168" s="323"/>
      <c r="I168" s="323"/>
      <c r="K168" s="299"/>
    </row>
    <row r="169" spans="2:11" s="293" customFormat="1">
      <c r="B169" s="323" t="s">
        <v>381</v>
      </c>
      <c r="C169" s="300" t="s">
        <v>362</v>
      </c>
      <c r="D169" s="912" t="s">
        <v>354</v>
      </c>
      <c r="E169" s="300" t="s">
        <v>363</v>
      </c>
      <c r="F169" s="300" t="s">
        <v>364</v>
      </c>
      <c r="G169" s="300"/>
      <c r="H169" s="300"/>
      <c r="I169" s="324"/>
      <c r="J169" s="324"/>
      <c r="K169" s="299"/>
    </row>
    <row r="170" spans="2:11" s="293" customFormat="1">
      <c r="B170" s="302"/>
      <c r="C170" s="912" t="s">
        <v>365</v>
      </c>
      <c r="D170" s="912" t="s">
        <v>357</v>
      </c>
      <c r="E170" s="300" t="s">
        <v>366</v>
      </c>
      <c r="F170" s="300" t="s">
        <v>25</v>
      </c>
      <c r="G170" s="300" t="s">
        <v>355</v>
      </c>
      <c r="H170" s="300" t="s">
        <v>356</v>
      </c>
      <c r="I170" s="324"/>
      <c r="J170" s="324"/>
      <c r="K170" s="300" t="s">
        <v>368</v>
      </c>
    </row>
    <row r="171" spans="2:11" s="293" customFormat="1" ht="13.8">
      <c r="B171" s="309" t="s">
        <v>3</v>
      </c>
      <c r="C171" s="300" t="s">
        <v>382</v>
      </c>
      <c r="E171" s="300" t="s">
        <v>357</v>
      </c>
      <c r="F171" s="300" t="s">
        <v>357</v>
      </c>
      <c r="G171" s="300" t="s">
        <v>357</v>
      </c>
      <c r="H171" s="300" t="s">
        <v>357</v>
      </c>
      <c r="I171" s="324"/>
      <c r="J171" s="324"/>
      <c r="K171" s="299"/>
    </row>
    <row r="172" spans="2:11" s="293" customFormat="1" ht="13.8">
      <c r="B172" s="325"/>
      <c r="C172" s="311"/>
      <c r="D172" s="311"/>
      <c r="E172" s="311"/>
      <c r="F172" s="311"/>
      <c r="G172" s="311"/>
      <c r="H172" s="311"/>
      <c r="I172" s="490"/>
      <c r="J172" s="491"/>
      <c r="K172" s="299"/>
    </row>
    <row r="173" spans="2:11" s="293" customFormat="1" ht="13.8">
      <c r="B173" s="473"/>
      <c r="C173" s="486"/>
      <c r="D173" s="475"/>
      <c r="E173" s="475"/>
      <c r="F173" s="475"/>
      <c r="G173" s="475"/>
      <c r="H173" s="475"/>
      <c r="I173" s="475"/>
      <c r="J173" s="475"/>
      <c r="K173" s="475"/>
    </row>
    <row r="174" spans="2:11" s="293" customFormat="1" ht="13.8">
      <c r="B174" s="473"/>
      <c r="C174" s="486"/>
      <c r="D174" s="475"/>
      <c r="E174" s="475"/>
      <c r="F174" s="475"/>
      <c r="G174" s="475"/>
      <c r="H174" s="475"/>
      <c r="I174" s="475"/>
      <c r="J174" s="475"/>
      <c r="K174" s="475"/>
    </row>
    <row r="175" spans="2:11" s="293" customFormat="1" ht="13.8">
      <c r="B175" s="473"/>
      <c r="C175" s="486"/>
      <c r="D175" s="475"/>
      <c r="E175" s="475"/>
      <c r="F175" s="475"/>
      <c r="G175" s="475"/>
      <c r="H175" s="475"/>
      <c r="I175" s="475"/>
      <c r="J175" s="475"/>
      <c r="K175" s="475"/>
    </row>
    <row r="176" spans="2:11" s="293" customFormat="1" ht="13.8">
      <c r="B176" s="473"/>
      <c r="C176" s="486"/>
      <c r="D176" s="475"/>
      <c r="E176" s="475"/>
      <c r="F176" s="475"/>
      <c r="G176" s="475"/>
      <c r="H176" s="475"/>
      <c r="I176" s="475"/>
      <c r="J176" s="475"/>
      <c r="K176" s="475"/>
    </row>
    <row r="177" spans="2:11" s="293" customFormat="1" ht="13.8">
      <c r="B177" s="473"/>
      <c r="C177" s="486"/>
      <c r="D177" s="475"/>
      <c r="E177" s="475"/>
      <c r="F177" s="475"/>
      <c r="G177" s="475"/>
      <c r="H177" s="475"/>
      <c r="I177" s="475"/>
      <c r="J177" s="475"/>
      <c r="K177" s="476"/>
    </row>
    <row r="178" spans="2:11" s="293" customFormat="1" ht="13.8">
      <c r="B178" s="473"/>
      <c r="C178" s="486"/>
      <c r="D178" s="475"/>
      <c r="E178" s="475"/>
      <c r="F178" s="475"/>
      <c r="G178" s="475"/>
      <c r="H178" s="475"/>
      <c r="I178" s="475"/>
      <c r="J178" s="475"/>
      <c r="K178" s="476"/>
    </row>
    <row r="179" spans="2:11" s="293" customFormat="1" ht="13.8">
      <c r="B179" s="473"/>
      <c r="C179" s="486"/>
      <c r="D179" s="475"/>
      <c r="E179" s="475"/>
      <c r="F179" s="475"/>
      <c r="G179" s="475"/>
      <c r="H179" s="475"/>
      <c r="I179" s="475"/>
      <c r="J179" s="475"/>
      <c r="K179" s="475"/>
    </row>
    <row r="180" spans="2:11" s="293" customFormat="1" ht="13.8">
      <c r="B180" s="473"/>
      <c r="C180" s="486"/>
      <c r="D180" s="475"/>
      <c r="E180" s="475"/>
      <c r="F180" s="475"/>
      <c r="G180" s="475"/>
      <c r="H180" s="475"/>
      <c r="I180" s="475"/>
      <c r="J180" s="475"/>
      <c r="K180" s="475"/>
    </row>
    <row r="181" spans="2:11" s="293" customFormat="1" ht="13.8">
      <c r="B181" s="473"/>
      <c r="C181" s="492"/>
      <c r="D181" s="478"/>
      <c r="E181" s="478"/>
      <c r="F181" s="478"/>
      <c r="G181" s="478"/>
      <c r="H181" s="478"/>
      <c r="I181" s="478"/>
      <c r="J181" s="478"/>
      <c r="K181" s="479"/>
    </row>
    <row r="182" spans="2:11" s="293" customFormat="1" ht="13.8">
      <c r="B182" s="310" t="s">
        <v>257</v>
      </c>
      <c r="C182" s="311">
        <f t="shared" ref="C182:D182" si="8">SUM(C172:C181)</f>
        <v>0</v>
      </c>
      <c r="D182" s="311">
        <f t="shared" si="8"/>
        <v>0</v>
      </c>
      <c r="E182" s="311">
        <f>SUM(E172:E181)</f>
        <v>0</v>
      </c>
      <c r="F182" s="311">
        <f t="shared" ref="F182" si="9">SUM(F172:F181)</f>
        <v>0</v>
      </c>
      <c r="G182" s="311">
        <f t="shared" ref="G182" si="10">SUM(G172:G181)</f>
        <v>0</v>
      </c>
      <c r="H182" s="311">
        <f>SUM(H172:H181)</f>
        <v>0</v>
      </c>
      <c r="I182" s="311"/>
      <c r="J182" s="311"/>
      <c r="K182" s="299"/>
    </row>
    <row r="183" spans="2:11" s="293" customFormat="1">
      <c r="B183" s="302"/>
      <c r="C183" s="302"/>
      <c r="D183" s="302"/>
      <c r="E183" s="302"/>
      <c r="F183" s="302"/>
      <c r="G183" s="302"/>
      <c r="H183" s="323"/>
      <c r="I183" s="323"/>
      <c r="K183" s="299"/>
    </row>
    <row r="184" spans="2:11" s="293" customFormat="1">
      <c r="B184" s="302"/>
      <c r="C184" s="302"/>
      <c r="D184" s="302"/>
      <c r="E184" s="302"/>
      <c r="F184" s="302"/>
      <c r="G184" s="302"/>
      <c r="H184" s="323"/>
      <c r="I184" s="323"/>
      <c r="K184" s="299"/>
    </row>
    <row r="185" spans="2:11" s="293" customFormat="1" ht="13.8">
      <c r="B185" s="313"/>
      <c r="E185" s="305"/>
      <c r="F185" s="305"/>
      <c r="G185" s="305"/>
      <c r="H185" s="305"/>
      <c r="I185" s="311"/>
      <c r="J185" s="305"/>
      <c r="K185" s="299"/>
    </row>
    <row r="186" spans="2:11" s="293" customFormat="1" ht="13.8">
      <c r="B186" s="313" t="s">
        <v>385</v>
      </c>
      <c r="C186" s="301"/>
      <c r="D186" s="301"/>
      <c r="E186" s="305"/>
      <c r="F186" s="305"/>
      <c r="G186" s="315"/>
      <c r="H186" s="315"/>
      <c r="I186" s="315"/>
      <c r="K186" s="299"/>
    </row>
    <row r="187" spans="2:11" s="293" customFormat="1" ht="13.8">
      <c r="B187" s="328"/>
      <c r="C187" s="301"/>
      <c r="D187" s="301"/>
      <c r="E187" s="301"/>
      <c r="F187" s="301"/>
      <c r="G187" s="301"/>
      <c r="H187" s="301"/>
      <c r="I187" s="301"/>
      <c r="K187" s="299"/>
    </row>
    <row r="188" spans="2:11" s="293" customFormat="1" ht="12.9" customHeight="1">
      <c r="B188" s="1345" t="s">
        <v>370</v>
      </c>
      <c r="C188" s="1345"/>
      <c r="D188" s="1345"/>
      <c r="E188" s="1345"/>
      <c r="F188" s="1345"/>
      <c r="G188" s="1345"/>
      <c r="H188" s="1345"/>
      <c r="I188" s="1345"/>
      <c r="K188" s="299"/>
    </row>
    <row r="189" spans="2:11" s="293" customFormat="1" ht="12.9" customHeight="1">
      <c r="B189" s="1345" t="s">
        <v>371</v>
      </c>
      <c r="C189" s="1345"/>
      <c r="D189" s="1345"/>
      <c r="E189" s="1345"/>
      <c r="F189" s="1345"/>
      <c r="G189" s="1345"/>
      <c r="H189" s="1345"/>
      <c r="I189" s="1345"/>
      <c r="K189" s="299"/>
    </row>
    <row r="190" spans="2:11" s="293" customFormat="1" ht="13.8">
      <c r="B190" s="1004" t="s">
        <v>372</v>
      </c>
      <c r="C190" s="305"/>
      <c r="D190" s="305"/>
      <c r="E190" s="305"/>
      <c r="F190" s="305"/>
      <c r="G190" s="315"/>
      <c r="H190" s="315"/>
      <c r="I190" s="315"/>
      <c r="K190" s="299"/>
    </row>
    <row r="191" spans="2:11" s="293" customFormat="1" ht="13.8">
      <c r="B191" s="1004" t="s">
        <v>373</v>
      </c>
      <c r="C191" s="305"/>
      <c r="D191" s="305"/>
      <c r="E191" s="305"/>
      <c r="F191" s="305"/>
      <c r="G191" s="315"/>
      <c r="H191" s="315"/>
      <c r="I191" s="315"/>
      <c r="J191" s="307"/>
      <c r="K191" s="307"/>
    </row>
    <row r="192" spans="2:11" s="293" customFormat="1" ht="13.8">
      <c r="B192" s="1004" t="s">
        <v>374</v>
      </c>
      <c r="C192" s="305"/>
      <c r="D192" s="305"/>
      <c r="E192" s="305"/>
      <c r="F192" s="305"/>
      <c r="G192" s="315"/>
      <c r="H192" s="315"/>
      <c r="I192" s="315"/>
      <c r="J192" s="307"/>
      <c r="K192" s="307"/>
    </row>
    <row r="193" spans="2:11" s="293" customFormat="1" ht="13.8">
      <c r="B193" s="1005" t="s">
        <v>375</v>
      </c>
      <c r="C193" s="1005"/>
      <c r="D193" s="1005"/>
      <c r="E193" s="1005"/>
      <c r="F193" s="1005"/>
      <c r="G193" s="1005"/>
      <c r="H193" s="1005"/>
      <c r="I193" s="1005"/>
      <c r="J193" s="307"/>
      <c r="K193" s="307"/>
    </row>
    <row r="194" spans="2:11" s="293" customFormat="1"/>
    <row r="195" spans="2:11" s="293" customFormat="1"/>
    <row r="196" spans="2:11" s="293" customFormat="1">
      <c r="C196" s="301"/>
      <c r="D196" s="301"/>
      <c r="E196" s="305"/>
      <c r="F196" s="305"/>
      <c r="G196" s="315"/>
      <c r="H196" s="315"/>
      <c r="I196" s="315"/>
      <c r="K196" s="299"/>
    </row>
    <row r="197" spans="2:11" s="293" customFormat="1" ht="13.8">
      <c r="B197" s="328"/>
      <c r="C197" s="301"/>
      <c r="D197" s="301"/>
      <c r="E197" s="305"/>
      <c r="F197" s="305"/>
      <c r="G197" s="315"/>
      <c r="H197" s="315"/>
      <c r="I197" s="315"/>
      <c r="K197" s="299"/>
    </row>
    <row r="198" spans="2:11" s="293" customFormat="1" ht="15.6">
      <c r="B198" s="329"/>
      <c r="C198" s="301"/>
      <c r="D198" s="301"/>
      <c r="E198" s="305"/>
      <c r="F198" s="305"/>
      <c r="G198" s="315"/>
      <c r="H198" s="315"/>
      <c r="I198" s="315"/>
      <c r="K198" s="4" t="str">
        <f>K1</f>
        <v>Attachment H -11A, Attachment 5a</v>
      </c>
    </row>
    <row r="199" spans="2:11" s="293" customFormat="1" ht="16.2" thickBot="1">
      <c r="B199" s="912" t="s">
        <v>107</v>
      </c>
      <c r="C199" s="912" t="s">
        <v>108</v>
      </c>
      <c r="D199" s="912" t="s">
        <v>109</v>
      </c>
      <c r="E199" s="912" t="s">
        <v>110</v>
      </c>
      <c r="F199" s="912" t="s">
        <v>111</v>
      </c>
      <c r="G199" s="912" t="s">
        <v>112</v>
      </c>
      <c r="H199" s="912" t="s">
        <v>113</v>
      </c>
      <c r="I199" s="298"/>
      <c r="J199" s="298"/>
      <c r="K199" s="42" t="s">
        <v>581</v>
      </c>
    </row>
    <row r="200" spans="2:11" s="293" customFormat="1" ht="16.2" thickBot="1">
      <c r="B200" s="319"/>
      <c r="C200" s="1346"/>
      <c r="D200" s="1347"/>
      <c r="E200" s="1347"/>
      <c r="F200" s="1347"/>
      <c r="G200" s="1347"/>
      <c r="H200" s="1348"/>
      <c r="I200" s="298"/>
      <c r="J200" s="298"/>
      <c r="K200" s="6" t="str">
        <f>'Attachment H-11A '!K4</f>
        <v>For the 12 months ended 12/31/2022</v>
      </c>
    </row>
    <row r="201" spans="2:11" s="293" customFormat="1">
      <c r="B201" s="302"/>
      <c r="I201" s="324"/>
      <c r="J201" s="324"/>
      <c r="K201" s="299"/>
    </row>
    <row r="202" spans="2:11" s="293" customFormat="1" ht="15.6">
      <c r="B202" s="322"/>
      <c r="C202" s="301"/>
      <c r="D202" s="301"/>
      <c r="E202" s="305"/>
      <c r="F202" s="305"/>
      <c r="G202" s="315"/>
      <c r="H202" s="315"/>
      <c r="I202" s="315"/>
      <c r="K202" s="299"/>
    </row>
    <row r="203" spans="2:11" s="293" customFormat="1" ht="15.6">
      <c r="B203" s="322"/>
      <c r="C203" s="301"/>
      <c r="D203" s="301"/>
      <c r="E203" s="305"/>
      <c r="F203" s="305"/>
      <c r="G203" s="315"/>
      <c r="H203" s="315"/>
      <c r="I203" s="315"/>
      <c r="K203" s="299"/>
    </row>
    <row r="204" spans="2:11" s="293" customFormat="1">
      <c r="B204" s="323" t="s">
        <v>386</v>
      </c>
      <c r="C204" s="300" t="s">
        <v>362</v>
      </c>
      <c r="D204" s="912" t="s">
        <v>354</v>
      </c>
      <c r="E204" s="300" t="s">
        <v>363</v>
      </c>
      <c r="F204" s="300" t="s">
        <v>364</v>
      </c>
      <c r="G204" s="300"/>
      <c r="H204" s="300"/>
      <c r="I204" s="324"/>
      <c r="J204" s="324"/>
      <c r="K204" s="299"/>
    </row>
    <row r="205" spans="2:11" s="293" customFormat="1">
      <c r="B205" s="302"/>
      <c r="C205" s="912" t="s">
        <v>365</v>
      </c>
      <c r="D205" s="912" t="s">
        <v>357</v>
      </c>
      <c r="E205" s="300" t="s">
        <v>366</v>
      </c>
      <c r="F205" s="300" t="s">
        <v>25</v>
      </c>
      <c r="G205" s="300" t="s">
        <v>355</v>
      </c>
      <c r="H205" s="300" t="s">
        <v>356</v>
      </c>
      <c r="I205" s="324"/>
      <c r="J205" s="324"/>
      <c r="K205" s="300" t="s">
        <v>368</v>
      </c>
    </row>
    <row r="206" spans="2:11" s="293" customFormat="1" ht="13.8">
      <c r="B206" s="309" t="s">
        <v>3</v>
      </c>
      <c r="C206" s="300" t="s">
        <v>388</v>
      </c>
      <c r="E206" s="300" t="s">
        <v>357</v>
      </c>
      <c r="F206" s="300" t="s">
        <v>357</v>
      </c>
      <c r="G206" s="300" t="s">
        <v>357</v>
      </c>
      <c r="H206" s="300" t="s">
        <v>357</v>
      </c>
      <c r="I206" s="324"/>
      <c r="J206" s="324"/>
      <c r="K206" s="299"/>
    </row>
    <row r="207" spans="2:11" s="293" customFormat="1" ht="13.8">
      <c r="B207" s="325"/>
      <c r="C207" s="311"/>
      <c r="D207" s="311"/>
      <c r="E207" s="311"/>
      <c r="F207" s="311"/>
      <c r="G207" s="311"/>
      <c r="H207" s="311"/>
      <c r="I207" s="490"/>
      <c r="J207" s="491"/>
      <c r="K207" s="299"/>
    </row>
    <row r="208" spans="2:11" s="293" customFormat="1" ht="13.8">
      <c r="B208" s="473"/>
      <c r="C208" s="486"/>
      <c r="D208" s="475"/>
      <c r="E208" s="475"/>
      <c r="F208" s="475"/>
      <c r="G208" s="475"/>
      <c r="H208" s="475"/>
      <c r="I208" s="475"/>
      <c r="J208" s="475"/>
      <c r="K208" s="475"/>
    </row>
    <row r="209" spans="2:11" s="293" customFormat="1" ht="13.8">
      <c r="B209" s="473"/>
      <c r="C209" s="486"/>
      <c r="D209" s="475"/>
      <c r="E209" s="475"/>
      <c r="F209" s="475"/>
      <c r="G209" s="475"/>
      <c r="H209" s="475"/>
      <c r="I209" s="475"/>
      <c r="J209" s="475"/>
      <c r="K209" s="475"/>
    </row>
    <row r="210" spans="2:11" s="293" customFormat="1" ht="13.8">
      <c r="B210" s="473"/>
      <c r="C210" s="486"/>
      <c r="D210" s="475"/>
      <c r="E210" s="475"/>
      <c r="F210" s="475"/>
      <c r="G210" s="475"/>
      <c r="H210" s="475"/>
      <c r="I210" s="475"/>
      <c r="J210" s="475"/>
      <c r="K210" s="475"/>
    </row>
    <row r="211" spans="2:11" s="293" customFormat="1" ht="13.8">
      <c r="B211" s="473"/>
      <c r="C211" s="486"/>
      <c r="D211" s="475"/>
      <c r="E211" s="475"/>
      <c r="F211" s="475"/>
      <c r="G211" s="475"/>
      <c r="H211" s="475"/>
      <c r="I211" s="475"/>
      <c r="J211" s="475"/>
      <c r="K211" s="475"/>
    </row>
    <row r="212" spans="2:11" s="293" customFormat="1" ht="13.8">
      <c r="B212" s="473"/>
      <c r="C212" s="486"/>
      <c r="D212" s="475"/>
      <c r="E212" s="475"/>
      <c r="F212" s="475"/>
      <c r="G212" s="475"/>
      <c r="H212" s="475"/>
      <c r="I212" s="475"/>
      <c r="J212" s="475"/>
      <c r="K212" s="476"/>
    </row>
    <row r="213" spans="2:11" s="293" customFormat="1" ht="13.8">
      <c r="B213" s="473"/>
      <c r="C213" s="486"/>
      <c r="D213" s="475"/>
      <c r="E213" s="475"/>
      <c r="F213" s="475"/>
      <c r="G213" s="475"/>
      <c r="H213" s="475"/>
      <c r="I213" s="475"/>
      <c r="J213" s="475"/>
      <c r="K213" s="476"/>
    </row>
    <row r="214" spans="2:11" s="293" customFormat="1" ht="13.8">
      <c r="B214" s="473"/>
      <c r="C214" s="486"/>
      <c r="D214" s="475"/>
      <c r="E214" s="475"/>
      <c r="F214" s="475"/>
      <c r="G214" s="475"/>
      <c r="H214" s="475"/>
      <c r="I214" s="475"/>
      <c r="J214" s="475"/>
      <c r="K214" s="475"/>
    </row>
    <row r="215" spans="2:11" s="293" customFormat="1" ht="13.8">
      <c r="B215" s="473"/>
      <c r="C215" s="486"/>
      <c r="D215" s="475"/>
      <c r="E215" s="475"/>
      <c r="F215" s="475"/>
      <c r="G215" s="475"/>
      <c r="H215" s="475"/>
      <c r="I215" s="475"/>
      <c r="J215" s="475"/>
      <c r="K215" s="475"/>
    </row>
    <row r="216" spans="2:11" s="293" customFormat="1" ht="13.8">
      <c r="B216" s="473"/>
      <c r="C216" s="492"/>
      <c r="D216" s="478"/>
      <c r="E216" s="478"/>
      <c r="F216" s="478"/>
      <c r="G216" s="478"/>
      <c r="H216" s="478"/>
      <c r="I216" s="478"/>
      <c r="J216" s="478"/>
      <c r="K216" s="479"/>
    </row>
    <row r="217" spans="2:11" s="293" customFormat="1" ht="13.8">
      <c r="B217" s="310" t="s">
        <v>257</v>
      </c>
      <c r="C217" s="311">
        <f>SUM(C208:C216)</f>
        <v>0</v>
      </c>
      <c r="D217" s="311">
        <f t="shared" ref="D217:H217" si="11">SUM(D208:D216)</f>
        <v>0</v>
      </c>
      <c r="E217" s="311">
        <f t="shared" si="11"/>
        <v>0</v>
      </c>
      <c r="F217" s="311">
        <f t="shared" si="11"/>
        <v>0</v>
      </c>
      <c r="G217" s="311">
        <f t="shared" si="11"/>
        <v>0</v>
      </c>
      <c r="H217" s="311">
        <f t="shared" si="11"/>
        <v>0</v>
      </c>
      <c r="I217" s="311"/>
      <c r="J217" s="311"/>
      <c r="K217" s="299"/>
    </row>
    <row r="218" spans="2:11" s="293" customFormat="1" ht="13.8">
      <c r="B218" s="310"/>
      <c r="C218" s="311"/>
      <c r="D218" s="311"/>
      <c r="E218" s="311"/>
      <c r="F218" s="311"/>
      <c r="G218" s="311"/>
      <c r="H218" s="311"/>
      <c r="I218" s="311"/>
      <c r="J218" s="311"/>
      <c r="K218" s="299"/>
    </row>
    <row r="219" spans="2:11" s="293" customFormat="1">
      <c r="C219" s="912"/>
      <c r="D219" s="912"/>
      <c r="E219" s="912"/>
      <c r="F219" s="912"/>
      <c r="G219" s="912"/>
      <c r="H219" s="912"/>
      <c r="I219" s="297"/>
      <c r="K219" s="299"/>
    </row>
    <row r="220" spans="2:11" s="293" customFormat="1" ht="13.8">
      <c r="B220" s="313"/>
      <c r="E220" s="305"/>
      <c r="F220" s="305"/>
      <c r="G220" s="305"/>
      <c r="H220" s="305"/>
      <c r="I220" s="311"/>
      <c r="J220" s="305"/>
      <c r="K220" s="299"/>
    </row>
    <row r="221" spans="2:11" s="293" customFormat="1" ht="13.8">
      <c r="B221" s="313" t="s">
        <v>387</v>
      </c>
      <c r="C221" s="301"/>
      <c r="D221" s="301"/>
      <c r="E221" s="305"/>
      <c r="F221" s="305"/>
      <c r="G221" s="315"/>
      <c r="H221" s="315"/>
      <c r="I221" s="315"/>
      <c r="K221" s="299"/>
    </row>
    <row r="222" spans="2:11" s="293" customFormat="1" ht="13.8">
      <c r="B222" s="328"/>
      <c r="C222" s="301"/>
      <c r="D222" s="301"/>
      <c r="E222" s="301"/>
      <c r="F222" s="301"/>
      <c r="G222" s="301"/>
      <c r="H222" s="301"/>
      <c r="I222" s="301"/>
      <c r="K222" s="299"/>
    </row>
    <row r="223" spans="2:11" s="293" customFormat="1" ht="12.9" customHeight="1">
      <c r="B223" s="1345" t="s">
        <v>370</v>
      </c>
      <c r="C223" s="1345"/>
      <c r="D223" s="1345"/>
      <c r="E223" s="1345"/>
      <c r="F223" s="1345"/>
      <c r="G223" s="1345"/>
      <c r="H223" s="1345"/>
      <c r="I223" s="1345"/>
      <c r="K223" s="299"/>
    </row>
    <row r="224" spans="2:11" s="293" customFormat="1" ht="12.9" customHeight="1">
      <c r="B224" s="1345" t="s">
        <v>371</v>
      </c>
      <c r="C224" s="1345"/>
      <c r="D224" s="1345"/>
      <c r="E224" s="1345"/>
      <c r="F224" s="1345"/>
      <c r="G224" s="1345"/>
      <c r="H224" s="1345"/>
      <c r="I224" s="1345"/>
      <c r="K224" s="299"/>
    </row>
    <row r="225" spans="2:11" s="293" customFormat="1" ht="13.8">
      <c r="B225" s="1004" t="s">
        <v>372</v>
      </c>
      <c r="C225" s="305"/>
      <c r="D225" s="305"/>
      <c r="E225" s="305"/>
      <c r="F225" s="305"/>
      <c r="G225" s="315"/>
      <c r="H225" s="315"/>
      <c r="I225" s="315"/>
      <c r="K225" s="299"/>
    </row>
    <row r="226" spans="2:11" s="293" customFormat="1" ht="13.8">
      <c r="B226" s="1004" t="s">
        <v>373</v>
      </c>
      <c r="C226" s="305"/>
      <c r="D226" s="305"/>
      <c r="E226" s="305"/>
      <c r="F226" s="305"/>
      <c r="G226" s="315"/>
      <c r="H226" s="315"/>
      <c r="I226" s="315"/>
      <c r="J226" s="307"/>
      <c r="K226" s="307"/>
    </row>
    <row r="227" spans="2:11" s="293" customFormat="1" ht="13.8">
      <c r="B227" s="1004" t="s">
        <v>374</v>
      </c>
      <c r="C227" s="305"/>
      <c r="D227" s="305"/>
      <c r="E227" s="305"/>
      <c r="F227" s="305"/>
      <c r="G227" s="315"/>
      <c r="H227" s="315"/>
      <c r="I227" s="315"/>
      <c r="J227" s="307"/>
      <c r="K227" s="307"/>
    </row>
    <row r="228" spans="2:11" s="293" customFormat="1" ht="13.8">
      <c r="B228" s="1005" t="s">
        <v>375</v>
      </c>
      <c r="C228" s="1005"/>
      <c r="D228" s="1005"/>
      <c r="E228" s="1005"/>
      <c r="F228" s="1005"/>
      <c r="G228" s="1005"/>
      <c r="H228" s="1005"/>
      <c r="I228" s="1005"/>
      <c r="J228" s="307"/>
      <c r="K228" s="307"/>
    </row>
    <row r="229" spans="2:11" s="293" customFormat="1"/>
    <row r="230" spans="2:11" s="293" customFormat="1"/>
  </sheetData>
  <customSheetViews>
    <customSheetView guid="{B991F324-919F-4749-8E3C-A09B2FA7BB10}" scale="80" showPageBreaks="1" printArea="1" view="pageBreakPreview" topLeftCell="A123">
      <selection activeCell="F146" sqref="F146"/>
      <rowBreaks count="5" manualBreakCount="5">
        <brk id="44" max="10" man="1"/>
        <brk id="89" max="10" man="1"/>
        <brk id="132" max="10" man="1"/>
        <brk id="169" max="10" man="1"/>
        <brk id="204" max="10" man="1"/>
      </rowBreaks>
      <pageMargins left="0.5" right="0" top="1" bottom="0.5" header="0.5" footer="0.5"/>
      <printOptions horizontalCentered="1"/>
      <pageSetup scale="37" fitToHeight="0" orientation="landscape" r:id="rId1"/>
      <headerFooter alignWithMargins="0"/>
    </customSheetView>
    <customSheetView guid="{901B528B-D65D-48CA-A638-FD9B4E5BB6D4}" scale="80" showPageBreaks="1" printArea="1" view="pageBreakPreview" topLeftCell="A48">
      <selection activeCell="C77" sqref="C77"/>
      <rowBreaks count="5" manualBreakCount="5">
        <brk id="44" max="10" man="1"/>
        <brk id="89" max="10" man="1"/>
        <brk id="133" max="10" man="1"/>
        <brk id="170" max="10" man="1"/>
        <brk id="205" max="10" man="1"/>
      </rowBreaks>
      <pageMargins left="0.5" right="0" top="1" bottom="0.5" header="0.5" footer="0.5"/>
      <printOptions horizontalCentered="1"/>
      <pageSetup scale="37" fitToHeight="0" orientation="landscape" r:id="rId2"/>
      <headerFooter alignWithMargins="0"/>
    </customSheetView>
    <customSheetView guid="{0DE222E8-ADD6-4F4B-9601-960D8109381F}" scale="60" showPageBreaks="1" printArea="1" view="pageBreakPreview">
      <rowBreaks count="5" manualBreakCount="5">
        <brk id="44" max="10" man="1"/>
        <brk id="80" max="10" man="1"/>
        <brk id="120" max="10" man="1"/>
        <brk id="165" max="10" man="1"/>
        <brk id="200" max="10" man="1"/>
      </rowBreaks>
      <pageMargins left="0.5" right="0" top="1" bottom="0.5" header="0.5" footer="0.5"/>
      <printOptions horizontalCentered="1"/>
      <pageSetup scale="37" fitToHeight="0" orientation="landscape" r:id="rId3"/>
      <headerFooter alignWithMargins="0"/>
    </customSheetView>
  </customSheetViews>
  <mergeCells count="21">
    <mergeCell ref="C200:H200"/>
    <mergeCell ref="B223:I223"/>
    <mergeCell ref="B224:I224"/>
    <mergeCell ref="C165:H165"/>
    <mergeCell ref="B188:I188"/>
    <mergeCell ref="B189:I189"/>
    <mergeCell ref="C1:H1"/>
    <mergeCell ref="C3:H3"/>
    <mergeCell ref="C5:J5"/>
    <mergeCell ref="C6:J6"/>
    <mergeCell ref="B156:I156"/>
    <mergeCell ref="C134:H134"/>
    <mergeCell ref="B155:I155"/>
    <mergeCell ref="C21:J21"/>
    <mergeCell ref="C22:J22"/>
    <mergeCell ref="B124:I124"/>
    <mergeCell ref="B125:I125"/>
    <mergeCell ref="C46:H46"/>
    <mergeCell ref="B83:I83"/>
    <mergeCell ref="B84:I84"/>
    <mergeCell ref="C91:H91"/>
  </mergeCells>
  <printOptions horizontalCentered="1"/>
  <pageMargins left="0.5" right="0" top="1" bottom="0.5" header="0.5" footer="0.5"/>
  <pageSetup scale="37" fitToHeight="0" orientation="landscape" r:id="rId4"/>
  <headerFooter alignWithMargins="0"/>
  <rowBreaks count="5" manualBreakCount="5">
    <brk id="44" max="10" man="1"/>
    <brk id="89" max="10" man="1"/>
    <brk id="131" max="10" man="1"/>
    <brk id="163" max="10" man="1"/>
    <brk id="19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23</vt:i4>
      </vt:variant>
    </vt:vector>
  </HeadingPairs>
  <TitlesOfParts>
    <vt:vector size="52" baseType="lpstr">
      <vt:lpstr>Attachment H-11A </vt:lpstr>
      <vt:lpstr>Attachment 1 - Sched 1A</vt:lpstr>
      <vt:lpstr>Attachment 2 - ROE Calcs</vt:lpstr>
      <vt:lpstr>Attach 2a - Scaled ROE Adder</vt:lpstr>
      <vt:lpstr>Attach 2b - Incent ROE NITS</vt:lpstr>
      <vt:lpstr>Attachment 3 - Gross Plant</vt:lpstr>
      <vt:lpstr>Attachment 4 - Accum Depr</vt:lpstr>
      <vt:lpstr>Attachment 5 - ADIT Summary</vt:lpstr>
      <vt:lpstr>Attachment 5a - ADIT Detail</vt:lpstr>
      <vt:lpstr>Attachment 5b - ADIT Norm PTRR</vt:lpstr>
      <vt:lpstr>Attachment 5c - ADIT Norm ATRR</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Rev Req True-up</vt:lpstr>
      <vt:lpstr>Attach 13a-TEC Rev Req True up</vt:lpstr>
      <vt:lpstr>Attachment 13b - PJM Billings</vt:lpstr>
      <vt:lpstr>Attachment 14 - Other RB</vt:lpstr>
      <vt:lpstr>Attach 15 - Excess_Def ADIT</vt:lpstr>
      <vt:lpstr>Attachment 16 - Abandoned Plant</vt:lpstr>
      <vt:lpstr>Attachment 17 - CWIP in RB</vt:lpstr>
      <vt:lpstr>Attachment 18 - Tax Rates</vt:lpstr>
      <vt:lpstr>Attachment 19 - Reg Asset</vt:lpstr>
      <vt:lpstr>Attachment 20 - O&amp;M and A&amp;G</vt:lpstr>
      <vt:lpstr>'Attach 11a - TEC Cost Support'!Print_Area</vt:lpstr>
      <vt:lpstr>'Attach 13a-TEC Rev Req True up'!Print_Area</vt:lpstr>
      <vt:lpstr>'Attach 2a - Scaled ROE Adder'!Print_Area</vt:lpstr>
      <vt:lpstr>'Attach 2b - Incent ROE NITS'!Print_Area</vt:lpstr>
      <vt:lpstr>'Attach 9 - Stated-value Inputs'!Print_Area</vt:lpstr>
      <vt:lpstr>'Attachment 1 - Sched 1A'!Print_Area</vt:lpstr>
      <vt:lpstr>'Attachment 10 - Debt Cost'!Print_Area</vt:lpstr>
      <vt:lpstr>'Attachment 11 - TEC'!Print_Area</vt:lpstr>
      <vt:lpstr>'Attachment 12 - TEC True-up'!Print_Area</vt:lpstr>
      <vt:lpstr>'Attachment 13 - Rev Req True-up'!Print_Area</vt:lpstr>
      <vt:lpstr>'Attachment 14 - Other RB'!Print_Area</vt:lpstr>
      <vt:lpstr>'Attachment 18 - Tax Rates'!Print_Area</vt:lpstr>
      <vt:lpstr>'Attachment 19 - Reg Asset'!Print_Area</vt:lpstr>
      <vt:lpstr>'Attachment 2 - ROE Calcs'!Print_Area</vt:lpstr>
      <vt:lpstr>'Attachment 20 - O&amp;M and A&amp;G'!Print_Area</vt:lpstr>
      <vt:lpstr>'Attachment 3 - Gross Plant'!Print_Area</vt:lpstr>
      <vt:lpstr>'Attachment 5 - ADIT Summary'!Print_Area</vt:lpstr>
      <vt:lpstr>'Attachment 5a - ADIT Detail'!Print_Area</vt:lpstr>
      <vt:lpstr>'Attachment 5b - ADIT Norm PTRR'!Print_Area</vt:lpstr>
      <vt:lpstr>'Attachment 8 - Cap Structure'!Print_Area</vt:lpstr>
      <vt:lpstr>'Attachment H-11A '!Print_Area</vt:lpstr>
      <vt:lpstr>'Attachment 11 - TEC'!Print_Titles</vt:lpstr>
      <vt:lpstr>'Attachment 12 - TEC True-up'!Print_Titles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Schock, Michael C</dc:creator>
  <cp:lastModifiedBy>Tom Dolezal</cp:lastModifiedBy>
  <cp:lastPrinted>2021-11-01T19:29:05Z</cp:lastPrinted>
  <dcterms:created xsi:type="dcterms:W3CDTF">2008-03-20T17:17:42Z</dcterms:created>
  <dcterms:modified xsi:type="dcterms:W3CDTF">2021-11-01T19:33:58Z</dcterms:modified>
</cp:coreProperties>
</file>