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8_{05B796D7-E769-4EB2-A7E5-7CDFEDE53994}" xr6:coauthVersionLast="36" xr6:coauthVersionMax="36" xr10:uidLastSave="{00000000-0000-0000-0000-000000000000}"/>
  <bookViews>
    <workbookView xWindow="480" yWindow="75" windowWidth="18195" windowHeight="11310" tabRatio="832" xr2:uid="{00000000-000D-0000-FFFF-FFFF00000000}"/>
  </bookViews>
  <sheets>
    <sheet name="ATT 3" sheetId="1" r:id="rId1"/>
    <sheet name="ATT 3 &amp; ATT 6" sheetId="2" r:id="rId2"/>
    <sheet name="ATT 5- FAS 109 Suppt (1)" sheetId="3" r:id="rId3"/>
    <sheet name="ATT 5- FAS 109 Suppt (2)" sheetId="4" r:id="rId4"/>
    <sheet name="ATT 5- FAS 109 Suppt (3)" sheetId="5" r:id="rId5"/>
  </sheets>
  <definedNames>
    <definedName name="_xlnm.Print_Area" localSheetId="1">'ATT 3 &amp; ATT 6'!$A$1:$H$77</definedName>
    <definedName name="_xlnm.Print_Area" localSheetId="2">'ATT 5- FAS 109 Suppt (1)'!$A$1:$T$39</definedName>
    <definedName name="_xlnm.Print_Area" localSheetId="3">'ATT 5- FAS 109 Suppt (2)'!$A$1:$P$37</definedName>
    <definedName name="_xlnm.Print_Area" localSheetId="4">'ATT 5- FAS 109 Suppt (3)'!$A$2:$I$84</definedName>
    <definedName name="_xlnm.Print_Titles" localSheetId="1">'ATT 3 &amp; ATT 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4" l="1"/>
  <c r="L10" i="4"/>
  <c r="C71" i="5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30" i="5"/>
  <c r="C31" i="5"/>
  <c r="C32" i="5"/>
  <c r="C33" i="5" s="1"/>
  <c r="C34" i="5" s="1"/>
  <c r="C35" i="5" s="1"/>
  <c r="C36" i="5" s="1"/>
  <c r="C37" i="5" s="1"/>
  <c r="C38" i="5" s="1"/>
  <c r="C39" i="5" s="1"/>
  <c r="B49" i="5"/>
  <c r="B7" i="5"/>
  <c r="B81" i="5" l="1"/>
  <c r="B80" i="5"/>
  <c r="B79" i="5"/>
  <c r="B78" i="5"/>
  <c r="B77" i="5"/>
  <c r="B76" i="5"/>
  <c r="B75" i="5"/>
  <c r="B74" i="5"/>
  <c r="B73" i="5"/>
  <c r="B72" i="5"/>
  <c r="B71" i="5"/>
  <c r="B70" i="5"/>
  <c r="F56" i="5"/>
  <c r="F57" i="5" s="1"/>
  <c r="F58" i="5" s="1"/>
  <c r="E56" i="5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70" i="5" s="1"/>
  <c r="G55" i="5"/>
  <c r="E55" i="5"/>
  <c r="F49" i="5"/>
  <c r="D55" i="5" s="1"/>
  <c r="E49" i="5"/>
  <c r="C49" i="5"/>
  <c r="A46" i="5"/>
  <c r="B39" i="5"/>
  <c r="B38" i="5"/>
  <c r="B37" i="5"/>
  <c r="B36" i="5"/>
  <c r="B35" i="5"/>
  <c r="B34" i="5"/>
  <c r="B33" i="5"/>
  <c r="B32" i="5"/>
  <c r="B31" i="5"/>
  <c r="B30" i="5"/>
  <c r="B29" i="5"/>
  <c r="B28" i="5"/>
  <c r="F15" i="5"/>
  <c r="F14" i="5"/>
  <c r="E14" i="5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8" i="5" s="1"/>
  <c r="C29" i="5"/>
  <c r="E13" i="5"/>
  <c r="G13" i="5" s="1"/>
  <c r="E7" i="5"/>
  <c r="C7" i="5"/>
  <c r="F7" i="5"/>
  <c r="D13" i="5" s="1"/>
  <c r="H23" i="4"/>
  <c r="L21" i="4"/>
  <c r="H21" i="4"/>
  <c r="L23" i="4"/>
  <c r="H19" i="4"/>
  <c r="H14" i="4"/>
  <c r="H12" i="4"/>
  <c r="L14" i="4"/>
  <c r="H10" i="4"/>
  <c r="F12" i="4"/>
  <c r="J12" i="4" s="1"/>
  <c r="L18" i="3"/>
  <c r="N18" i="3" s="1"/>
  <c r="R18" i="3" s="1"/>
  <c r="H20" i="3"/>
  <c r="L14" i="3"/>
  <c r="J20" i="3"/>
  <c r="L12" i="3"/>
  <c r="N12" i="3" s="1"/>
  <c r="R12" i="3" s="1"/>
  <c r="L10" i="3"/>
  <c r="E71" i="5" l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F16" i="5"/>
  <c r="E29" i="5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F59" i="5"/>
  <c r="H13" i="5"/>
  <c r="D14" i="5"/>
  <c r="G14" i="5" s="1"/>
  <c r="D56" i="5"/>
  <c r="G56" i="5" s="1"/>
  <c r="H55" i="5"/>
  <c r="J10" i="4"/>
  <c r="N10" i="4" s="1"/>
  <c r="F14" i="4"/>
  <c r="J14" i="4" s="1"/>
  <c r="N14" i="4" s="1"/>
  <c r="L12" i="4"/>
  <c r="N12" i="4" s="1"/>
  <c r="F21" i="4"/>
  <c r="J21" i="4" s="1"/>
  <c r="N21" i="4" s="1"/>
  <c r="J19" i="4"/>
  <c r="N19" i="4" s="1"/>
  <c r="N14" i="3"/>
  <c r="R14" i="3" s="1"/>
  <c r="P20" i="3"/>
  <c r="F20" i="3"/>
  <c r="N10" i="3"/>
  <c r="L16" i="3"/>
  <c r="N16" i="3" s="1"/>
  <c r="R16" i="3" s="1"/>
  <c r="F60" i="5" l="1"/>
  <c r="F17" i="5"/>
  <c r="H56" i="5"/>
  <c r="D57" i="5"/>
  <c r="D15" i="5"/>
  <c r="H14" i="5"/>
  <c r="F23" i="4"/>
  <c r="J23" i="4" s="1"/>
  <c r="N23" i="4" s="1"/>
  <c r="N20" i="3"/>
  <c r="R10" i="3"/>
  <c r="R20" i="3" s="1"/>
  <c r="L20" i="3"/>
  <c r="F61" i="5" l="1"/>
  <c r="D58" i="5"/>
  <c r="H57" i="5"/>
  <c r="G57" i="5"/>
  <c r="D16" i="5"/>
  <c r="G15" i="5"/>
  <c r="H15" i="5" s="1"/>
  <c r="F18" i="5"/>
  <c r="D17" i="5" l="1"/>
  <c r="G16" i="5"/>
  <c r="H16" i="5" s="1"/>
  <c r="D59" i="5"/>
  <c r="G58" i="5"/>
  <c r="H58" i="5" s="1"/>
  <c r="F19" i="5"/>
  <c r="F62" i="5"/>
  <c r="F63" i="5" l="1"/>
  <c r="F20" i="5"/>
  <c r="D60" i="5"/>
  <c r="G59" i="5"/>
  <c r="H59" i="5" s="1"/>
  <c r="D18" i="5"/>
  <c r="G17" i="5"/>
  <c r="H17" i="5" s="1"/>
  <c r="D61" i="5" l="1"/>
  <c r="G60" i="5"/>
  <c r="H60" i="5" s="1"/>
  <c r="F64" i="5"/>
  <c r="D19" i="5"/>
  <c r="G18" i="5"/>
  <c r="H18" i="5" s="1"/>
  <c r="F21" i="5"/>
  <c r="F22" i="5" l="1"/>
  <c r="H19" i="5"/>
  <c r="D20" i="5"/>
  <c r="G19" i="5"/>
  <c r="D62" i="5"/>
  <c r="G61" i="5"/>
  <c r="H61" i="5" s="1"/>
  <c r="F65" i="5"/>
  <c r="D21" i="5" l="1"/>
  <c r="G20" i="5"/>
  <c r="H20" i="5" s="1"/>
  <c r="H62" i="5"/>
  <c r="D63" i="5"/>
  <c r="G62" i="5"/>
  <c r="F66" i="5"/>
  <c r="F23" i="5"/>
  <c r="F24" i="5" l="1"/>
  <c r="D64" i="5"/>
  <c r="G63" i="5"/>
  <c r="H63" i="5" s="1"/>
  <c r="D22" i="5"/>
  <c r="G21" i="5"/>
  <c r="H21" i="5" s="1"/>
  <c r="D23" i="5" l="1"/>
  <c r="G22" i="5"/>
  <c r="H22" i="5" s="1"/>
  <c r="H64" i="5"/>
  <c r="D65" i="5"/>
  <c r="G64" i="5"/>
  <c r="D66" i="5" l="1"/>
  <c r="G65" i="5"/>
  <c r="H65" i="5" s="1"/>
  <c r="D24" i="5"/>
  <c r="G23" i="5"/>
  <c r="H23" i="5" s="1"/>
  <c r="D25" i="5" l="1"/>
  <c r="G24" i="5"/>
  <c r="H24" i="5" s="1"/>
  <c r="H25" i="5" s="1"/>
  <c r="G66" i="5"/>
  <c r="H66" i="5" s="1"/>
  <c r="H67" i="5" s="1"/>
  <c r="D67" i="5"/>
  <c r="D28" i="5" l="1"/>
  <c r="F28" i="5"/>
  <c r="D70" i="5"/>
  <c r="F70" i="5"/>
  <c r="F29" i="5" l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71" i="5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G70" i="5"/>
  <c r="D71" i="5" s="1"/>
  <c r="G28" i="5"/>
  <c r="D29" i="5" s="1"/>
  <c r="G29" i="5" s="1"/>
  <c r="D30" i="5" s="1"/>
  <c r="G30" i="5" s="1"/>
  <c r="D31" i="5" s="1"/>
  <c r="G31" i="5" s="1"/>
  <c r="D32" i="5" s="1"/>
  <c r="G32" i="5" s="1"/>
  <c r="D33" i="5" s="1"/>
  <c r="G33" i="5" s="1"/>
  <c r="D34" i="5" s="1"/>
  <c r="G34" i="5" s="1"/>
  <c r="D35" i="5" s="1"/>
  <c r="G35" i="5" s="1"/>
  <c r="D36" i="5" s="1"/>
  <c r="G36" i="5" s="1"/>
  <c r="D37" i="5" s="1"/>
  <c r="G37" i="5" s="1"/>
  <c r="D38" i="5" s="1"/>
  <c r="G38" i="5" s="1"/>
  <c r="D39" i="5" s="1"/>
  <c r="G39" i="5" s="1"/>
  <c r="F82" i="5" l="1"/>
  <c r="F83" i="5" s="1"/>
  <c r="G71" i="5"/>
  <c r="D72" i="5" s="1"/>
  <c r="G72" i="5" s="1"/>
  <c r="D73" i="5" s="1"/>
  <c r="G73" i="5" s="1"/>
  <c r="D74" i="5" s="1"/>
  <c r="G74" i="5" s="1"/>
  <c r="D75" i="5" s="1"/>
  <c r="G75" i="5" s="1"/>
  <c r="D76" i="5" s="1"/>
  <c r="G76" i="5" s="1"/>
  <c r="D77" i="5" s="1"/>
  <c r="G77" i="5" s="1"/>
  <c r="D78" i="5" s="1"/>
  <c r="G78" i="5" s="1"/>
  <c r="D79" i="5" s="1"/>
  <c r="G79" i="5" s="1"/>
  <c r="D80" i="5" s="1"/>
  <c r="G80" i="5" s="1"/>
  <c r="D81" i="5" s="1"/>
  <c r="G81" i="5" s="1"/>
  <c r="F40" i="5"/>
  <c r="F41" i="5" s="1"/>
  <c r="H36" i="2" l="1"/>
  <c r="E11" i="1"/>
  <c r="D11" i="1"/>
  <c r="F10" i="1"/>
  <c r="H44" i="2"/>
  <c r="E25" i="1"/>
  <c r="D25" i="1"/>
  <c r="F9" i="1"/>
  <c r="F25" i="1" s="1"/>
  <c r="F18" i="1"/>
  <c r="E12" i="1" l="1"/>
  <c r="E14" i="1" s="1"/>
  <c r="E17" i="1" s="1"/>
  <c r="E20" i="1" s="1"/>
  <c r="E26" i="1" s="1"/>
  <c r="E27" i="1" s="1"/>
  <c r="F11" i="1"/>
  <c r="D12" i="1"/>
  <c r="D13" i="1" s="1"/>
  <c r="D14" i="1" l="1"/>
  <c r="D17" i="1" s="1"/>
  <c r="F17" i="1" s="1"/>
  <c r="E13" i="1"/>
  <c r="F12" i="1"/>
  <c r="F13" i="1" s="1"/>
  <c r="D20" i="1" l="1"/>
  <c r="D26" i="1" s="1"/>
  <c r="D27" i="1" s="1"/>
  <c r="F14" i="1"/>
  <c r="F20" i="1"/>
  <c r="F26" i="1" s="1"/>
  <c r="F27" i="1" s="1"/>
</calcChain>
</file>

<file path=xl/sharedStrings.xml><?xml version="1.0" encoding="utf-8"?>
<sst xmlns="http://schemas.openxmlformats.org/spreadsheetml/2006/main" count="288" uniqueCount="192">
  <si>
    <t>Tower Leases</t>
  </si>
  <si>
    <t>Rental Revenues</t>
  </si>
  <si>
    <t>Total Revenue</t>
  </si>
  <si>
    <t>Operating Expenses</t>
  </si>
  <si>
    <t>Revenue Taxes</t>
  </si>
  <si>
    <t>Income Taxes</t>
  </si>
  <si>
    <t>Net Income</t>
  </si>
  <si>
    <t>Formula Model- Secondary Usage of Transmission Assets- Intended Impact to Revenue Requirement</t>
  </si>
  <si>
    <t>Line</t>
  </si>
  <si>
    <t>No.</t>
  </si>
  <si>
    <t>Total</t>
  </si>
  <si>
    <t>50% Revenue Credit for Secondary Usage of Transmission Assets</t>
  </si>
  <si>
    <t>Costs from Secondary Usage of Transmission Assets already recovered in the Formula Model</t>
  </si>
  <si>
    <t>Net Revenue Credit</t>
  </si>
  <si>
    <t>Att 3</t>
  </si>
  <si>
    <t>Reference</t>
  </si>
  <si>
    <t>Line 17b</t>
  </si>
  <si>
    <t>Line 17c</t>
  </si>
  <si>
    <t>Line 1/ Line 17a</t>
  </si>
  <si>
    <t>Line 17d</t>
  </si>
  <si>
    <t>Line 17e</t>
  </si>
  <si>
    <t>Line 17f</t>
  </si>
  <si>
    <t>Line 17g</t>
  </si>
  <si>
    <t>Total Revenue subject to 50% sharing</t>
  </si>
  <si>
    <t>Baltimore Gas and Electric Company</t>
  </si>
  <si>
    <t>Attachment 3 - Revenue Credit Workpaper  Support</t>
  </si>
  <si>
    <t>Step Number:</t>
  </si>
  <si>
    <t>1.)</t>
  </si>
  <si>
    <t>Step Description</t>
  </si>
  <si>
    <t>Result</t>
  </si>
  <si>
    <t>2.)</t>
  </si>
  <si>
    <t>the actual terminal additions for the Form-1 year being reported (see step 8</t>
  </si>
  <si>
    <t>in Attachment 6)</t>
  </si>
  <si>
    <t>the actual weighted additions for the Form-1 year being reported (see step 8</t>
  </si>
  <si>
    <t>Position the formula model for true-up by reflecting on line 20 of Attachment H-2A</t>
  </si>
  <si>
    <t>Position the formula model for true-up by reflecting on line 21 of Attachment H-2A</t>
  </si>
  <si>
    <t>zeroed out</t>
  </si>
  <si>
    <t>3.)</t>
  </si>
  <si>
    <t>5.)</t>
  </si>
  <si>
    <t>6.)</t>
  </si>
  <si>
    <t>is the rate</t>
  </si>
  <si>
    <t>7.)</t>
  </si>
  <si>
    <t xml:space="preserve">of Attachment 7.  That carrying charge rate should carry over into all the other </t>
  </si>
  <si>
    <t>trued up.</t>
  </si>
  <si>
    <t xml:space="preserve">is the total </t>
  </si>
  <si>
    <t>revenue</t>
  </si>
  <si>
    <t>requirement</t>
  </si>
  <si>
    <t>line 9</t>
  </si>
  <si>
    <t>amount</t>
  </si>
  <si>
    <t>Access Attachment H-2A and note the net revenue requirement noted on line 155.</t>
  </si>
  <si>
    <t>12.)</t>
  </si>
  <si>
    <t>14.)</t>
  </si>
  <si>
    <t>is the rev req</t>
  </si>
  <si>
    <t>from the prior</t>
  </si>
  <si>
    <t>year update to</t>
  </si>
  <si>
    <t>be trued up</t>
  </si>
  <si>
    <t>is the initial true-up</t>
  </si>
  <si>
    <t>Attachment 6 at cell H109.</t>
  </si>
  <si>
    <t>16.)</t>
  </si>
  <si>
    <t>total revenue requirement for the Dedicated Facilities recovery grids for the year being</t>
  </si>
  <si>
    <t>enter into Att. 3,</t>
  </si>
  <si>
    <t>with interest</t>
  </si>
  <si>
    <t xml:space="preserve">Position the formula model for go-forward by zeroing out the terminal additions </t>
  </si>
  <si>
    <t>amount to clear</t>
  </si>
  <si>
    <t>Position the formula model for go-forward by reflecting on line 21 of Attachment H-2A</t>
  </si>
  <si>
    <t>to line 20</t>
  </si>
  <si>
    <t>to line 21</t>
  </si>
  <si>
    <t xml:space="preserve">Access Attachment 7 and note the carrying charge rate that is reflected at cell L11. </t>
  </si>
  <si>
    <t>at cell H144 is the true-up prior to adjustments.</t>
  </si>
  <si>
    <t>on line 20 of Attachment H-2A.</t>
  </si>
  <si>
    <t>the projected weighted additions for the future year (see step 7 in Attachment 6).</t>
  </si>
  <si>
    <t>Attachment 6 of the formula applies interest as required in Attachment 6 and the initial true-up</t>
  </si>
  <si>
    <t>Zero out the Dedicated Facilities revenue credit reflected on line 9 of Attachment 3.</t>
  </si>
  <si>
    <t>Total Expenses</t>
  </si>
  <si>
    <t>is the step 12 refund</t>
  </si>
  <si>
    <t>15.)</t>
  </si>
  <si>
    <t>trued up.  Enter this amount into Attachment 3, line 9.</t>
  </si>
  <si>
    <t>Access the prior year Attachment H-2A and note the net revenue requirement noted on line 155.</t>
  </si>
  <si>
    <t>4.)</t>
  </si>
  <si>
    <t>prior year rev req</t>
  </si>
  <si>
    <t xml:space="preserve">is the trued up </t>
  </si>
  <si>
    <t>Subtract the revenue requirement from step 7  from the revenue requirement from step 6.</t>
  </si>
  <si>
    <t>to line 44a</t>
  </si>
  <si>
    <t xml:space="preserve">as reflected in step 8 is incremented for this interest at cell H144.  The amount computed </t>
  </si>
  <si>
    <t xml:space="preserve">Link the abandonment rate base in line 44a of Attachment H-2A  to cell h194 of Attachment 5 </t>
  </si>
  <si>
    <t>8.)</t>
  </si>
  <si>
    <t>17.)</t>
  </si>
  <si>
    <t>18.)</t>
  </si>
  <si>
    <t xml:space="preserve">Link the abandonment amortization in line 85a of Attachment H-2A  to cell h191 of Attachment 5 </t>
  </si>
  <si>
    <t>19.)</t>
  </si>
  <si>
    <t>step 7 above.</t>
  </si>
  <si>
    <t>Enter into Attachment 3, line 9 the trued-up Dedicated Facilities revenue requirement from</t>
  </si>
  <si>
    <t>to line 44a.</t>
  </si>
  <si>
    <t>11.)</t>
  </si>
  <si>
    <t>and 85a of Attachment H-2A in the 2018 Update.</t>
  </si>
  <si>
    <t xml:space="preserve">Zero Out and Reflect/Input the BaselineUpgrade b1254 abandonment rate base and amortization  reflected on lines 44a </t>
  </si>
  <si>
    <t xml:space="preserve">Copy the carrying charge rate calculated in cell L11 of Attachment 7 and paste it as a value into cell EJ28 </t>
  </si>
  <si>
    <t>Dedicated Facilities Charge recovery grids.  In Attachment 7, go to cell GJ63 and note the</t>
  </si>
  <si>
    <t xml:space="preserve">Copy the carrying charge rate from step 21 above and paste it as a value into cell EJ28 </t>
  </si>
  <si>
    <t>Dedicated Facilities Charge recovery grids.  In Attachment 7, go to cell GJ65 and note the</t>
  </si>
  <si>
    <t>The result is the 2018 update's true-up prior to interest and adjustments and is computed in</t>
  </si>
  <si>
    <t>Zero Out the Abandonment expense on line 85a of Attachment H-2A</t>
  </si>
  <si>
    <t>Zero Out the  Abandonment rate base on line 44a of Attachment H-2A</t>
  </si>
  <si>
    <t>13.)</t>
  </si>
  <si>
    <t xml:space="preserve">9.) </t>
  </si>
  <si>
    <t>10.)</t>
  </si>
  <si>
    <t xml:space="preserve">Statement of Income: Income Tax Components </t>
  </si>
  <si>
    <t>Year/Period of Report End of: 2018/Q4</t>
  </si>
  <si>
    <t>(A)</t>
  </si>
  <si>
    <t>(B)</t>
  </si>
  <si>
    <t>(C)</t>
  </si>
  <si>
    <t>(D)</t>
  </si>
  <si>
    <t>(E)</t>
  </si>
  <si>
    <t>(F)</t>
  </si>
  <si>
    <t>(G)</t>
  </si>
  <si>
    <t>Title of Account</t>
  </si>
  <si>
    <t>FERC Form 1</t>
  </si>
  <si>
    <r>
      <t>Transmission</t>
    </r>
    <r>
      <rPr>
        <vertAlign val="superscript"/>
        <sz val="10"/>
        <color theme="0"/>
        <rFont val="Arial"/>
        <family val="2"/>
      </rPr>
      <t>1</t>
    </r>
  </si>
  <si>
    <r>
      <t>TCJA Related 
FAS109 
Amortization</t>
    </r>
    <r>
      <rPr>
        <vertAlign val="superscript"/>
        <sz val="10"/>
        <color theme="0"/>
        <rFont val="Arial"/>
        <family val="2"/>
      </rPr>
      <t>2</t>
    </r>
  </si>
  <si>
    <r>
      <t>Non-TCJA Related 
FAS109 
Amortization</t>
    </r>
    <r>
      <rPr>
        <vertAlign val="superscript"/>
        <sz val="10"/>
        <color theme="0"/>
        <rFont val="Arial"/>
        <family val="2"/>
      </rPr>
      <t>3</t>
    </r>
  </si>
  <si>
    <t>Total 
Transmission
(Column A + D)</t>
  </si>
  <si>
    <r>
      <t>Distribution 
/ Other</t>
    </r>
    <r>
      <rPr>
        <vertAlign val="superscript"/>
        <sz val="10"/>
        <color theme="0"/>
        <rFont val="Arial"/>
        <family val="2"/>
      </rPr>
      <t>4</t>
    </r>
  </si>
  <si>
    <r>
      <t>FERC Form 1</t>
    </r>
    <r>
      <rPr>
        <vertAlign val="superscript"/>
        <sz val="10"/>
        <color theme="0"/>
        <rFont val="Arial"/>
        <family val="2"/>
      </rPr>
      <t>5</t>
    </r>
    <r>
      <rPr>
        <sz val="10"/>
        <color theme="0"/>
        <rFont val="Arial"/>
        <family val="2"/>
      </rPr>
      <t xml:space="preserve">
(Column E + F)</t>
    </r>
  </si>
  <si>
    <t>Income Taxes - Federal (409.1)</t>
  </si>
  <si>
    <t xml:space="preserve">- Other (409.1) </t>
  </si>
  <si>
    <t>Provision for Deferred Income Taxes (410.1)</t>
  </si>
  <si>
    <t>(Less) Provision for Deferred Income Taxes-Cr. (411.1)</t>
  </si>
  <si>
    <t>Investment Tax Credit Adj. - Net  (411.4)</t>
  </si>
  <si>
    <t>Total - Income Tax Expense / (Benefit)</t>
  </si>
  <si>
    <t xml:space="preserve">Notes 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</si>
  <si>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Represents the income tax accrual attributable to transmission related activity.</t>
    </r>
  </si>
  <si>
    <t xml:space="preserve"> 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</si>
  <si>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Represents the current year amortization of excess deferred taxes attributable to the Tax Cuts &amp; Jobs Act (TCJA). 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</si>
  <si>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Represents the current year reversal / amortization of income tax regulatory assets / liabilities (i.e. AFUDC Equity, Excess Deferred Taxes [Non-TCJA]), and "Other Flow-Through").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</si>
  <si>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Represents income tax accrual attributable to distribution and other related activity.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</si>
  <si>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Represents total income tax accrual reflected on the FERC Form 1.</t>
    </r>
  </si>
  <si>
    <t>2018 FAS 109 Formula Input Calculation</t>
  </si>
  <si>
    <t xml:space="preserve">(C) </t>
  </si>
  <si>
    <t xml:space="preserve">(D) </t>
  </si>
  <si>
    <t xml:space="preserve">(E) </t>
  </si>
  <si>
    <t>Current Year Activity</t>
  </si>
  <si>
    <r>
      <t>TCJA Related 
FAS109 
Amortization</t>
    </r>
    <r>
      <rPr>
        <vertAlign val="superscript"/>
        <sz val="10"/>
        <color theme="0"/>
        <rFont val="Arial"/>
        <family val="2"/>
      </rPr>
      <t>1</t>
    </r>
  </si>
  <si>
    <t>Gross-Up
Factor</t>
  </si>
  <si>
    <t>Gross-Up
TCJA Related 
FAS 109 
Amortization
(Column A x B)</t>
  </si>
  <si>
    <r>
      <t>Interest</t>
    </r>
    <r>
      <rPr>
        <vertAlign val="superscript"/>
        <sz val="10"/>
        <color theme="0"/>
        <rFont val="Arial"/>
        <family val="2"/>
      </rPr>
      <t>2</t>
    </r>
  </si>
  <si>
    <t>Total
(Column C + D)</t>
  </si>
  <si>
    <t>Expense / (Benefit) - 12 Month Activity</t>
  </si>
  <si>
    <t>Expense / (Benefit) - 9 Month Activity</t>
  </si>
  <si>
    <t>NA</t>
  </si>
  <si>
    <t>Expense / (Benefit) - 3 Month Activity</t>
  </si>
  <si>
    <t>Gross-Up
Non-TCJA Related 
FAS 109 
Amortization
(Column A x B)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</si>
  <si>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Represents the current year amortization of excess deferred taxes attributable to the Tax Cuts &amp; Jobs Act (TCJA).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</si>
  <si>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Interest component related to True-Up adjustment. </t>
    </r>
  </si>
  <si>
    <t>I - INTEREST ON REFUND OF TCJA-RELATED FAS 109 AMORTIZATION</t>
  </si>
  <si>
    <r>
      <rPr>
        <u/>
        <sz val="10"/>
        <color theme="1"/>
        <rFont val="Times New Roman"/>
        <family val="1"/>
      </rPr>
      <t>Note:</t>
    </r>
    <r>
      <rPr>
        <sz val="10"/>
        <color theme="1"/>
        <rFont val="Times New Roman"/>
        <family val="1"/>
      </rPr>
      <t xml:space="preserve">  Interest calculation below taken directly from "Attachment 6 - Estimate &amp; True-up Worksheet" of the PJM Tariff</t>
    </r>
  </si>
  <si>
    <t>The true-up in Step 8</t>
  </si>
  <si>
    <t>The forecast in Prior Year</t>
  </si>
  <si>
    <t>Interest on Amount of Refunds or Surcharges</t>
  </si>
  <si>
    <t>Interest 35.19a for March Current Yr</t>
  </si>
  <si>
    <t>Month</t>
  </si>
  <si>
    <t>Yr</t>
  </si>
  <si>
    <t>1/12 of Step 9</t>
  </si>
  <si>
    <t>Interest 35.19a for</t>
  </si>
  <si>
    <t>Interest</t>
  </si>
  <si>
    <t>Refunds Owed</t>
  </si>
  <si>
    <t>March Current Yr</t>
  </si>
  <si>
    <t>Months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</si>
  <si>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</si>
  <si>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</si>
  <si>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</si>
  <si>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</si>
  <si>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</si>
  <si>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</si>
  <si>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</si>
  <si>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</si>
  <si>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</si>
  <si>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</si>
  <si>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</si>
  <si>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</si>
  <si>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Balance</t>
  </si>
  <si>
    <t>Amort</t>
  </si>
  <si>
    <t>Total with interest</t>
  </si>
  <si>
    <t>Interest Component</t>
  </si>
  <si>
    <t>II - INTEREST ON CHARGE OF NON-TCJA RELATED FAS 109 AMORTIZATION</t>
  </si>
  <si>
    <t>Year 1</t>
  </si>
  <si>
    <t>Year 2</t>
  </si>
  <si>
    <r>
      <t>Subtotal FAS109 
Amortization</t>
    </r>
    <r>
      <rPr>
        <vertAlign val="superscript"/>
        <sz val="10"/>
        <color theme="0"/>
        <rFont val="Arial"/>
        <family val="2"/>
      </rPr>
      <t xml:space="preserve">
</t>
    </r>
    <r>
      <rPr>
        <sz val="10"/>
        <color theme="0"/>
        <rFont val="Arial"/>
        <family val="2"/>
      </rPr>
      <t>(Column B + C)</t>
    </r>
  </si>
  <si>
    <t>Pg. 114, Line 15</t>
  </si>
  <si>
    <t>Pg. 114, Line 16</t>
  </si>
  <si>
    <t>Pg. 114, Line 17</t>
  </si>
  <si>
    <t>Pg. 114, Line 18</t>
  </si>
  <si>
    <t>Pg. 114, Line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</si>
</sst>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0.0000000000"/>
    <numFmt numFmtId="168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9"/>
      <name val="Arial Narrow"/>
      <family val="2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65" fontId="4" fillId="0" borderId="0" xfId="0" applyNumberFormat="1" applyFont="1"/>
    <xf numFmtId="0" fontId="4" fillId="0" borderId="0" xfId="0" applyFont="1" applyFill="1"/>
    <xf numFmtId="0" fontId="6" fillId="0" borderId="0" xfId="0" applyFont="1" applyAlignment="1">
      <alignment wrapText="1"/>
    </xf>
    <xf numFmtId="164" fontId="4" fillId="0" borderId="0" xfId="2" applyNumberFormat="1" applyFont="1" applyFill="1"/>
    <xf numFmtId="165" fontId="4" fillId="0" borderId="0" xfId="1" applyNumberFormat="1" applyFont="1" applyFill="1"/>
    <xf numFmtId="165" fontId="4" fillId="0" borderId="1" xfId="1" applyNumberFormat="1" applyFont="1" applyFill="1" applyBorder="1"/>
    <xf numFmtId="37" fontId="4" fillId="0" borderId="0" xfId="0" applyNumberFormat="1" applyFont="1" applyFill="1"/>
    <xf numFmtId="0" fontId="4" fillId="0" borderId="0" xfId="0" applyFont="1" applyAlignment="1">
      <alignment wrapText="1"/>
    </xf>
    <xf numFmtId="164" fontId="4" fillId="0" borderId="0" xfId="2" applyNumberFormat="1" applyFont="1" applyFill="1" applyBorder="1"/>
    <xf numFmtId="164" fontId="4" fillId="0" borderId="2" xfId="2" applyNumberFormat="1" applyFont="1" applyFill="1" applyBorder="1"/>
    <xf numFmtId="0" fontId="2" fillId="0" borderId="0" xfId="0" applyFont="1" applyFill="1"/>
    <xf numFmtId="165" fontId="4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3" xfId="2" applyNumberFormat="1" applyFont="1" applyFill="1" applyBorder="1"/>
    <xf numFmtId="0" fontId="4" fillId="0" borderId="0" xfId="0" applyFont="1" applyBorder="1" applyAlignment="1">
      <alignment wrapText="1"/>
    </xf>
    <xf numFmtId="164" fontId="2" fillId="0" borderId="0" xfId="0" applyNumberFormat="1" applyFont="1" applyFill="1"/>
    <xf numFmtId="164" fontId="2" fillId="0" borderId="3" xfId="0" applyNumberFormat="1" applyFont="1" applyBorder="1"/>
    <xf numFmtId="165" fontId="2" fillId="0" borderId="0" xfId="1" applyNumberFormat="1" applyFont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0" xfId="1" applyNumberFormat="1" applyFont="1"/>
    <xf numFmtId="0" fontId="8" fillId="0" borderId="0" xfId="0" applyFont="1" applyBorder="1"/>
    <xf numFmtId="165" fontId="8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0" xfId="0" applyFont="1" applyFill="1"/>
    <xf numFmtId="165" fontId="11" fillId="0" borderId="0" xfId="0" applyNumberFormat="1" applyFont="1" applyFill="1"/>
    <xf numFmtId="0" fontId="11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Fill="1"/>
    <xf numFmtId="165" fontId="8" fillId="0" borderId="0" xfId="1" applyNumberFormat="1" applyFont="1" applyBorder="1"/>
    <xf numFmtId="43" fontId="8" fillId="0" borderId="0" xfId="1" applyFont="1"/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indent="1"/>
    </xf>
    <xf numFmtId="0" fontId="2" fillId="3" borderId="0" xfId="0" applyFont="1" applyFill="1"/>
    <xf numFmtId="165" fontId="2" fillId="3" borderId="0" xfId="1" applyNumberFormat="1" applyFont="1" applyFill="1"/>
    <xf numFmtId="0" fontId="2" fillId="0" borderId="0" xfId="0" applyFont="1" applyAlignment="1">
      <alignment horizontal="left" indent="1"/>
    </xf>
    <xf numFmtId="0" fontId="2" fillId="3" borderId="0" xfId="0" quotePrefix="1" applyFont="1" applyFill="1" applyAlignment="1">
      <alignment horizontal="left" indent="4"/>
    </xf>
    <xf numFmtId="165" fontId="2" fillId="3" borderId="0" xfId="1" applyNumberFormat="1" applyFont="1" applyFill="1" applyBorder="1"/>
    <xf numFmtId="165" fontId="2" fillId="0" borderId="0" xfId="1" applyNumberFormat="1" applyFont="1" applyBorder="1"/>
    <xf numFmtId="0" fontId="15" fillId="3" borderId="0" xfId="0" applyFont="1" applyFill="1"/>
    <xf numFmtId="165" fontId="2" fillId="3" borderId="4" xfId="1" applyNumberFormat="1" applyFont="1" applyFill="1" applyBorder="1"/>
    <xf numFmtId="0" fontId="15" fillId="0" borderId="1" xfId="0" applyFont="1" applyBorder="1"/>
    <xf numFmtId="165" fontId="2" fillId="0" borderId="0" xfId="0" applyNumberFormat="1" applyFont="1"/>
    <xf numFmtId="0" fontId="13" fillId="2" borderId="0" xfId="0" applyFont="1" applyFill="1" applyAlignment="1">
      <alignment horizontal="center" wrapText="1"/>
    </xf>
    <xf numFmtId="166" fontId="2" fillId="3" borderId="0" xfId="1" applyNumberFormat="1" applyFont="1" applyFill="1"/>
    <xf numFmtId="167" fontId="2" fillId="0" borderId="0" xfId="0" applyNumberFormat="1" applyFont="1"/>
    <xf numFmtId="10" fontId="17" fillId="0" borderId="0" xfId="7" applyNumberFormat="1" applyFont="1"/>
    <xf numFmtId="0" fontId="18" fillId="0" borderId="0" xfId="0" applyFont="1"/>
    <xf numFmtId="165" fontId="0" fillId="0" borderId="0" xfId="1" applyNumberFormat="1" applyFont="1"/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9" fillId="0" borderId="0" xfId="0" applyFont="1" applyFill="1"/>
    <xf numFmtId="165" fontId="19" fillId="0" borderId="0" xfId="0" applyNumberFormat="1" applyFont="1"/>
    <xf numFmtId="0" fontId="19" fillId="0" borderId="0" xfId="0" applyFont="1" applyAlignment="1">
      <alignment horizontal="center"/>
    </xf>
    <xf numFmtId="165" fontId="19" fillId="0" borderId="0" xfId="0" applyNumberFormat="1" applyFont="1" applyFill="1"/>
    <xf numFmtId="165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168" fontId="19" fillId="0" borderId="0" xfId="7" applyNumberFormat="1" applyFont="1" applyFill="1"/>
    <xf numFmtId="165" fontId="19" fillId="0" borderId="0" xfId="0" applyNumberFormat="1" applyFont="1" applyAlignment="1">
      <alignment horizontal="center"/>
    </xf>
    <xf numFmtId="165" fontId="19" fillId="0" borderId="0" xfId="1" applyNumberFormat="1" applyFont="1"/>
    <xf numFmtId="168" fontId="19" fillId="0" borderId="0" xfId="7" applyNumberFormat="1" applyFont="1"/>
    <xf numFmtId="168" fontId="19" fillId="0" borderId="0" xfId="0" applyNumberFormat="1" applyFont="1"/>
    <xf numFmtId="165" fontId="19" fillId="4" borderId="0" xfId="0" applyNumberFormat="1" applyFont="1" applyFill="1"/>
    <xf numFmtId="165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8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3" xr:uid="{00000000-0005-0000-0000-000005000000}"/>
    <cellStyle name="Percent" xfId="7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tabSelected="1" workbookViewId="0">
      <selection activeCell="D8" sqref="D8"/>
    </sheetView>
  </sheetViews>
  <sheetFormatPr defaultColWidth="9.140625" defaultRowHeight="12.75" x14ac:dyDescent="0.2"/>
  <cols>
    <col min="1" max="1" width="7.85546875" style="1" customWidth="1"/>
    <col min="2" max="2" width="32.5703125" style="1" customWidth="1"/>
    <col min="3" max="3" width="3.5703125" style="1" customWidth="1"/>
    <col min="4" max="4" width="17.85546875" style="1" customWidth="1"/>
    <col min="5" max="6" width="17.5703125" style="1" customWidth="1"/>
    <col min="7" max="7" width="13" style="1" customWidth="1"/>
    <col min="8" max="16384" width="9.140625" style="1"/>
  </cols>
  <sheetData>
    <row r="2" spans="1:8" ht="15" x14ac:dyDescent="0.2">
      <c r="A2" s="80" t="s">
        <v>24</v>
      </c>
      <c r="B2" s="80"/>
      <c r="C2" s="80"/>
      <c r="D2" s="80"/>
      <c r="E2" s="80"/>
      <c r="F2" s="80"/>
      <c r="G2" s="80"/>
      <c r="H2" s="80"/>
    </row>
    <row r="3" spans="1:8" ht="15" x14ac:dyDescent="0.2">
      <c r="A3" s="80" t="s">
        <v>25</v>
      </c>
      <c r="B3" s="80"/>
      <c r="C3" s="80"/>
      <c r="D3" s="80"/>
      <c r="E3" s="80"/>
      <c r="F3" s="80"/>
      <c r="G3" s="80"/>
      <c r="H3" s="80"/>
    </row>
    <row r="6" spans="1:8" x14ac:dyDescent="0.2">
      <c r="A6" s="17" t="s">
        <v>8</v>
      </c>
      <c r="H6" s="17" t="s">
        <v>14</v>
      </c>
    </row>
    <row r="7" spans="1:8" x14ac:dyDescent="0.2">
      <c r="A7" s="18" t="s">
        <v>9</v>
      </c>
      <c r="B7" s="7"/>
      <c r="C7" s="7"/>
      <c r="D7" s="2" t="s">
        <v>0</v>
      </c>
      <c r="E7" s="2" t="s">
        <v>1</v>
      </c>
      <c r="F7" s="2" t="s">
        <v>10</v>
      </c>
      <c r="G7" s="3"/>
      <c r="H7" s="24" t="s">
        <v>15</v>
      </c>
    </row>
    <row r="8" spans="1:8" x14ac:dyDescent="0.2">
      <c r="B8" s="7"/>
      <c r="C8" s="7"/>
      <c r="D8" s="2"/>
      <c r="E8" s="2"/>
      <c r="F8" s="2"/>
      <c r="G8" s="3"/>
      <c r="H8" s="3"/>
    </row>
    <row r="9" spans="1:8" x14ac:dyDescent="0.2">
      <c r="A9" s="17">
        <v>1</v>
      </c>
      <c r="B9" s="3" t="s">
        <v>2</v>
      </c>
      <c r="C9" s="3"/>
      <c r="D9" s="8">
        <v>12134478</v>
      </c>
      <c r="E9" s="8">
        <v>373482</v>
      </c>
      <c r="F9" s="8">
        <f>SUM(D9:E9)</f>
        <v>12507960</v>
      </c>
      <c r="G9" s="3"/>
      <c r="H9" s="3" t="s">
        <v>18</v>
      </c>
    </row>
    <row r="10" spans="1:8" x14ac:dyDescent="0.2">
      <c r="A10" s="17">
        <v>2</v>
      </c>
      <c r="B10" s="3" t="s">
        <v>3</v>
      </c>
      <c r="C10" s="3"/>
      <c r="D10" s="9">
        <v>-701990</v>
      </c>
      <c r="E10" s="9">
        <v>-3940.67</v>
      </c>
      <c r="F10" s="9">
        <f>SUM(D10:E10)</f>
        <v>-705930.67</v>
      </c>
      <c r="G10" s="4"/>
      <c r="H10" s="3"/>
    </row>
    <row r="11" spans="1:8" x14ac:dyDescent="0.2">
      <c r="A11" s="17">
        <v>3</v>
      </c>
      <c r="B11" s="3" t="s">
        <v>4</v>
      </c>
      <c r="C11" s="3"/>
      <c r="D11" s="9">
        <f>-D9*0.02</f>
        <v>-242689.56</v>
      </c>
      <c r="E11" s="9">
        <f>-E9*0.02</f>
        <v>-7469.64</v>
      </c>
      <c r="F11" s="9">
        <f t="shared" ref="F11:F12" si="0">SUM(D11:E11)</f>
        <v>-250159.2</v>
      </c>
      <c r="G11" s="3"/>
      <c r="H11" s="3"/>
    </row>
    <row r="12" spans="1:8" x14ac:dyDescent="0.2">
      <c r="A12" s="17">
        <v>4</v>
      </c>
      <c r="B12" s="3" t="s">
        <v>5</v>
      </c>
      <c r="C12" s="3"/>
      <c r="D12" s="10">
        <f>+(D9+D10+D11)*0.275175*-1</f>
        <v>-3079152.7857269999</v>
      </c>
      <c r="E12" s="10">
        <f>+(E9+E10+E11)*0.275175*-1</f>
        <v>-99633.077295750001</v>
      </c>
      <c r="F12" s="10">
        <f t="shared" si="0"/>
        <v>-3178785.8630227498</v>
      </c>
      <c r="G12" s="5"/>
    </row>
    <row r="13" spans="1:8" x14ac:dyDescent="0.2">
      <c r="A13" s="17">
        <v>5</v>
      </c>
      <c r="B13" s="3" t="s">
        <v>73</v>
      </c>
      <c r="C13" s="3"/>
      <c r="D13" s="16">
        <f>SUM(D10:D12)</f>
        <v>-4023832.3457269999</v>
      </c>
      <c r="E13" s="16">
        <f t="shared" ref="E13:F13" si="1">SUM(E10:E12)</f>
        <v>-111043.38729575</v>
      </c>
      <c r="F13" s="16">
        <f t="shared" si="1"/>
        <v>-4134875.7330227499</v>
      </c>
      <c r="G13" s="5"/>
      <c r="H13" s="3" t="s">
        <v>16</v>
      </c>
    </row>
    <row r="14" spans="1:8" ht="13.5" thickBot="1" x14ac:dyDescent="0.25">
      <c r="A14" s="17">
        <v>6</v>
      </c>
      <c r="B14" s="3" t="s">
        <v>6</v>
      </c>
      <c r="C14" s="3"/>
      <c r="D14" s="19">
        <f>SUM(D9:D12)</f>
        <v>8110645.6542729996</v>
      </c>
      <c r="E14" s="19">
        <f>SUM(E9:E12)</f>
        <v>262438.61270425003</v>
      </c>
      <c r="F14" s="19">
        <f>SUM(F9:F12)</f>
        <v>8373084.2669772506</v>
      </c>
      <c r="G14" s="3"/>
      <c r="H14" s="3" t="s">
        <v>17</v>
      </c>
    </row>
    <row r="15" spans="1:8" ht="13.5" thickTop="1" x14ac:dyDescent="0.2">
      <c r="B15" s="3"/>
      <c r="C15" s="3"/>
      <c r="D15" s="8"/>
      <c r="E15" s="6"/>
      <c r="F15" s="6"/>
      <c r="G15" s="3"/>
      <c r="H15" s="3"/>
    </row>
    <row r="16" spans="1:8" x14ac:dyDescent="0.2">
      <c r="B16" s="7"/>
      <c r="C16" s="7"/>
      <c r="D16" s="11"/>
      <c r="E16" s="6"/>
      <c r="F16" s="6"/>
      <c r="G16" s="3"/>
      <c r="H16" s="3"/>
    </row>
    <row r="17" spans="1:8" ht="44.45" customHeight="1" x14ac:dyDescent="0.2">
      <c r="A17" s="17">
        <v>7</v>
      </c>
      <c r="B17" s="12" t="s">
        <v>11</v>
      </c>
      <c r="C17" s="3"/>
      <c r="D17" s="13">
        <f>D14*0.5</f>
        <v>4055322.8271364998</v>
      </c>
      <c r="E17" s="13">
        <f>E14*0.5</f>
        <v>131219.30635212502</v>
      </c>
      <c r="F17" s="13">
        <f>SUM(D17:E17)</f>
        <v>4186542.1334886248</v>
      </c>
      <c r="G17" s="3"/>
      <c r="H17" s="3" t="s">
        <v>19</v>
      </c>
    </row>
    <row r="18" spans="1:8" ht="46.5" customHeight="1" x14ac:dyDescent="0.2">
      <c r="A18" s="17">
        <v>8</v>
      </c>
      <c r="B18" s="12" t="s">
        <v>12</v>
      </c>
      <c r="C18" s="12"/>
      <c r="D18" s="9">
        <v>101045.28383999999</v>
      </c>
      <c r="E18" s="9">
        <v>2878.0292800000002</v>
      </c>
      <c r="F18" s="9">
        <f>SUM(D18:E18)</f>
        <v>103923.31311999999</v>
      </c>
      <c r="G18" s="5"/>
      <c r="H18" s="3" t="s">
        <v>20</v>
      </c>
    </row>
    <row r="19" spans="1:8" x14ac:dyDescent="0.2">
      <c r="A19" s="17"/>
      <c r="B19" s="20"/>
      <c r="C19" s="20"/>
      <c r="D19" s="16"/>
      <c r="E19" s="16"/>
      <c r="F19" s="16"/>
      <c r="G19" s="3"/>
      <c r="H19" s="3"/>
    </row>
    <row r="20" spans="1:8" ht="48.75" customHeight="1" thickBot="1" x14ac:dyDescent="0.25">
      <c r="A20" s="17">
        <v>9</v>
      </c>
      <c r="B20" s="12" t="s">
        <v>7</v>
      </c>
      <c r="C20" s="7"/>
      <c r="D20" s="14">
        <f>SUM(D17:D19)</f>
        <v>4156368.1109765</v>
      </c>
      <c r="E20" s="14">
        <f>SUM(E17:E19)</f>
        <v>134097.335632125</v>
      </c>
      <c r="F20" s="14">
        <f>SUM(F17:F19)</f>
        <v>4290465.4466086244</v>
      </c>
      <c r="G20" s="3"/>
      <c r="H20" s="3" t="s">
        <v>21</v>
      </c>
    </row>
    <row r="21" spans="1:8" ht="13.5" thickTop="1" x14ac:dyDescent="0.2">
      <c r="B21" s="3"/>
      <c r="C21" s="3"/>
      <c r="D21" s="6"/>
      <c r="E21" s="6"/>
      <c r="F21" s="6"/>
      <c r="G21" s="3"/>
      <c r="H21" s="3"/>
    </row>
    <row r="22" spans="1:8" x14ac:dyDescent="0.2">
      <c r="D22" s="15"/>
      <c r="E22" s="15"/>
      <c r="F22" s="15"/>
    </row>
    <row r="23" spans="1:8" x14ac:dyDescent="0.2">
      <c r="D23" s="15"/>
      <c r="E23" s="15"/>
      <c r="F23" s="15"/>
    </row>
    <row r="24" spans="1:8" x14ac:dyDescent="0.2">
      <c r="D24" s="15"/>
      <c r="E24" s="15"/>
      <c r="F24" s="15"/>
    </row>
    <row r="25" spans="1:8" x14ac:dyDescent="0.2">
      <c r="A25" s="17">
        <v>10</v>
      </c>
      <c r="B25" s="1" t="s">
        <v>23</v>
      </c>
      <c r="D25" s="21">
        <f>+D9</f>
        <v>12134478</v>
      </c>
      <c r="E25" s="21">
        <f t="shared" ref="E25:F25" si="2">+E9</f>
        <v>373482</v>
      </c>
      <c r="F25" s="21">
        <f t="shared" si="2"/>
        <v>12507960</v>
      </c>
    </row>
    <row r="26" spans="1:8" x14ac:dyDescent="0.2">
      <c r="A26" s="17">
        <v>11</v>
      </c>
      <c r="B26" s="1" t="s">
        <v>13</v>
      </c>
      <c r="D26" s="23">
        <f>-D20</f>
        <v>-4156368.1109765</v>
      </c>
      <c r="E26" s="23">
        <f t="shared" ref="E26:F26" si="3">-E20</f>
        <v>-134097.335632125</v>
      </c>
      <c r="F26" s="23">
        <f t="shared" si="3"/>
        <v>-4290465.4466086244</v>
      </c>
    </row>
    <row r="27" spans="1:8" ht="13.5" thickBot="1" x14ac:dyDescent="0.25">
      <c r="D27" s="22">
        <f>SUM(D25:D26)</f>
        <v>7978109.8890234996</v>
      </c>
      <c r="E27" s="22">
        <f t="shared" ref="E27:F27" si="4">SUM(E25:E26)</f>
        <v>239384.664367875</v>
      </c>
      <c r="F27" s="22">
        <f t="shared" si="4"/>
        <v>8217494.5533913756</v>
      </c>
      <c r="H27" s="1" t="s">
        <v>22</v>
      </c>
    </row>
    <row r="28" spans="1:8" ht="13.5" thickTop="1" x14ac:dyDescent="0.2"/>
  </sheetData>
  <mergeCells count="2">
    <mergeCell ref="A2:H2"/>
    <mergeCell ref="A3:H3"/>
  </mergeCells>
  <pageMargins left="0.39" right="0.3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zoomScaleNormal="100" workbookViewId="0">
      <selection activeCell="H36" sqref="H36"/>
    </sheetView>
  </sheetViews>
  <sheetFormatPr defaultColWidth="9.140625" defaultRowHeight="15" x14ac:dyDescent="0.25"/>
  <cols>
    <col min="1" max="2" width="16.85546875" style="25" customWidth="1"/>
    <col min="3" max="3" width="17.85546875" style="25" customWidth="1"/>
    <col min="4" max="7" width="16.85546875" style="25" customWidth="1"/>
    <col min="8" max="8" width="18.140625" style="25" customWidth="1"/>
    <col min="9" max="9" width="16.140625" style="25" customWidth="1"/>
    <col min="10" max="10" width="14" style="25" customWidth="1"/>
    <col min="11" max="11" width="11.42578125" style="25" bestFit="1" customWidth="1"/>
    <col min="12" max="16384" width="9.140625" style="25"/>
  </cols>
  <sheetData>
    <row r="1" spans="1:8" x14ac:dyDescent="0.25">
      <c r="A1" s="30" t="s">
        <v>26</v>
      </c>
      <c r="B1" s="30" t="s">
        <v>28</v>
      </c>
      <c r="C1" s="30"/>
      <c r="D1" s="30"/>
      <c r="E1" s="30"/>
      <c r="F1" s="30"/>
      <c r="G1" s="30"/>
      <c r="H1" s="31" t="s">
        <v>29</v>
      </c>
    </row>
    <row r="3" spans="1:8" x14ac:dyDescent="0.25">
      <c r="A3" s="25" t="s">
        <v>27</v>
      </c>
      <c r="B3" s="25" t="s">
        <v>34</v>
      </c>
      <c r="H3" s="27">
        <v>210322302.31999996</v>
      </c>
    </row>
    <row r="4" spans="1:8" x14ac:dyDescent="0.25">
      <c r="B4" s="25" t="s">
        <v>31</v>
      </c>
      <c r="H4" s="26" t="s">
        <v>65</v>
      </c>
    </row>
    <row r="5" spans="1:8" x14ac:dyDescent="0.25">
      <c r="B5" s="25" t="s">
        <v>32</v>
      </c>
    </row>
    <row r="7" spans="1:8" x14ac:dyDescent="0.25">
      <c r="A7" s="25" t="s">
        <v>30</v>
      </c>
      <c r="B7" s="25" t="s">
        <v>35</v>
      </c>
      <c r="H7" s="27">
        <v>62052424.289999977</v>
      </c>
    </row>
    <row r="8" spans="1:8" x14ac:dyDescent="0.25">
      <c r="B8" s="25" t="s">
        <v>33</v>
      </c>
      <c r="H8" s="26" t="s">
        <v>66</v>
      </c>
    </row>
    <row r="9" spans="1:8" x14ac:dyDescent="0.25">
      <c r="B9" s="25" t="s">
        <v>32</v>
      </c>
    </row>
    <row r="11" spans="1:8" x14ac:dyDescent="0.25">
      <c r="A11" s="25" t="s">
        <v>37</v>
      </c>
      <c r="B11" s="25" t="s">
        <v>72</v>
      </c>
      <c r="H11" s="26" t="s">
        <v>36</v>
      </c>
    </row>
    <row r="12" spans="1:8" x14ac:dyDescent="0.25">
      <c r="H12" s="26"/>
    </row>
    <row r="13" spans="1:8" x14ac:dyDescent="0.25">
      <c r="A13" s="25" t="s">
        <v>78</v>
      </c>
      <c r="B13" s="25" t="s">
        <v>95</v>
      </c>
      <c r="H13" s="38">
        <v>2670751.7999999998</v>
      </c>
    </row>
    <row r="14" spans="1:8" x14ac:dyDescent="0.25">
      <c r="B14" s="25" t="s">
        <v>94</v>
      </c>
      <c r="H14" s="26" t="s">
        <v>92</v>
      </c>
    </row>
    <row r="15" spans="1:8" x14ac:dyDescent="0.25">
      <c r="H15" s="26"/>
    </row>
    <row r="16" spans="1:8" x14ac:dyDescent="0.25">
      <c r="A16" s="25" t="s">
        <v>38</v>
      </c>
      <c r="B16" s="25" t="s">
        <v>96</v>
      </c>
      <c r="E16" s="36"/>
      <c r="F16" s="36"/>
      <c r="H16" s="27">
        <v>32777291.320021253</v>
      </c>
    </row>
    <row r="17" spans="1:10" x14ac:dyDescent="0.25">
      <c r="B17" s="25" t="s">
        <v>42</v>
      </c>
      <c r="E17" s="36"/>
      <c r="F17" s="36"/>
      <c r="H17" s="26" t="s">
        <v>44</v>
      </c>
    </row>
    <row r="18" spans="1:10" x14ac:dyDescent="0.25">
      <c r="B18" s="25" t="s">
        <v>97</v>
      </c>
      <c r="E18" s="36"/>
      <c r="F18" s="36"/>
      <c r="H18" s="26" t="s">
        <v>45</v>
      </c>
      <c r="J18" s="41"/>
    </row>
    <row r="19" spans="1:10" x14ac:dyDescent="0.25">
      <c r="B19" s="25" t="s">
        <v>59</v>
      </c>
      <c r="E19" s="36"/>
      <c r="F19" s="36"/>
      <c r="H19" s="26" t="s">
        <v>46</v>
      </c>
    </row>
    <row r="20" spans="1:10" x14ac:dyDescent="0.25">
      <c r="B20" s="25" t="s">
        <v>43</v>
      </c>
    </row>
    <row r="22" spans="1:10" s="36" customFormat="1" x14ac:dyDescent="0.25">
      <c r="A22" s="36" t="s">
        <v>39</v>
      </c>
      <c r="B22" s="36" t="s">
        <v>91</v>
      </c>
      <c r="H22" s="27">
        <v>32777291.320021253</v>
      </c>
    </row>
    <row r="23" spans="1:10" s="36" customFormat="1" x14ac:dyDescent="0.25">
      <c r="B23" s="36" t="s">
        <v>90</v>
      </c>
      <c r="H23" s="37" t="s">
        <v>60</v>
      </c>
    </row>
    <row r="24" spans="1:10" s="36" customFormat="1" x14ac:dyDescent="0.25">
      <c r="H24" s="37" t="s">
        <v>47</v>
      </c>
    </row>
    <row r="26" spans="1:10" x14ac:dyDescent="0.25">
      <c r="A26" s="25" t="s">
        <v>41</v>
      </c>
      <c r="B26" s="25" t="s">
        <v>49</v>
      </c>
      <c r="H26" s="29">
        <v>204127672.86697209</v>
      </c>
      <c r="I26" s="27"/>
    </row>
    <row r="27" spans="1:10" x14ac:dyDescent="0.25">
      <c r="H27" s="35" t="s">
        <v>80</v>
      </c>
      <c r="J27" s="29"/>
    </row>
    <row r="28" spans="1:10" x14ac:dyDescent="0.25">
      <c r="H28" s="35" t="s">
        <v>79</v>
      </c>
      <c r="J28" s="29"/>
    </row>
    <row r="30" spans="1:10" x14ac:dyDescent="0.25">
      <c r="A30" s="25" t="s">
        <v>85</v>
      </c>
      <c r="B30" s="25" t="s">
        <v>77</v>
      </c>
      <c r="H30" s="29">
        <v>218653255.15411872</v>
      </c>
      <c r="I30" s="27"/>
    </row>
    <row r="31" spans="1:10" x14ac:dyDescent="0.25">
      <c r="H31" s="26" t="s">
        <v>52</v>
      </c>
    </row>
    <row r="32" spans="1:10" x14ac:dyDescent="0.25">
      <c r="H32" s="26" t="s">
        <v>53</v>
      </c>
    </row>
    <row r="33" spans="1:12" x14ac:dyDescent="0.25">
      <c r="H33" s="26" t="s">
        <v>54</v>
      </c>
    </row>
    <row r="34" spans="1:12" x14ac:dyDescent="0.25">
      <c r="H34" s="26" t="s">
        <v>55</v>
      </c>
    </row>
    <row r="36" spans="1:12" x14ac:dyDescent="0.25">
      <c r="A36" s="25" t="s">
        <v>104</v>
      </c>
      <c r="B36" s="25" t="s">
        <v>81</v>
      </c>
      <c r="H36" s="29">
        <f>+H26-H30</f>
        <v>-14525582.287146628</v>
      </c>
      <c r="I36" s="27"/>
    </row>
    <row r="37" spans="1:12" x14ac:dyDescent="0.25">
      <c r="B37" s="25" t="s">
        <v>100</v>
      </c>
      <c r="H37" s="26" t="s">
        <v>56</v>
      </c>
    </row>
    <row r="38" spans="1:12" x14ac:dyDescent="0.25">
      <c r="B38" s="25" t="s">
        <v>57</v>
      </c>
      <c r="H38" s="26" t="s">
        <v>48</v>
      </c>
    </row>
    <row r="39" spans="1:12" x14ac:dyDescent="0.25">
      <c r="H39" s="26"/>
      <c r="I39" s="26"/>
    </row>
    <row r="40" spans="1:12" x14ac:dyDescent="0.25">
      <c r="A40" s="25" t="s">
        <v>105</v>
      </c>
      <c r="B40" s="25" t="s">
        <v>71</v>
      </c>
      <c r="H40" s="29">
        <v>-15338888.622686729</v>
      </c>
      <c r="I40" s="29"/>
      <c r="K40" s="29"/>
    </row>
    <row r="41" spans="1:12" x14ac:dyDescent="0.25">
      <c r="B41" s="25" t="s">
        <v>83</v>
      </c>
      <c r="H41" s="26" t="s">
        <v>74</v>
      </c>
      <c r="K41" s="40"/>
    </row>
    <row r="42" spans="1:12" x14ac:dyDescent="0.25">
      <c r="B42" s="25" t="s">
        <v>68</v>
      </c>
      <c r="H42" s="26" t="s">
        <v>61</v>
      </c>
      <c r="I42" s="28"/>
      <c r="K42" s="29"/>
      <c r="L42" s="28"/>
    </row>
    <row r="43" spans="1:12" x14ac:dyDescent="0.25">
      <c r="I43" s="28"/>
      <c r="K43" s="28"/>
      <c r="L43" s="28"/>
    </row>
    <row r="44" spans="1:12" x14ac:dyDescent="0.25">
      <c r="A44" s="25" t="s">
        <v>93</v>
      </c>
      <c r="B44" s="25" t="s">
        <v>62</v>
      </c>
      <c r="H44" s="27">
        <f>+H3</f>
        <v>210322302.31999996</v>
      </c>
      <c r="K44" s="27"/>
    </row>
    <row r="45" spans="1:12" x14ac:dyDescent="0.25">
      <c r="B45" s="25" t="s">
        <v>69</v>
      </c>
      <c r="H45" s="26" t="s">
        <v>63</v>
      </c>
    </row>
    <row r="46" spans="1:12" x14ac:dyDescent="0.25">
      <c r="K46" s="29"/>
    </row>
    <row r="47" spans="1:12" x14ac:dyDescent="0.25">
      <c r="A47" s="25" t="s">
        <v>50</v>
      </c>
      <c r="B47" s="25" t="s">
        <v>64</v>
      </c>
      <c r="H47" s="27">
        <v>28554092.382171825</v>
      </c>
    </row>
    <row r="48" spans="1:12" x14ac:dyDescent="0.25">
      <c r="B48" s="25" t="s">
        <v>70</v>
      </c>
      <c r="H48" s="26" t="s">
        <v>66</v>
      </c>
    </row>
    <row r="50" spans="1:8" x14ac:dyDescent="0.25">
      <c r="A50" s="25" t="s">
        <v>103</v>
      </c>
      <c r="B50" s="25" t="s">
        <v>101</v>
      </c>
      <c r="H50" s="27">
        <v>593500.4</v>
      </c>
    </row>
    <row r="51" spans="1:8" x14ac:dyDescent="0.25">
      <c r="H51" s="26" t="s">
        <v>63</v>
      </c>
    </row>
    <row r="53" spans="1:8" x14ac:dyDescent="0.25">
      <c r="A53" s="25" t="s">
        <v>51</v>
      </c>
      <c r="B53" s="25" t="s">
        <v>102</v>
      </c>
      <c r="H53" s="27">
        <v>2670751.7999999998</v>
      </c>
    </row>
    <row r="54" spans="1:8" x14ac:dyDescent="0.25">
      <c r="H54" s="26" t="s">
        <v>63</v>
      </c>
    </row>
    <row r="56" spans="1:8" s="36" customFormat="1" x14ac:dyDescent="0.25">
      <c r="A56" s="36" t="s">
        <v>75</v>
      </c>
      <c r="B56" s="36" t="s">
        <v>84</v>
      </c>
      <c r="H56" s="39">
        <v>2077251.4000000001</v>
      </c>
    </row>
    <row r="57" spans="1:8" x14ac:dyDescent="0.25">
      <c r="H57" s="26" t="s">
        <v>82</v>
      </c>
    </row>
    <row r="59" spans="1:8" x14ac:dyDescent="0.25">
      <c r="A59" s="25" t="s">
        <v>58</v>
      </c>
      <c r="B59" s="25" t="s">
        <v>88</v>
      </c>
      <c r="H59" s="27">
        <v>593500.4</v>
      </c>
    </row>
    <row r="60" spans="1:8" x14ac:dyDescent="0.25">
      <c r="H60" s="27"/>
    </row>
    <row r="62" spans="1:8" x14ac:dyDescent="0.25">
      <c r="A62" s="25" t="s">
        <v>86</v>
      </c>
      <c r="B62" s="25" t="s">
        <v>72</v>
      </c>
      <c r="H62" s="26" t="s">
        <v>36</v>
      </c>
    </row>
    <row r="63" spans="1:8" x14ac:dyDescent="0.25">
      <c r="H63" s="26"/>
    </row>
    <row r="64" spans="1:8" x14ac:dyDescent="0.25">
      <c r="H64" s="26"/>
    </row>
    <row r="65" spans="1:9" x14ac:dyDescent="0.25">
      <c r="A65" s="25" t="s">
        <v>87</v>
      </c>
      <c r="B65" s="25" t="s">
        <v>67</v>
      </c>
      <c r="G65" s="28"/>
      <c r="H65" s="26">
        <v>0.15013956197656339</v>
      </c>
    </row>
    <row r="66" spans="1:9" x14ac:dyDescent="0.25">
      <c r="H66" s="26" t="s">
        <v>40</v>
      </c>
    </row>
    <row r="68" spans="1:9" x14ac:dyDescent="0.25">
      <c r="A68" s="25" t="s">
        <v>89</v>
      </c>
      <c r="B68" s="25" t="s">
        <v>98</v>
      </c>
      <c r="H68" s="29">
        <v>44067606.519985363</v>
      </c>
      <c r="I68" s="41"/>
    </row>
    <row r="69" spans="1:9" x14ac:dyDescent="0.25">
      <c r="B69" s="25" t="s">
        <v>42</v>
      </c>
      <c r="H69" s="26" t="s">
        <v>44</v>
      </c>
      <c r="I69" s="29"/>
    </row>
    <row r="70" spans="1:9" x14ac:dyDescent="0.25">
      <c r="B70" s="25" t="s">
        <v>99</v>
      </c>
      <c r="H70" s="26" t="s">
        <v>45</v>
      </c>
    </row>
    <row r="71" spans="1:9" x14ac:dyDescent="0.25">
      <c r="B71" s="25" t="s">
        <v>59</v>
      </c>
      <c r="H71" s="26" t="s">
        <v>46</v>
      </c>
    </row>
    <row r="72" spans="1:9" x14ac:dyDescent="0.25">
      <c r="B72" s="25" t="s">
        <v>76</v>
      </c>
    </row>
    <row r="74" spans="1:9" x14ac:dyDescent="0.25">
      <c r="A74" s="32"/>
      <c r="B74" s="32"/>
      <c r="C74" s="32"/>
      <c r="D74" s="32"/>
      <c r="E74" s="32"/>
      <c r="F74" s="32"/>
      <c r="G74" s="32"/>
      <c r="H74" s="33"/>
    </row>
    <row r="75" spans="1:9" x14ac:dyDescent="0.25">
      <c r="A75" s="32"/>
      <c r="B75" s="32"/>
      <c r="C75" s="32"/>
      <c r="D75" s="32"/>
      <c r="E75" s="32"/>
      <c r="F75" s="32"/>
      <c r="G75" s="32"/>
      <c r="H75" s="34"/>
    </row>
    <row r="76" spans="1:9" x14ac:dyDescent="0.25">
      <c r="A76" s="32"/>
      <c r="B76" s="32"/>
      <c r="C76" s="32"/>
      <c r="D76" s="32"/>
      <c r="E76" s="32"/>
      <c r="F76" s="32"/>
      <c r="G76" s="32"/>
      <c r="H76" s="34"/>
    </row>
    <row r="77" spans="1:9" x14ac:dyDescent="0.25">
      <c r="A77" s="32"/>
      <c r="B77" s="32"/>
      <c r="C77" s="32"/>
      <c r="D77" s="32"/>
      <c r="E77" s="32"/>
      <c r="F77" s="32"/>
      <c r="G77" s="32"/>
      <c r="H77" s="34"/>
    </row>
    <row r="78" spans="1:9" x14ac:dyDescent="0.25">
      <c r="H78" s="26"/>
    </row>
  </sheetData>
  <pageMargins left="0.2" right="0.17" top="0.66" bottom="0.4" header="0.18" footer="0.16"/>
  <pageSetup paperSize="5" orientation="landscape" r:id="rId1"/>
  <headerFooter>
    <oddHeader>&amp;CBaltimore Gas and Electric Company
Dedicated Facilities Revenue Credit (Attachment 3) and True-Up (Attachment 6) Audit Trail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5E5F-255B-4113-8C13-AB9C7D84BEDA}">
  <sheetPr>
    <pageSetUpPr fitToPage="1"/>
  </sheetPr>
  <dimension ref="A1:T39"/>
  <sheetViews>
    <sheetView topLeftCell="A19" workbookViewId="0">
      <selection activeCell="F25" sqref="F25"/>
    </sheetView>
  </sheetViews>
  <sheetFormatPr defaultColWidth="9.140625" defaultRowHeight="12.75" x14ac:dyDescent="0.2"/>
  <cols>
    <col min="1" max="1" width="1.7109375" style="1" customWidth="1"/>
    <col min="2" max="2" width="7.42578125" style="1" customWidth="1"/>
    <col min="3" max="3" width="53" style="1" bestFit="1" customWidth="1"/>
    <col min="4" max="4" width="15" style="1" customWidth="1"/>
    <col min="5" max="5" width="1.7109375" style="1" customWidth="1"/>
    <col min="6" max="6" width="14.7109375" style="1" customWidth="1"/>
    <col min="7" max="7" width="1.7109375" style="1" customWidth="1"/>
    <col min="8" max="8" width="14.7109375" style="1" customWidth="1"/>
    <col min="9" max="9" width="1.7109375" style="1" customWidth="1"/>
    <col min="10" max="10" width="16.28515625" style="1" bestFit="1" customWidth="1"/>
    <col min="11" max="11" width="1.7109375" style="1" customWidth="1"/>
    <col min="12" max="12" width="16.28515625" style="1" bestFit="1" customWidth="1"/>
    <col min="13" max="13" width="1.7109375" style="1" customWidth="1"/>
    <col min="14" max="14" width="17.7109375" style="1" bestFit="1" customWidth="1"/>
    <col min="15" max="15" width="1.7109375" style="1" customWidth="1"/>
    <col min="16" max="16" width="14.7109375" style="1" customWidth="1"/>
    <col min="17" max="17" width="1.7109375" style="1" customWidth="1"/>
    <col min="18" max="18" width="14.7109375" style="1" customWidth="1"/>
    <col min="19" max="19" width="7.42578125" style="1" customWidth="1"/>
    <col min="20" max="20" width="1.7109375" style="1" customWidth="1"/>
    <col min="21" max="21" width="9.140625" style="1"/>
    <col min="22" max="22" width="11.28515625" style="1" bestFit="1" customWidth="1"/>
    <col min="23" max="16384" width="9.140625" style="1"/>
  </cols>
  <sheetData>
    <row r="1" spans="1:20" x14ac:dyDescent="0.2">
      <c r="A1" s="42" t="s">
        <v>24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2"/>
      <c r="T1" s="42"/>
    </row>
    <row r="2" spans="1:20" x14ac:dyDescent="0.2">
      <c r="A2" s="42" t="s">
        <v>106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</row>
    <row r="3" spans="1:20" x14ac:dyDescent="0.2">
      <c r="A3" s="42" t="s">
        <v>107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  <c r="T3" s="42"/>
    </row>
    <row r="4" spans="1:20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7" spans="1:20" x14ac:dyDescent="0.2">
      <c r="C7" s="43"/>
      <c r="D7" s="43"/>
      <c r="E7" s="43"/>
      <c r="F7" s="44" t="s">
        <v>108</v>
      </c>
      <c r="G7" s="43"/>
      <c r="H7" s="44" t="s">
        <v>109</v>
      </c>
      <c r="I7" s="44"/>
      <c r="J7" s="44" t="s">
        <v>110</v>
      </c>
      <c r="K7" s="44"/>
      <c r="L7" s="44" t="s">
        <v>111</v>
      </c>
      <c r="M7" s="43"/>
      <c r="N7" s="44" t="s">
        <v>112</v>
      </c>
      <c r="O7" s="43"/>
      <c r="P7" s="44" t="s">
        <v>113</v>
      </c>
      <c r="Q7" s="43"/>
      <c r="R7" s="44" t="s">
        <v>114</v>
      </c>
    </row>
    <row r="8" spans="1:20" ht="39.75" x14ac:dyDescent="0.2">
      <c r="C8" s="45" t="s">
        <v>115</v>
      </c>
      <c r="D8" s="45" t="s">
        <v>116</v>
      </c>
      <c r="E8" s="43"/>
      <c r="F8" s="46" t="s">
        <v>117</v>
      </c>
      <c r="G8" s="44"/>
      <c r="H8" s="46" t="s">
        <v>118</v>
      </c>
      <c r="I8" s="44"/>
      <c r="J8" s="46" t="s">
        <v>119</v>
      </c>
      <c r="K8" s="44"/>
      <c r="L8" s="46" t="s">
        <v>186</v>
      </c>
      <c r="M8" s="43"/>
      <c r="N8" s="46" t="s">
        <v>120</v>
      </c>
      <c r="O8" s="43"/>
      <c r="P8" s="46" t="s">
        <v>121</v>
      </c>
      <c r="Q8" s="43"/>
      <c r="R8" s="46" t="s">
        <v>122</v>
      </c>
    </row>
    <row r="9" spans="1:20" ht="5.0999999999999996" customHeight="1" x14ac:dyDescent="0.2"/>
    <row r="10" spans="1:20" x14ac:dyDescent="0.2">
      <c r="C10" s="47" t="s">
        <v>123</v>
      </c>
      <c r="D10" s="48" t="s">
        <v>187</v>
      </c>
      <c r="E10" s="48"/>
      <c r="F10" s="49">
        <v>16193172.779999999</v>
      </c>
      <c r="G10" s="49"/>
      <c r="H10" s="49">
        <v>0</v>
      </c>
      <c r="I10" s="49"/>
      <c r="J10" s="49">
        <v>0</v>
      </c>
      <c r="K10" s="49"/>
      <c r="L10" s="49">
        <f>H10+J10</f>
        <v>0</v>
      </c>
      <c r="M10" s="49"/>
      <c r="N10" s="49">
        <f>F10+L10</f>
        <v>16193172.779999999</v>
      </c>
      <c r="O10" s="48"/>
      <c r="P10" s="49">
        <v>-18975269.689999998</v>
      </c>
      <c r="Q10" s="48"/>
      <c r="R10" s="49">
        <f>+N10+P10</f>
        <v>-2782096.9099999983</v>
      </c>
    </row>
    <row r="11" spans="1:20" ht="5.0999999999999996" customHeight="1" x14ac:dyDescent="0.2">
      <c r="C11" s="50"/>
    </row>
    <row r="12" spans="1:20" x14ac:dyDescent="0.2">
      <c r="C12" s="51" t="s">
        <v>124</v>
      </c>
      <c r="D12" s="48" t="s">
        <v>188</v>
      </c>
      <c r="E12" s="48"/>
      <c r="F12" s="49">
        <v>7409492.9299999997</v>
      </c>
      <c r="G12" s="49"/>
      <c r="H12" s="49">
        <v>0</v>
      </c>
      <c r="I12" s="49"/>
      <c r="J12" s="49">
        <v>0</v>
      </c>
      <c r="K12" s="49"/>
      <c r="L12" s="49">
        <f>H12+J12</f>
        <v>0</v>
      </c>
      <c r="M12" s="49"/>
      <c r="N12" s="49">
        <f>F12+L12</f>
        <v>7409492.9299999997</v>
      </c>
      <c r="O12" s="48"/>
      <c r="P12" s="49">
        <v>-6156599.8499999996</v>
      </c>
      <c r="Q12" s="48"/>
      <c r="R12" s="49">
        <f>+N12+P12</f>
        <v>1252893.08</v>
      </c>
    </row>
    <row r="13" spans="1:20" ht="5.0999999999999996" customHeight="1" x14ac:dyDescent="0.2">
      <c r="C13" s="50"/>
    </row>
    <row r="14" spans="1:20" x14ac:dyDescent="0.2">
      <c r="C14" s="47" t="s">
        <v>125</v>
      </c>
      <c r="D14" s="48" t="s">
        <v>189</v>
      </c>
      <c r="E14" s="48"/>
      <c r="F14" s="49">
        <v>4015494</v>
      </c>
      <c r="G14" s="49"/>
      <c r="H14" s="49">
        <v>0</v>
      </c>
      <c r="I14" s="49"/>
      <c r="J14" s="49">
        <v>465977.37670198316</v>
      </c>
      <c r="K14" s="49"/>
      <c r="L14" s="49">
        <f>H14+J14</f>
        <v>465977.37670198316</v>
      </c>
      <c r="M14" s="49"/>
      <c r="N14" s="49">
        <f>F14+L14</f>
        <v>4481471.3767019827</v>
      </c>
      <c r="O14" s="48"/>
      <c r="P14" s="49">
        <v>157684503.62329802</v>
      </c>
      <c r="Q14" s="48"/>
      <c r="R14" s="49">
        <f>+N14+P14</f>
        <v>162165975</v>
      </c>
    </row>
    <row r="15" spans="1:20" ht="5.0999999999999996" customHeight="1" x14ac:dyDescent="0.2">
      <c r="C15" s="50"/>
    </row>
    <row r="16" spans="1:20" x14ac:dyDescent="0.2">
      <c r="C16" s="47" t="s">
        <v>126</v>
      </c>
      <c r="D16" s="48" t="s">
        <v>190</v>
      </c>
      <c r="E16" s="48"/>
      <c r="F16" s="49">
        <v>1695794.5093081286</v>
      </c>
      <c r="G16" s="49"/>
      <c r="H16" s="49">
        <v>3728128.380691871</v>
      </c>
      <c r="I16" s="49"/>
      <c r="J16" s="49">
        <v>0</v>
      </c>
      <c r="K16" s="49"/>
      <c r="L16" s="49">
        <f>H16+J16</f>
        <v>3728128.380691871</v>
      </c>
      <c r="M16" s="49"/>
      <c r="N16" s="49">
        <f>F16+L16</f>
        <v>5423922.8899999997</v>
      </c>
      <c r="O16" s="48"/>
      <c r="P16" s="49">
        <v>77802346.109999999</v>
      </c>
      <c r="Q16" s="48"/>
      <c r="R16" s="49">
        <f>+N16+P16</f>
        <v>83226269</v>
      </c>
    </row>
    <row r="17" spans="2:18" ht="5.0999999999999996" customHeight="1" x14ac:dyDescent="0.2">
      <c r="C17" s="50"/>
      <c r="F17" s="23"/>
      <c r="G17" s="23"/>
      <c r="H17" s="23"/>
      <c r="I17" s="23"/>
      <c r="J17" s="23"/>
      <c r="K17" s="23"/>
      <c r="L17" s="23"/>
      <c r="M17" s="23"/>
      <c r="N17" s="23"/>
      <c r="P17" s="23"/>
    </row>
    <row r="18" spans="2:18" x14ac:dyDescent="0.2">
      <c r="C18" s="47" t="s">
        <v>127</v>
      </c>
      <c r="D18" s="48" t="s">
        <v>191</v>
      </c>
      <c r="E18" s="48"/>
      <c r="F18" s="49">
        <v>0</v>
      </c>
      <c r="G18" s="49"/>
      <c r="H18" s="52">
        <v>0</v>
      </c>
      <c r="I18" s="49"/>
      <c r="J18" s="52">
        <v>0</v>
      </c>
      <c r="K18" s="49"/>
      <c r="L18" s="49">
        <f>H18+J18</f>
        <v>0</v>
      </c>
      <c r="M18" s="49"/>
      <c r="N18" s="49">
        <f>F18+L18</f>
        <v>0</v>
      </c>
      <c r="O18" s="48"/>
      <c r="P18" s="49">
        <v>-489442</v>
      </c>
      <c r="Q18" s="48"/>
      <c r="R18" s="49">
        <f>+N18+P18</f>
        <v>-489442</v>
      </c>
    </row>
    <row r="19" spans="2:18" ht="5.0999999999999996" customHeight="1" x14ac:dyDescent="0.2">
      <c r="F19" s="23"/>
      <c r="G19" s="23"/>
      <c r="H19" s="53"/>
      <c r="I19" s="23"/>
      <c r="J19" s="53"/>
      <c r="K19" s="23"/>
      <c r="L19" s="53"/>
      <c r="M19" s="23"/>
      <c r="N19" s="23"/>
      <c r="P19" s="23"/>
    </row>
    <row r="20" spans="2:18" x14ac:dyDescent="0.2">
      <c r="C20" s="54" t="s">
        <v>128</v>
      </c>
      <c r="D20" s="48"/>
      <c r="E20" s="48"/>
      <c r="F20" s="55">
        <f>+F10+F12+F14-F16+F18</f>
        <v>25922365.200691871</v>
      </c>
      <c r="G20" s="49"/>
      <c r="H20" s="55">
        <f>+H10+H12+H14-H16+H18</f>
        <v>-3728128.380691871</v>
      </c>
      <c r="I20" s="49"/>
      <c r="J20" s="55">
        <f>+J10+J12+J14-J16+J18</f>
        <v>465977.37670198316</v>
      </c>
      <c r="K20" s="49"/>
      <c r="L20" s="55">
        <f>+L10+L12+L14-L16+L18</f>
        <v>-3262151.0039898879</v>
      </c>
      <c r="M20" s="49"/>
      <c r="N20" s="55">
        <f>+N10+N12+N14-N16+N18</f>
        <v>22660214.196701981</v>
      </c>
      <c r="O20" s="49"/>
      <c r="P20" s="55">
        <f>+P10+P12+P14-P16+P18</f>
        <v>54260845.973298028</v>
      </c>
      <c r="Q20" s="49"/>
      <c r="R20" s="55">
        <f>+R10+R12+R14-R16+R18</f>
        <v>76921060.170000017</v>
      </c>
    </row>
    <row r="23" spans="2:18" x14ac:dyDescent="0.2">
      <c r="B23" s="56" t="s">
        <v>129</v>
      </c>
      <c r="C23" s="56"/>
      <c r="F23" s="57"/>
    </row>
    <row r="25" spans="2:18" ht="14.25" customHeight="1" x14ac:dyDescent="0.2">
      <c r="B25" s="81" t="s">
        <v>130</v>
      </c>
      <c r="C25" s="81"/>
      <c r="J25" s="1" t="s">
        <v>131</v>
      </c>
      <c r="P25" s="57"/>
    </row>
    <row r="26" spans="2:18" ht="14.25" customHeight="1" x14ac:dyDescent="0.2">
      <c r="B26" s="81"/>
      <c r="C26" s="81"/>
      <c r="P26" s="57"/>
    </row>
    <row r="27" spans="2:18" x14ac:dyDescent="0.2">
      <c r="P27" s="57"/>
    </row>
    <row r="28" spans="2:18" ht="14.25" customHeight="1" x14ac:dyDescent="0.2">
      <c r="B28" s="81" t="s">
        <v>132</v>
      </c>
      <c r="C28" s="81"/>
      <c r="P28" s="57"/>
    </row>
    <row r="29" spans="2:18" x14ac:dyDescent="0.2">
      <c r="B29" s="81"/>
      <c r="C29" s="81"/>
    </row>
    <row r="31" spans="2:18" ht="14.25" customHeight="1" x14ac:dyDescent="0.2">
      <c r="B31" s="81" t="s">
        <v>133</v>
      </c>
      <c r="C31" s="81"/>
    </row>
    <row r="32" spans="2:18" x14ac:dyDescent="0.2">
      <c r="B32" s="81"/>
      <c r="C32" s="81"/>
    </row>
    <row r="33" spans="2:3" x14ac:dyDescent="0.2">
      <c r="B33" s="81"/>
      <c r="C33" s="81"/>
    </row>
    <row r="35" spans="2:3" ht="14.25" customHeight="1" x14ac:dyDescent="0.2">
      <c r="B35" s="81" t="s">
        <v>134</v>
      </c>
      <c r="C35" s="81"/>
    </row>
    <row r="36" spans="2:3" x14ac:dyDescent="0.2">
      <c r="B36" s="81"/>
      <c r="C36" s="81"/>
    </row>
    <row r="38" spans="2:3" ht="14.25" customHeight="1" x14ac:dyDescent="0.2">
      <c r="B38" s="81" t="s">
        <v>135</v>
      </c>
      <c r="C38" s="81"/>
    </row>
    <row r="39" spans="2:3" x14ac:dyDescent="0.2">
      <c r="B39" s="81"/>
      <c r="C39" s="81"/>
    </row>
  </sheetData>
  <mergeCells count="5">
    <mergeCell ref="B25:C26"/>
    <mergeCell ref="B28:C29"/>
    <mergeCell ref="B31:C33"/>
    <mergeCell ref="B35:C36"/>
    <mergeCell ref="B38:C39"/>
  </mergeCells>
  <pageMargins left="0.16" right="0.16" top="0.75" bottom="0.75" header="0.3" footer="0.3"/>
  <pageSetup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F10F-4468-4E20-AAA5-C2DDF6C05DC6}">
  <sheetPr>
    <pageSetUpPr fitToPage="1"/>
  </sheetPr>
  <dimension ref="A1:P36"/>
  <sheetViews>
    <sheetView workbookViewId="0">
      <selection activeCell="H37" sqref="H37"/>
    </sheetView>
  </sheetViews>
  <sheetFormatPr defaultColWidth="9.140625" defaultRowHeight="12.75" x14ac:dyDescent="0.2"/>
  <cols>
    <col min="1" max="1" width="1.7109375" style="1" customWidth="1"/>
    <col min="2" max="2" width="7.42578125" style="1" customWidth="1"/>
    <col min="3" max="3" width="48.140625" style="1" bestFit="1" customWidth="1"/>
    <col min="4" max="4" width="15" style="1" customWidth="1"/>
    <col min="5" max="5" width="1.7109375" style="1" customWidth="1"/>
    <col min="6" max="6" width="17.28515625" style="1" customWidth="1"/>
    <col min="7" max="7" width="1.7109375" style="1" customWidth="1"/>
    <col min="8" max="8" width="14.7109375" style="1" customWidth="1"/>
    <col min="9" max="9" width="1.7109375" style="1" customWidth="1"/>
    <col min="10" max="10" width="16.28515625" style="1" bestFit="1" customWidth="1"/>
    <col min="11" max="11" width="1.7109375" style="1" customWidth="1"/>
    <col min="12" max="12" width="14.7109375" style="1" customWidth="1"/>
    <col min="13" max="13" width="1.7109375" style="1" customWidth="1"/>
    <col min="14" max="14" width="14.7109375" style="1" customWidth="1"/>
    <col min="15" max="15" width="9.140625" style="1"/>
    <col min="16" max="16" width="1.7109375" style="1" customWidth="1"/>
    <col min="17" max="16384" width="9.140625" style="1"/>
  </cols>
  <sheetData>
    <row r="1" spans="1:16" x14ac:dyDescent="0.2">
      <c r="A1" s="42" t="s">
        <v>24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">
      <c r="A2" s="42" t="s">
        <v>136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">
      <c r="A3" s="42" t="s">
        <v>107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7" spans="1:16" x14ac:dyDescent="0.2">
      <c r="C7" s="43"/>
      <c r="D7" s="43"/>
      <c r="E7" s="43"/>
      <c r="F7" s="44" t="s">
        <v>108</v>
      </c>
      <c r="G7" s="44"/>
      <c r="H7" s="44" t="s">
        <v>109</v>
      </c>
      <c r="I7" s="44"/>
      <c r="J7" s="44" t="s">
        <v>137</v>
      </c>
      <c r="K7" s="44"/>
      <c r="L7" s="44" t="s">
        <v>138</v>
      </c>
      <c r="M7" s="44"/>
      <c r="N7" s="44" t="s">
        <v>139</v>
      </c>
    </row>
    <row r="8" spans="1:16" ht="63.75" x14ac:dyDescent="0.2">
      <c r="C8" s="45" t="s">
        <v>140</v>
      </c>
      <c r="D8" s="45" t="s">
        <v>116</v>
      </c>
      <c r="E8" s="44"/>
      <c r="F8" s="46" t="s">
        <v>141</v>
      </c>
      <c r="G8" s="44"/>
      <c r="H8" s="46" t="s">
        <v>142</v>
      </c>
      <c r="I8" s="44"/>
      <c r="J8" s="58" t="s">
        <v>143</v>
      </c>
      <c r="K8" s="44"/>
      <c r="L8" s="46" t="s">
        <v>144</v>
      </c>
      <c r="M8" s="44"/>
      <c r="N8" s="46" t="s">
        <v>145</v>
      </c>
    </row>
    <row r="10" spans="1:16" x14ac:dyDescent="0.2">
      <c r="C10" s="47" t="s">
        <v>146</v>
      </c>
      <c r="D10" s="48" t="s">
        <v>190</v>
      </c>
      <c r="E10" s="49"/>
      <c r="F10" s="49">
        <v>-3728128.380691871</v>
      </c>
      <c r="G10" s="49"/>
      <c r="H10" s="59">
        <f>1/(1-0.275175)</f>
        <v>1.3796433621908735</v>
      </c>
      <c r="I10" s="49"/>
      <c r="J10" s="49">
        <f>F10*H10</f>
        <v>-5143487.5738169495</v>
      </c>
      <c r="K10" s="49"/>
      <c r="L10" s="49">
        <f>'ATT 5- FAS 109 Suppt (3)'!F41</f>
        <v>-287990.59121084679</v>
      </c>
      <c r="M10" s="49"/>
      <c r="N10" s="49">
        <f>J10+L10</f>
        <v>-5431478.1650277963</v>
      </c>
    </row>
    <row r="11" spans="1:16" x14ac:dyDescent="0.2">
      <c r="C11" s="50"/>
    </row>
    <row r="12" spans="1:16" x14ac:dyDescent="0.2">
      <c r="C12" s="47" t="s">
        <v>147</v>
      </c>
      <c r="D12" s="48" t="s">
        <v>148</v>
      </c>
      <c r="E12" s="49"/>
      <c r="F12" s="49">
        <f>F10/4*3</f>
        <v>-2796096.2855189033</v>
      </c>
      <c r="G12" s="49"/>
      <c r="H12" s="59">
        <f>1/(1-0.275175)</f>
        <v>1.3796433621908735</v>
      </c>
      <c r="I12" s="49"/>
      <c r="J12" s="49">
        <f>F12*H12</f>
        <v>-3857615.6803627121</v>
      </c>
      <c r="K12" s="49"/>
      <c r="L12" s="49">
        <f>+L10/4*3</f>
        <v>-215992.94340813509</v>
      </c>
      <c r="M12" s="49"/>
      <c r="N12" s="49">
        <f>J12+L12</f>
        <v>-4073608.623770847</v>
      </c>
    </row>
    <row r="13" spans="1:16" x14ac:dyDescent="0.2">
      <c r="C13" s="50"/>
    </row>
    <row r="14" spans="1:16" x14ac:dyDescent="0.2">
      <c r="C14" s="47" t="s">
        <v>149</v>
      </c>
      <c r="D14" s="48" t="s">
        <v>148</v>
      </c>
      <c r="E14" s="49"/>
      <c r="F14" s="49">
        <f>F10-F12</f>
        <v>-932032.09517296776</v>
      </c>
      <c r="G14" s="49"/>
      <c r="H14" s="59">
        <f>1/(1-0.275175)</f>
        <v>1.3796433621908735</v>
      </c>
      <c r="I14" s="49"/>
      <c r="J14" s="49">
        <f>F14*H14</f>
        <v>-1285871.8934542374</v>
      </c>
      <c r="K14" s="49"/>
      <c r="L14" s="49">
        <f>+L10/4</f>
        <v>-71997.647802711697</v>
      </c>
      <c r="M14" s="49"/>
      <c r="N14" s="49">
        <f>J14+L14</f>
        <v>-1357869.5412569491</v>
      </c>
    </row>
    <row r="16" spans="1:16" x14ac:dyDescent="0.2">
      <c r="C16" s="43"/>
      <c r="D16" s="43"/>
      <c r="E16" s="43"/>
      <c r="F16" s="44" t="s">
        <v>108</v>
      </c>
      <c r="G16" s="44"/>
      <c r="H16" s="44" t="s">
        <v>109</v>
      </c>
      <c r="I16" s="44"/>
      <c r="J16" s="44" t="s">
        <v>137</v>
      </c>
      <c r="K16" s="44"/>
      <c r="L16" s="44" t="s">
        <v>138</v>
      </c>
      <c r="M16" s="44"/>
      <c r="N16" s="44" t="s">
        <v>139</v>
      </c>
    </row>
    <row r="17" spans="2:14" ht="63.75" x14ac:dyDescent="0.2">
      <c r="C17" s="45" t="s">
        <v>140</v>
      </c>
      <c r="D17" s="45" t="s">
        <v>116</v>
      </c>
      <c r="E17" s="44"/>
      <c r="F17" s="46" t="s">
        <v>119</v>
      </c>
      <c r="G17" s="44"/>
      <c r="H17" s="46" t="s">
        <v>142</v>
      </c>
      <c r="I17" s="44"/>
      <c r="J17" s="58" t="s">
        <v>150</v>
      </c>
      <c r="K17" s="44"/>
      <c r="L17" s="46" t="s">
        <v>144</v>
      </c>
      <c r="M17" s="44"/>
      <c r="N17" s="46" t="s">
        <v>145</v>
      </c>
    </row>
    <row r="19" spans="2:14" x14ac:dyDescent="0.2">
      <c r="C19" s="47" t="s">
        <v>146</v>
      </c>
      <c r="D19" s="48" t="s">
        <v>189</v>
      </c>
      <c r="E19" s="49"/>
      <c r="F19" s="49">
        <v>465977.37670198316</v>
      </c>
      <c r="G19" s="49"/>
      <c r="H19" s="59">
        <f>1/(1-0.275175)</f>
        <v>1.3796433621908735</v>
      </c>
      <c r="I19" s="49"/>
      <c r="J19" s="49">
        <f>F19*H19</f>
        <v>642882.59469800722</v>
      </c>
      <c r="K19" s="49"/>
      <c r="L19" s="49">
        <f>'ATT 5- FAS 109 Suppt (3)'!F83</f>
        <v>35995.836651520338</v>
      </c>
      <c r="M19" s="49"/>
      <c r="N19" s="49">
        <f>J19+L19</f>
        <v>678878.43134952756</v>
      </c>
    </row>
    <row r="20" spans="2:14" x14ac:dyDescent="0.2">
      <c r="C20" s="50"/>
    </row>
    <row r="21" spans="2:14" x14ac:dyDescent="0.2">
      <c r="C21" s="47" t="s">
        <v>147</v>
      </c>
      <c r="D21" s="48" t="s">
        <v>148</v>
      </c>
      <c r="E21" s="49"/>
      <c r="F21" s="49">
        <f>F19/4*3</f>
        <v>349483.03252648737</v>
      </c>
      <c r="G21" s="49"/>
      <c r="H21" s="59">
        <f>1/(1-0.275175)</f>
        <v>1.3796433621908735</v>
      </c>
      <c r="I21" s="49"/>
      <c r="J21" s="49">
        <f>F21*H21</f>
        <v>482161.94602350541</v>
      </c>
      <c r="K21" s="49"/>
      <c r="L21" s="49">
        <f>+L19/4*3</f>
        <v>26996.877488640253</v>
      </c>
      <c r="M21" s="49"/>
      <c r="N21" s="49">
        <f>J21+L21</f>
        <v>509158.82351214567</v>
      </c>
    </row>
    <row r="22" spans="2:14" x14ac:dyDescent="0.2">
      <c r="C22" s="50"/>
    </row>
    <row r="23" spans="2:14" x14ac:dyDescent="0.2">
      <c r="C23" s="47" t="s">
        <v>149</v>
      </c>
      <c r="D23" s="48" t="s">
        <v>148</v>
      </c>
      <c r="E23" s="49"/>
      <c r="F23" s="49">
        <f>F19-F21</f>
        <v>116494.34417549579</v>
      </c>
      <c r="G23" s="49"/>
      <c r="H23" s="59">
        <f>1/(1-0.275175)</f>
        <v>1.3796433621908735</v>
      </c>
      <c r="I23" s="49"/>
      <c r="J23" s="49">
        <f>F23*H23</f>
        <v>160720.6486745018</v>
      </c>
      <c r="K23" s="49"/>
      <c r="L23" s="49">
        <f>+L19/4</f>
        <v>8998.9591628800845</v>
      </c>
      <c r="M23" s="49"/>
      <c r="N23" s="49">
        <f>J23+L23</f>
        <v>169719.60783738189</v>
      </c>
    </row>
    <row r="24" spans="2:14" x14ac:dyDescent="0.2">
      <c r="F24" s="60"/>
    </row>
    <row r="25" spans="2:14" x14ac:dyDescent="0.2">
      <c r="F25" s="60"/>
    </row>
    <row r="26" spans="2:14" x14ac:dyDescent="0.2">
      <c r="B26" s="56" t="s">
        <v>129</v>
      </c>
      <c r="C26" s="56"/>
    </row>
    <row r="28" spans="2:14" x14ac:dyDescent="0.2">
      <c r="B28" s="81" t="s">
        <v>151</v>
      </c>
      <c r="C28" s="81"/>
    </row>
    <row r="29" spans="2:14" x14ac:dyDescent="0.2">
      <c r="B29" s="81"/>
      <c r="C29" s="81"/>
    </row>
    <row r="31" spans="2:14" x14ac:dyDescent="0.2">
      <c r="B31" s="81" t="s">
        <v>152</v>
      </c>
      <c r="C31" s="81"/>
    </row>
    <row r="32" spans="2:14" x14ac:dyDescent="0.2">
      <c r="B32" s="81"/>
      <c r="C32" s="81"/>
    </row>
    <row r="34" spans="2:3" x14ac:dyDescent="0.2">
      <c r="B34" s="81" t="s">
        <v>133</v>
      </c>
      <c r="C34" s="81"/>
    </row>
    <row r="35" spans="2:3" x14ac:dyDescent="0.2">
      <c r="B35" s="81"/>
      <c r="C35" s="81"/>
    </row>
    <row r="36" spans="2:3" x14ac:dyDescent="0.2">
      <c r="B36" s="81"/>
      <c r="C36" s="81"/>
    </row>
  </sheetData>
  <mergeCells count="3">
    <mergeCell ref="B28:C29"/>
    <mergeCell ref="B31:C32"/>
    <mergeCell ref="B34:C36"/>
  </mergeCells>
  <pageMargins left="0.16" right="0.21" top="0.75" bottom="0.42" header="0.3" footer="0.3"/>
  <pageSetup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82B6-8EBD-4333-A61D-B99AE2EA1030}">
  <dimension ref="A1:H85"/>
  <sheetViews>
    <sheetView workbookViewId="0">
      <selection activeCell="F83" sqref="F83"/>
    </sheetView>
  </sheetViews>
  <sheetFormatPr defaultRowHeight="15" x14ac:dyDescent="0.25"/>
  <cols>
    <col min="3" max="3" width="15.7109375" customWidth="1"/>
    <col min="4" max="4" width="9.140625" bestFit="1" customWidth="1"/>
    <col min="5" max="5" width="12.5703125" bestFit="1" customWidth="1"/>
    <col min="6" max="6" width="9.140625" bestFit="1" customWidth="1"/>
    <col min="8" max="8" width="10.5703125" bestFit="1" customWidth="1"/>
  </cols>
  <sheetData>
    <row r="1" spans="1:8" x14ac:dyDescent="0.25">
      <c r="E1" s="61"/>
    </row>
    <row r="2" spans="1:8" x14ac:dyDescent="0.25">
      <c r="A2" s="62" t="s">
        <v>153</v>
      </c>
      <c r="E2" s="63"/>
    </row>
    <row r="3" spans="1:8" x14ac:dyDescent="0.25">
      <c r="B3" s="64"/>
      <c r="C3" s="65"/>
      <c r="D3" s="65"/>
      <c r="E3" s="65"/>
      <c r="F3" s="65"/>
      <c r="G3" s="65"/>
      <c r="H3" s="65"/>
    </row>
    <row r="4" spans="1:8" x14ac:dyDescent="0.25">
      <c r="A4" s="66" t="s">
        <v>154</v>
      </c>
      <c r="B4" s="64"/>
      <c r="C4" s="65"/>
      <c r="D4" s="65"/>
      <c r="E4" s="65"/>
      <c r="F4" s="65"/>
      <c r="G4" s="65"/>
      <c r="H4" s="65"/>
    </row>
    <row r="5" spans="1:8" x14ac:dyDescent="0.25">
      <c r="B5" s="64"/>
      <c r="C5" s="65"/>
      <c r="D5" s="65"/>
      <c r="E5" s="65"/>
      <c r="F5" s="65"/>
      <c r="G5" s="65"/>
      <c r="H5" s="65"/>
    </row>
    <row r="6" spans="1:8" x14ac:dyDescent="0.25">
      <c r="B6" s="64" t="s">
        <v>155</v>
      </c>
      <c r="C6" s="65"/>
      <c r="D6" s="65" t="s">
        <v>156</v>
      </c>
      <c r="E6" s="65"/>
      <c r="F6" s="67"/>
      <c r="G6" s="65"/>
      <c r="H6" s="65"/>
    </row>
    <row r="7" spans="1:8" x14ac:dyDescent="0.25">
      <c r="B7" s="68">
        <f>'ATT 5- FAS 109 Suppt (2)'!J10</f>
        <v>-5143487.5738169495</v>
      </c>
      <c r="C7" s="69" t="str">
        <f>"-"</f>
        <v>-</v>
      </c>
      <c r="D7" s="70">
        <v>0</v>
      </c>
      <c r="E7" s="69" t="str">
        <f>"="</f>
        <v>=</v>
      </c>
      <c r="F7" s="70">
        <f>+B7-D7</f>
        <v>-5143487.5738169495</v>
      </c>
      <c r="G7" s="65"/>
      <c r="H7" s="65"/>
    </row>
    <row r="8" spans="1:8" x14ac:dyDescent="0.25">
      <c r="B8" s="71"/>
      <c r="C8" s="69"/>
      <c r="D8" s="70"/>
      <c r="E8" s="69"/>
      <c r="F8" s="70"/>
      <c r="G8" s="65"/>
      <c r="H8" s="65"/>
    </row>
    <row r="9" spans="1:8" x14ac:dyDescent="0.25">
      <c r="B9" s="72" t="s">
        <v>157</v>
      </c>
      <c r="C9" s="69"/>
      <c r="D9" s="70"/>
      <c r="E9" s="69"/>
      <c r="F9" s="68"/>
      <c r="G9" s="65"/>
      <c r="H9" s="65"/>
    </row>
    <row r="10" spans="1:8" x14ac:dyDescent="0.25">
      <c r="B10" s="72" t="s">
        <v>158</v>
      </c>
      <c r="C10" s="69"/>
      <c r="D10" s="73">
        <v>4.4000000000000003E-3</v>
      </c>
      <c r="E10" s="69"/>
      <c r="F10" s="68"/>
      <c r="G10" s="65"/>
      <c r="H10" s="65"/>
    </row>
    <row r="11" spans="1:8" x14ac:dyDescent="0.25">
      <c r="B11" s="74" t="s">
        <v>159</v>
      </c>
      <c r="C11" s="69" t="s">
        <v>160</v>
      </c>
      <c r="D11" s="69" t="s">
        <v>161</v>
      </c>
      <c r="E11" s="74" t="s">
        <v>162</v>
      </c>
      <c r="F11" s="69"/>
      <c r="G11" s="74" t="s">
        <v>163</v>
      </c>
      <c r="H11" s="69" t="s">
        <v>164</v>
      </c>
    </row>
    <row r="12" spans="1:8" x14ac:dyDescent="0.25">
      <c r="B12" s="69"/>
      <c r="C12" s="69"/>
      <c r="D12" s="69"/>
      <c r="E12" s="69" t="s">
        <v>165</v>
      </c>
      <c r="F12" s="69" t="s">
        <v>166</v>
      </c>
      <c r="G12" s="69"/>
      <c r="H12" s="69"/>
    </row>
    <row r="13" spans="1:8" x14ac:dyDescent="0.25">
      <c r="B13" s="65" t="s">
        <v>167</v>
      </c>
      <c r="C13" s="69" t="s">
        <v>184</v>
      </c>
      <c r="D13" s="75">
        <f>+F7/12</f>
        <v>-428623.96448474581</v>
      </c>
      <c r="E13" s="76">
        <f>+D10</f>
        <v>4.4000000000000003E-3</v>
      </c>
      <c r="F13" s="65">
        <v>11.5</v>
      </c>
      <c r="G13" s="75">
        <f t="shared" ref="G13:G24" si="0">+F13*E13*D13</f>
        <v>-21688.372602928142</v>
      </c>
      <c r="H13" s="75">
        <f>+D13+G13</f>
        <v>-450312.33708767395</v>
      </c>
    </row>
    <row r="14" spans="1:8" x14ac:dyDescent="0.25">
      <c r="B14" s="65" t="s">
        <v>168</v>
      </c>
      <c r="C14" s="69" t="s">
        <v>184</v>
      </c>
      <c r="D14" s="68">
        <f t="shared" ref="D14:E24" si="1">+D13</f>
        <v>-428623.96448474581</v>
      </c>
      <c r="E14" s="77">
        <f t="shared" si="1"/>
        <v>4.4000000000000003E-3</v>
      </c>
      <c r="F14" s="65">
        <f t="shared" ref="F14:F24" si="2">+F13-1</f>
        <v>10.5</v>
      </c>
      <c r="G14" s="75">
        <f t="shared" si="0"/>
        <v>-19802.42715919526</v>
      </c>
      <c r="H14" s="75">
        <f t="shared" ref="H14:H24" si="3">+D14+G14</f>
        <v>-448426.39164394105</v>
      </c>
    </row>
    <row r="15" spans="1:8" x14ac:dyDescent="0.25">
      <c r="B15" s="65" t="s">
        <v>169</v>
      </c>
      <c r="C15" s="69" t="s">
        <v>184</v>
      </c>
      <c r="D15" s="68">
        <f t="shared" si="1"/>
        <v>-428623.96448474581</v>
      </c>
      <c r="E15" s="77">
        <f t="shared" si="1"/>
        <v>4.4000000000000003E-3</v>
      </c>
      <c r="F15" s="65">
        <f t="shared" si="2"/>
        <v>9.5</v>
      </c>
      <c r="G15" s="75">
        <f t="shared" si="0"/>
        <v>-17916.481715462378</v>
      </c>
      <c r="H15" s="75">
        <f t="shared" si="3"/>
        <v>-446540.44620020821</v>
      </c>
    </row>
    <row r="16" spans="1:8" x14ac:dyDescent="0.25">
      <c r="B16" s="65" t="s">
        <v>170</v>
      </c>
      <c r="C16" s="69" t="s">
        <v>184</v>
      </c>
      <c r="D16" s="68">
        <f t="shared" si="1"/>
        <v>-428623.96448474581</v>
      </c>
      <c r="E16" s="77">
        <f t="shared" si="1"/>
        <v>4.4000000000000003E-3</v>
      </c>
      <c r="F16" s="65">
        <f t="shared" si="2"/>
        <v>8.5</v>
      </c>
      <c r="G16" s="75">
        <f t="shared" si="0"/>
        <v>-16030.536271729494</v>
      </c>
      <c r="H16" s="75">
        <f t="shared" si="3"/>
        <v>-444654.50075647532</v>
      </c>
    </row>
    <row r="17" spans="2:8" x14ac:dyDescent="0.25">
      <c r="B17" s="65" t="s">
        <v>171</v>
      </c>
      <c r="C17" s="69" t="s">
        <v>184</v>
      </c>
      <c r="D17" s="68">
        <f t="shared" si="1"/>
        <v>-428623.96448474581</v>
      </c>
      <c r="E17" s="77">
        <f t="shared" si="1"/>
        <v>4.4000000000000003E-3</v>
      </c>
      <c r="F17" s="65">
        <f t="shared" si="2"/>
        <v>7.5</v>
      </c>
      <c r="G17" s="75">
        <f t="shared" si="0"/>
        <v>-14144.590827996612</v>
      </c>
      <c r="H17" s="75">
        <f t="shared" si="3"/>
        <v>-442768.55531274242</v>
      </c>
    </row>
    <row r="18" spans="2:8" x14ac:dyDescent="0.25">
      <c r="B18" s="65" t="s">
        <v>172</v>
      </c>
      <c r="C18" s="69" t="s">
        <v>184</v>
      </c>
      <c r="D18" s="68">
        <f t="shared" si="1"/>
        <v>-428623.96448474581</v>
      </c>
      <c r="E18" s="77">
        <f t="shared" si="1"/>
        <v>4.4000000000000003E-3</v>
      </c>
      <c r="F18" s="65">
        <f t="shared" si="2"/>
        <v>6.5</v>
      </c>
      <c r="G18" s="75">
        <f t="shared" si="0"/>
        <v>-12258.645384263731</v>
      </c>
      <c r="H18" s="75">
        <f t="shared" si="3"/>
        <v>-440882.60986900952</v>
      </c>
    </row>
    <row r="19" spans="2:8" x14ac:dyDescent="0.25">
      <c r="B19" s="65" t="s">
        <v>173</v>
      </c>
      <c r="C19" s="69" t="s">
        <v>184</v>
      </c>
      <c r="D19" s="68">
        <f t="shared" si="1"/>
        <v>-428623.96448474581</v>
      </c>
      <c r="E19" s="77">
        <f t="shared" si="1"/>
        <v>4.4000000000000003E-3</v>
      </c>
      <c r="F19" s="65">
        <f t="shared" si="2"/>
        <v>5.5</v>
      </c>
      <c r="G19" s="75">
        <f t="shared" si="0"/>
        <v>-10372.699940530851</v>
      </c>
      <c r="H19" s="75">
        <f t="shared" si="3"/>
        <v>-438996.66442527669</v>
      </c>
    </row>
    <row r="20" spans="2:8" x14ac:dyDescent="0.25">
      <c r="B20" s="65" t="s">
        <v>174</v>
      </c>
      <c r="C20" s="69" t="s">
        <v>184</v>
      </c>
      <c r="D20" s="68">
        <f t="shared" si="1"/>
        <v>-428623.96448474581</v>
      </c>
      <c r="E20" s="77">
        <f t="shared" si="1"/>
        <v>4.4000000000000003E-3</v>
      </c>
      <c r="F20" s="65">
        <f t="shared" si="2"/>
        <v>4.5</v>
      </c>
      <c r="G20" s="75">
        <f t="shared" si="0"/>
        <v>-8486.7544967979684</v>
      </c>
      <c r="H20" s="75">
        <f t="shared" si="3"/>
        <v>-437110.71898154379</v>
      </c>
    </row>
    <row r="21" spans="2:8" x14ac:dyDescent="0.25">
      <c r="B21" s="65" t="s">
        <v>175</v>
      </c>
      <c r="C21" s="69" t="s">
        <v>184</v>
      </c>
      <c r="D21" s="68">
        <f t="shared" si="1"/>
        <v>-428623.96448474581</v>
      </c>
      <c r="E21" s="77">
        <f t="shared" si="1"/>
        <v>4.4000000000000003E-3</v>
      </c>
      <c r="F21" s="65">
        <f t="shared" si="2"/>
        <v>3.5</v>
      </c>
      <c r="G21" s="75">
        <f t="shared" si="0"/>
        <v>-6600.8090530650861</v>
      </c>
      <c r="H21" s="75">
        <f t="shared" si="3"/>
        <v>-435224.77353781089</v>
      </c>
    </row>
    <row r="22" spans="2:8" x14ac:dyDescent="0.25">
      <c r="B22" s="65" t="s">
        <v>176</v>
      </c>
      <c r="C22" s="69" t="s">
        <v>184</v>
      </c>
      <c r="D22" s="68">
        <f t="shared" si="1"/>
        <v>-428623.96448474581</v>
      </c>
      <c r="E22" s="77">
        <f t="shared" si="1"/>
        <v>4.4000000000000003E-3</v>
      </c>
      <c r="F22" s="65">
        <f t="shared" si="2"/>
        <v>2.5</v>
      </c>
      <c r="G22" s="75">
        <f t="shared" si="0"/>
        <v>-4714.8636093322048</v>
      </c>
      <c r="H22" s="75">
        <f t="shared" si="3"/>
        <v>-433338.828094078</v>
      </c>
    </row>
    <row r="23" spans="2:8" x14ac:dyDescent="0.25">
      <c r="B23" s="65" t="s">
        <v>177</v>
      </c>
      <c r="C23" s="69" t="s">
        <v>184</v>
      </c>
      <c r="D23" s="68">
        <f t="shared" si="1"/>
        <v>-428623.96448474581</v>
      </c>
      <c r="E23" s="77">
        <f t="shared" si="1"/>
        <v>4.4000000000000003E-3</v>
      </c>
      <c r="F23" s="65">
        <f t="shared" si="2"/>
        <v>1.5</v>
      </c>
      <c r="G23" s="75">
        <f t="shared" si="0"/>
        <v>-2828.9181655993225</v>
      </c>
      <c r="H23" s="75">
        <f t="shared" si="3"/>
        <v>-431452.88265034516</v>
      </c>
    </row>
    <row r="24" spans="2:8" x14ac:dyDescent="0.25">
      <c r="B24" s="65" t="s">
        <v>178</v>
      </c>
      <c r="C24" s="69" t="s">
        <v>184</v>
      </c>
      <c r="D24" s="68">
        <f t="shared" si="1"/>
        <v>-428623.96448474581</v>
      </c>
      <c r="E24" s="77">
        <f t="shared" si="1"/>
        <v>4.4000000000000003E-3</v>
      </c>
      <c r="F24" s="65">
        <f t="shared" si="2"/>
        <v>0.5</v>
      </c>
      <c r="G24" s="75">
        <f t="shared" si="0"/>
        <v>-942.97272186644079</v>
      </c>
      <c r="H24" s="75">
        <f t="shared" si="3"/>
        <v>-429566.93720661226</v>
      </c>
    </row>
    <row r="25" spans="2:8" x14ac:dyDescent="0.25">
      <c r="B25" s="65" t="s">
        <v>10</v>
      </c>
      <c r="C25" s="65"/>
      <c r="D25" s="68">
        <f>SUM(D13:D24)</f>
        <v>-5143487.5738169486</v>
      </c>
      <c r="E25" s="65"/>
      <c r="F25" s="65"/>
      <c r="G25" s="65"/>
      <c r="H25" s="75">
        <f>SUM(H13:H24)</f>
        <v>-5279275.6457657171</v>
      </c>
    </row>
    <row r="26" spans="2:8" x14ac:dyDescent="0.25">
      <c r="B26" s="65"/>
      <c r="C26" s="65"/>
      <c r="D26" s="68"/>
      <c r="E26" s="65"/>
      <c r="F26" s="65"/>
      <c r="G26" s="65"/>
      <c r="H26" s="75"/>
    </row>
    <row r="27" spans="2:8" x14ac:dyDescent="0.25">
      <c r="B27" s="65"/>
      <c r="C27" s="65"/>
      <c r="D27" s="74" t="s">
        <v>179</v>
      </c>
      <c r="E27" s="69" t="s">
        <v>163</v>
      </c>
      <c r="F27" s="69" t="s">
        <v>180</v>
      </c>
      <c r="G27" s="69" t="s">
        <v>179</v>
      </c>
      <c r="H27" s="65"/>
    </row>
    <row r="28" spans="2:8" x14ac:dyDescent="0.25">
      <c r="B28" s="65" t="str">
        <f t="shared" ref="B28:B39" si="4">+B13</f>
        <v>Jun</v>
      </c>
      <c r="C28" s="69" t="s">
        <v>185</v>
      </c>
      <c r="D28" s="68">
        <f>+H25</f>
        <v>-5279275.6457657171</v>
      </c>
      <c r="E28" s="77">
        <f>+E24</f>
        <v>4.4000000000000003E-3</v>
      </c>
      <c r="F28" s="75">
        <f>-PMT(E28,12,H25)</f>
        <v>-452623.18041898287</v>
      </c>
      <c r="G28" s="75">
        <f t="shared" ref="G28:G39" si="5">+D28+D28*E28-F28</f>
        <v>-4849881.2781881029</v>
      </c>
      <c r="H28" s="65"/>
    </row>
    <row r="29" spans="2:8" x14ac:dyDescent="0.25">
      <c r="B29" s="65" t="str">
        <f t="shared" si="4"/>
        <v>Jul</v>
      </c>
      <c r="C29" s="69" t="str">
        <f t="shared" ref="C29:C39" si="6">+C28</f>
        <v>Year 2</v>
      </c>
      <c r="D29" s="68">
        <f t="shared" ref="D29:D39" si="7">+G28</f>
        <v>-4849881.2781881029</v>
      </c>
      <c r="E29" s="77">
        <f t="shared" ref="E29:F39" si="8">+E28</f>
        <v>4.4000000000000003E-3</v>
      </c>
      <c r="F29" s="68">
        <f t="shared" si="8"/>
        <v>-452623.18041898287</v>
      </c>
      <c r="G29" s="75">
        <f t="shared" si="5"/>
        <v>-4418597.5753931478</v>
      </c>
      <c r="H29" s="65"/>
    </row>
    <row r="30" spans="2:8" x14ac:dyDescent="0.25">
      <c r="B30" s="65" t="str">
        <f t="shared" si="4"/>
        <v>Aug</v>
      </c>
      <c r="C30" s="69" t="str">
        <f t="shared" si="6"/>
        <v>Year 2</v>
      </c>
      <c r="D30" s="68">
        <f t="shared" si="7"/>
        <v>-4418597.5753931478</v>
      </c>
      <c r="E30" s="77">
        <f t="shared" si="8"/>
        <v>4.4000000000000003E-3</v>
      </c>
      <c r="F30" s="68">
        <f t="shared" si="8"/>
        <v>-452623.18041898287</v>
      </c>
      <c r="G30" s="75">
        <f t="shared" si="5"/>
        <v>-3985416.2243058942</v>
      </c>
      <c r="H30" s="65"/>
    </row>
    <row r="31" spans="2:8" x14ac:dyDescent="0.25">
      <c r="B31" s="65" t="str">
        <f t="shared" si="4"/>
        <v>Sep</v>
      </c>
      <c r="C31" s="69" t="str">
        <f t="shared" si="6"/>
        <v>Year 2</v>
      </c>
      <c r="D31" s="68">
        <f t="shared" si="7"/>
        <v>-3985416.2243058942</v>
      </c>
      <c r="E31" s="77">
        <f t="shared" si="8"/>
        <v>4.4000000000000003E-3</v>
      </c>
      <c r="F31" s="68">
        <f t="shared" si="8"/>
        <v>-452623.18041898287</v>
      </c>
      <c r="G31" s="75">
        <f t="shared" si="5"/>
        <v>-3550328.8752738573</v>
      </c>
      <c r="H31" s="65"/>
    </row>
    <row r="32" spans="2:8" x14ac:dyDescent="0.25">
      <c r="B32" s="65" t="str">
        <f t="shared" si="4"/>
        <v>Oct</v>
      </c>
      <c r="C32" s="69" t="str">
        <f t="shared" si="6"/>
        <v>Year 2</v>
      </c>
      <c r="D32" s="68">
        <f t="shared" si="7"/>
        <v>-3550328.8752738573</v>
      </c>
      <c r="E32" s="77">
        <f t="shared" si="8"/>
        <v>4.4000000000000003E-3</v>
      </c>
      <c r="F32" s="68">
        <f t="shared" si="8"/>
        <v>-452623.18041898287</v>
      </c>
      <c r="G32" s="75">
        <f t="shared" si="5"/>
        <v>-3113327.1419060789</v>
      </c>
      <c r="H32" s="65"/>
    </row>
    <row r="33" spans="1:8" x14ac:dyDescent="0.25">
      <c r="B33" s="65" t="str">
        <f t="shared" si="4"/>
        <v>Nov</v>
      </c>
      <c r="C33" s="69" t="str">
        <f t="shared" si="6"/>
        <v>Year 2</v>
      </c>
      <c r="D33" s="68">
        <f t="shared" si="7"/>
        <v>-3113327.1419060789</v>
      </c>
      <c r="E33" s="77">
        <f t="shared" si="8"/>
        <v>4.4000000000000003E-3</v>
      </c>
      <c r="F33" s="68">
        <f t="shared" si="8"/>
        <v>-452623.18041898287</v>
      </c>
      <c r="G33" s="75">
        <f t="shared" si="5"/>
        <v>-2674402.6009114832</v>
      </c>
      <c r="H33" s="65"/>
    </row>
    <row r="34" spans="1:8" x14ac:dyDescent="0.25">
      <c r="B34" s="65" t="str">
        <f t="shared" si="4"/>
        <v>Dec</v>
      </c>
      <c r="C34" s="69" t="str">
        <f t="shared" si="6"/>
        <v>Year 2</v>
      </c>
      <c r="D34" s="68">
        <f t="shared" si="7"/>
        <v>-2674402.6009114832</v>
      </c>
      <c r="E34" s="77">
        <f t="shared" si="8"/>
        <v>4.4000000000000003E-3</v>
      </c>
      <c r="F34" s="68">
        <f t="shared" si="8"/>
        <v>-452623.18041898287</v>
      </c>
      <c r="G34" s="75">
        <f t="shared" si="5"/>
        <v>-2233546.7919365112</v>
      </c>
      <c r="H34" s="65"/>
    </row>
    <row r="35" spans="1:8" x14ac:dyDescent="0.25">
      <c r="B35" s="65" t="str">
        <f t="shared" si="4"/>
        <v>Jan</v>
      </c>
      <c r="C35" s="69" t="str">
        <f t="shared" si="6"/>
        <v>Year 2</v>
      </c>
      <c r="D35" s="68">
        <f t="shared" si="7"/>
        <v>-2233546.7919365112</v>
      </c>
      <c r="E35" s="77">
        <f t="shared" si="8"/>
        <v>4.4000000000000003E-3</v>
      </c>
      <c r="F35" s="68">
        <f t="shared" si="8"/>
        <v>-452623.18041898287</v>
      </c>
      <c r="G35" s="75">
        <f t="shared" si="5"/>
        <v>-1790751.2174020491</v>
      </c>
      <c r="H35" s="65"/>
    </row>
    <row r="36" spans="1:8" x14ac:dyDescent="0.25">
      <c r="B36" s="65" t="str">
        <f t="shared" si="4"/>
        <v>Feb</v>
      </c>
      <c r="C36" s="69" t="str">
        <f t="shared" si="6"/>
        <v>Year 2</v>
      </c>
      <c r="D36" s="68">
        <f t="shared" si="7"/>
        <v>-1790751.2174020491</v>
      </c>
      <c r="E36" s="77">
        <f t="shared" si="8"/>
        <v>4.4000000000000003E-3</v>
      </c>
      <c r="F36" s="68">
        <f t="shared" si="8"/>
        <v>-452623.18041898287</v>
      </c>
      <c r="G36" s="75">
        <f t="shared" si="5"/>
        <v>-1346007.3423396354</v>
      </c>
      <c r="H36" s="65"/>
    </row>
    <row r="37" spans="1:8" x14ac:dyDescent="0.25">
      <c r="B37" s="65" t="str">
        <f t="shared" si="4"/>
        <v>Mar</v>
      </c>
      <c r="C37" s="69" t="str">
        <f t="shared" si="6"/>
        <v>Year 2</v>
      </c>
      <c r="D37" s="68">
        <f t="shared" si="7"/>
        <v>-1346007.3423396354</v>
      </c>
      <c r="E37" s="77">
        <f t="shared" si="8"/>
        <v>4.4000000000000003E-3</v>
      </c>
      <c r="F37" s="68">
        <f t="shared" si="8"/>
        <v>-452623.18041898287</v>
      </c>
      <c r="G37" s="75">
        <f t="shared" si="5"/>
        <v>-899306.59422694682</v>
      </c>
      <c r="H37" s="65"/>
    </row>
    <row r="38" spans="1:8" x14ac:dyDescent="0.25">
      <c r="B38" s="65" t="str">
        <f t="shared" si="4"/>
        <v>Apr</v>
      </c>
      <c r="C38" s="69" t="str">
        <f t="shared" si="6"/>
        <v>Year 2</v>
      </c>
      <c r="D38" s="68">
        <f t="shared" si="7"/>
        <v>-899306.59422694682</v>
      </c>
      <c r="E38" s="77">
        <f t="shared" si="8"/>
        <v>4.4000000000000003E-3</v>
      </c>
      <c r="F38" s="68">
        <f t="shared" si="8"/>
        <v>-452623.18041898287</v>
      </c>
      <c r="G38" s="75">
        <f t="shared" si="5"/>
        <v>-450640.36282256257</v>
      </c>
      <c r="H38" s="65"/>
    </row>
    <row r="39" spans="1:8" x14ac:dyDescent="0.25">
      <c r="B39" s="65" t="str">
        <f t="shared" si="4"/>
        <v>May</v>
      </c>
      <c r="C39" s="69" t="str">
        <f t="shared" si="6"/>
        <v>Year 2</v>
      </c>
      <c r="D39" s="68">
        <f t="shared" si="7"/>
        <v>-450640.36282256257</v>
      </c>
      <c r="E39" s="77">
        <f t="shared" si="8"/>
        <v>4.4000000000000003E-3</v>
      </c>
      <c r="F39" s="68">
        <f t="shared" si="8"/>
        <v>-452623.18041898287</v>
      </c>
      <c r="G39" s="75">
        <f t="shared" si="5"/>
        <v>1.0477378964424133E-9</v>
      </c>
      <c r="H39" s="65"/>
    </row>
    <row r="40" spans="1:8" x14ac:dyDescent="0.25">
      <c r="B40" s="65" t="s">
        <v>181</v>
      </c>
      <c r="C40" s="65"/>
      <c r="D40" s="65"/>
      <c r="E40" s="65"/>
      <c r="F40" s="68">
        <f>SUM(F28:F39)</f>
        <v>-5431478.1650277963</v>
      </c>
      <c r="G40" s="65"/>
      <c r="H40" s="65"/>
    </row>
    <row r="41" spans="1:8" x14ac:dyDescent="0.25">
      <c r="B41" s="65" t="s">
        <v>182</v>
      </c>
      <c r="C41" s="65"/>
      <c r="D41" s="65"/>
      <c r="E41" s="65"/>
      <c r="F41" s="78">
        <f>+F40-F7</f>
        <v>-287990.59121084679</v>
      </c>
      <c r="G41" s="65"/>
      <c r="H41" s="65"/>
    </row>
    <row r="44" spans="1:8" x14ac:dyDescent="0.25">
      <c r="A44" s="62" t="s">
        <v>183</v>
      </c>
      <c r="E44" s="63"/>
    </row>
    <row r="45" spans="1:8" x14ac:dyDescent="0.25">
      <c r="B45" s="64"/>
      <c r="C45" s="65"/>
      <c r="D45" s="65"/>
      <c r="E45" s="65"/>
      <c r="F45" s="65"/>
      <c r="G45" s="65"/>
      <c r="H45" s="65"/>
    </row>
    <row r="46" spans="1:8" x14ac:dyDescent="0.25">
      <c r="A46" s="66" t="str">
        <f>A4</f>
        <v>Note:  Interest calculation below taken directly from "Attachment 6 - Estimate &amp; True-up Worksheet" of the PJM Tariff</v>
      </c>
      <c r="B46" s="64"/>
      <c r="C46" s="65"/>
      <c r="D46" s="65"/>
      <c r="E46" s="65"/>
      <c r="F46" s="65"/>
      <c r="G46" s="65"/>
      <c r="H46" s="65"/>
    </row>
    <row r="47" spans="1:8" x14ac:dyDescent="0.25">
      <c r="B47" s="64"/>
      <c r="C47" s="65"/>
      <c r="D47" s="65"/>
      <c r="E47" s="65"/>
      <c r="F47" s="65"/>
      <c r="G47" s="65"/>
      <c r="H47" s="65"/>
    </row>
    <row r="48" spans="1:8" x14ac:dyDescent="0.25">
      <c r="B48" s="64" t="s">
        <v>155</v>
      </c>
      <c r="C48" s="65"/>
      <c r="D48" s="65" t="s">
        <v>156</v>
      </c>
      <c r="E48" s="65"/>
      <c r="F48" s="67"/>
      <c r="G48" s="65"/>
      <c r="H48" s="65"/>
    </row>
    <row r="49" spans="2:8" x14ac:dyDescent="0.25">
      <c r="B49" s="68">
        <f>'ATT 5- FAS 109 Suppt (2)'!J19</f>
        <v>642882.59469800722</v>
      </c>
      <c r="C49" s="69" t="str">
        <f>"-"</f>
        <v>-</v>
      </c>
      <c r="D49" s="70">
        <v>0</v>
      </c>
      <c r="E49" s="69" t="str">
        <f>"="</f>
        <v>=</v>
      </c>
      <c r="F49" s="70">
        <f>+B49-D49</f>
        <v>642882.59469800722</v>
      </c>
      <c r="G49" s="65"/>
      <c r="H49" s="65"/>
    </row>
    <row r="50" spans="2:8" x14ac:dyDescent="0.25">
      <c r="B50" s="71"/>
      <c r="C50" s="69"/>
      <c r="D50" s="70"/>
      <c r="E50" s="69"/>
      <c r="F50" s="70"/>
      <c r="G50" s="65"/>
      <c r="H50" s="65"/>
    </row>
    <row r="51" spans="2:8" x14ac:dyDescent="0.25">
      <c r="B51" s="72" t="s">
        <v>157</v>
      </c>
      <c r="C51" s="69"/>
      <c r="D51" s="70"/>
      <c r="E51" s="69"/>
      <c r="F51" s="68"/>
      <c r="G51" s="65"/>
      <c r="H51" s="65"/>
    </row>
    <row r="52" spans="2:8" x14ac:dyDescent="0.25">
      <c r="B52" s="72" t="s">
        <v>158</v>
      </c>
      <c r="C52" s="69"/>
      <c r="D52" s="73">
        <v>4.4000000000000003E-3</v>
      </c>
      <c r="E52" s="69"/>
      <c r="F52" s="68"/>
      <c r="G52" s="65"/>
      <c r="H52" s="65"/>
    </row>
    <row r="53" spans="2:8" x14ac:dyDescent="0.25">
      <c r="B53" s="74" t="s">
        <v>159</v>
      </c>
      <c r="C53" s="69" t="s">
        <v>160</v>
      </c>
      <c r="D53" s="69" t="s">
        <v>161</v>
      </c>
      <c r="E53" s="74" t="s">
        <v>162</v>
      </c>
      <c r="F53" s="69"/>
      <c r="G53" s="74" t="s">
        <v>163</v>
      </c>
      <c r="H53" s="69" t="s">
        <v>164</v>
      </c>
    </row>
    <row r="54" spans="2:8" x14ac:dyDescent="0.25">
      <c r="B54" s="69"/>
      <c r="C54" s="69"/>
      <c r="D54" s="69"/>
      <c r="E54" s="69" t="s">
        <v>165</v>
      </c>
      <c r="F54" s="69" t="s">
        <v>166</v>
      </c>
      <c r="G54" s="69"/>
      <c r="H54" s="69"/>
    </row>
    <row r="55" spans="2:8" x14ac:dyDescent="0.25">
      <c r="B55" s="65" t="s">
        <v>167</v>
      </c>
      <c r="C55" s="69" t="s">
        <v>184</v>
      </c>
      <c r="D55" s="75">
        <f>+F49/12</f>
        <v>53573.549558167266</v>
      </c>
      <c r="E55" s="76">
        <f>+D52</f>
        <v>4.4000000000000003E-3</v>
      </c>
      <c r="F55" s="65">
        <v>11.5</v>
      </c>
      <c r="G55" s="75">
        <f t="shared" ref="G55:G66" si="9">+F55*E55*D55</f>
        <v>2710.8216076432641</v>
      </c>
      <c r="H55" s="75">
        <f t="shared" ref="H55:H66" si="10">+D55+G55</f>
        <v>56284.371165810531</v>
      </c>
    </row>
    <row r="56" spans="2:8" x14ac:dyDescent="0.25">
      <c r="B56" s="65" t="s">
        <v>168</v>
      </c>
      <c r="C56" s="69" t="s">
        <v>184</v>
      </c>
      <c r="D56" s="68">
        <f t="shared" ref="D56:E66" si="11">+D55</f>
        <v>53573.549558167266</v>
      </c>
      <c r="E56" s="77">
        <f t="shared" si="11"/>
        <v>4.4000000000000003E-3</v>
      </c>
      <c r="F56" s="65">
        <f t="shared" ref="F56:F66" si="12">+F55-1</f>
        <v>10.5</v>
      </c>
      <c r="G56" s="75">
        <f t="shared" si="9"/>
        <v>2475.0979895873279</v>
      </c>
      <c r="H56" s="75">
        <f t="shared" si="10"/>
        <v>56048.64754775459</v>
      </c>
    </row>
    <row r="57" spans="2:8" x14ac:dyDescent="0.25">
      <c r="B57" s="65" t="s">
        <v>169</v>
      </c>
      <c r="C57" s="69" t="s">
        <v>184</v>
      </c>
      <c r="D57" s="68">
        <f t="shared" si="11"/>
        <v>53573.549558167266</v>
      </c>
      <c r="E57" s="77">
        <f t="shared" si="11"/>
        <v>4.4000000000000003E-3</v>
      </c>
      <c r="F57" s="65">
        <f t="shared" si="12"/>
        <v>9.5</v>
      </c>
      <c r="G57" s="75">
        <f t="shared" si="9"/>
        <v>2239.3743715313917</v>
      </c>
      <c r="H57" s="75">
        <f t="shared" si="10"/>
        <v>55812.923929698656</v>
      </c>
    </row>
    <row r="58" spans="2:8" x14ac:dyDescent="0.25">
      <c r="B58" s="65" t="s">
        <v>170</v>
      </c>
      <c r="C58" s="69" t="s">
        <v>184</v>
      </c>
      <c r="D58" s="68">
        <f t="shared" si="11"/>
        <v>53573.549558167266</v>
      </c>
      <c r="E58" s="77">
        <f t="shared" si="11"/>
        <v>4.4000000000000003E-3</v>
      </c>
      <c r="F58" s="65">
        <f t="shared" si="12"/>
        <v>8.5</v>
      </c>
      <c r="G58" s="75">
        <f t="shared" si="9"/>
        <v>2003.650753475456</v>
      </c>
      <c r="H58" s="75">
        <f t="shared" si="10"/>
        <v>55577.200311642722</v>
      </c>
    </row>
    <row r="59" spans="2:8" x14ac:dyDescent="0.25">
      <c r="B59" s="65" t="s">
        <v>171</v>
      </c>
      <c r="C59" s="69" t="s">
        <v>184</v>
      </c>
      <c r="D59" s="68">
        <f t="shared" si="11"/>
        <v>53573.549558167266</v>
      </c>
      <c r="E59" s="77">
        <f t="shared" si="11"/>
        <v>4.4000000000000003E-3</v>
      </c>
      <c r="F59" s="65">
        <f t="shared" si="12"/>
        <v>7.5</v>
      </c>
      <c r="G59" s="75">
        <f t="shared" si="9"/>
        <v>1767.9271354195198</v>
      </c>
      <c r="H59" s="75">
        <f t="shared" si="10"/>
        <v>55341.476693586788</v>
      </c>
    </row>
    <row r="60" spans="2:8" x14ac:dyDescent="0.25">
      <c r="B60" s="65" t="s">
        <v>172</v>
      </c>
      <c r="C60" s="69" t="s">
        <v>184</v>
      </c>
      <c r="D60" s="68">
        <f t="shared" si="11"/>
        <v>53573.549558167266</v>
      </c>
      <c r="E60" s="77">
        <f t="shared" si="11"/>
        <v>4.4000000000000003E-3</v>
      </c>
      <c r="F60" s="65">
        <f t="shared" si="12"/>
        <v>6.5</v>
      </c>
      <c r="G60" s="75">
        <f t="shared" si="9"/>
        <v>1532.2035173635838</v>
      </c>
      <c r="H60" s="75">
        <f t="shared" si="10"/>
        <v>55105.753075530847</v>
      </c>
    </row>
    <row r="61" spans="2:8" x14ac:dyDescent="0.25">
      <c r="B61" s="65" t="s">
        <v>173</v>
      </c>
      <c r="C61" s="69" t="s">
        <v>184</v>
      </c>
      <c r="D61" s="68">
        <f t="shared" si="11"/>
        <v>53573.549558167266</v>
      </c>
      <c r="E61" s="77">
        <f t="shared" si="11"/>
        <v>4.4000000000000003E-3</v>
      </c>
      <c r="F61" s="65">
        <f t="shared" si="12"/>
        <v>5.5</v>
      </c>
      <c r="G61" s="75">
        <f t="shared" si="9"/>
        <v>1296.4798993076479</v>
      </c>
      <c r="H61" s="75">
        <f t="shared" si="10"/>
        <v>54870.029457474913</v>
      </c>
    </row>
    <row r="62" spans="2:8" x14ac:dyDescent="0.25">
      <c r="B62" s="65" t="s">
        <v>174</v>
      </c>
      <c r="C62" s="69" t="s">
        <v>184</v>
      </c>
      <c r="D62" s="68">
        <f t="shared" si="11"/>
        <v>53573.549558167266</v>
      </c>
      <c r="E62" s="77">
        <f t="shared" si="11"/>
        <v>4.4000000000000003E-3</v>
      </c>
      <c r="F62" s="65">
        <f t="shared" si="12"/>
        <v>4.5</v>
      </c>
      <c r="G62" s="75">
        <f t="shared" si="9"/>
        <v>1060.7562812517119</v>
      </c>
      <c r="H62" s="75">
        <f t="shared" si="10"/>
        <v>54634.305839418979</v>
      </c>
    </row>
    <row r="63" spans="2:8" x14ac:dyDescent="0.25">
      <c r="B63" s="65" t="s">
        <v>175</v>
      </c>
      <c r="C63" s="69" t="s">
        <v>184</v>
      </c>
      <c r="D63" s="68">
        <f t="shared" si="11"/>
        <v>53573.549558167266</v>
      </c>
      <c r="E63" s="77">
        <f t="shared" si="11"/>
        <v>4.4000000000000003E-3</v>
      </c>
      <c r="F63" s="65">
        <f t="shared" si="12"/>
        <v>3.5</v>
      </c>
      <c r="G63" s="75">
        <f t="shared" si="9"/>
        <v>825.03266319577597</v>
      </c>
      <c r="H63" s="75">
        <f t="shared" si="10"/>
        <v>54398.582221363045</v>
      </c>
    </row>
    <row r="64" spans="2:8" x14ac:dyDescent="0.25">
      <c r="B64" s="65" t="s">
        <v>176</v>
      </c>
      <c r="C64" s="69" t="s">
        <v>184</v>
      </c>
      <c r="D64" s="68">
        <f t="shared" si="11"/>
        <v>53573.549558167266</v>
      </c>
      <c r="E64" s="77">
        <f t="shared" si="11"/>
        <v>4.4000000000000003E-3</v>
      </c>
      <c r="F64" s="65">
        <f t="shared" si="12"/>
        <v>2.5</v>
      </c>
      <c r="G64" s="75">
        <f t="shared" si="9"/>
        <v>589.30904513984001</v>
      </c>
      <c r="H64" s="75">
        <f t="shared" si="10"/>
        <v>54162.858603307104</v>
      </c>
    </row>
    <row r="65" spans="2:8" x14ac:dyDescent="0.25">
      <c r="B65" s="65" t="s">
        <v>177</v>
      </c>
      <c r="C65" s="69" t="s">
        <v>184</v>
      </c>
      <c r="D65" s="68">
        <f t="shared" si="11"/>
        <v>53573.549558167266</v>
      </c>
      <c r="E65" s="77">
        <f t="shared" si="11"/>
        <v>4.4000000000000003E-3</v>
      </c>
      <c r="F65" s="65">
        <f t="shared" si="12"/>
        <v>1.5</v>
      </c>
      <c r="G65" s="75">
        <f t="shared" si="9"/>
        <v>353.58542708390394</v>
      </c>
      <c r="H65" s="75">
        <f t="shared" si="10"/>
        <v>53927.13498525117</v>
      </c>
    </row>
    <row r="66" spans="2:8" x14ac:dyDescent="0.25">
      <c r="B66" s="65" t="s">
        <v>178</v>
      </c>
      <c r="C66" s="69" t="s">
        <v>184</v>
      </c>
      <c r="D66" s="68">
        <f t="shared" si="11"/>
        <v>53573.549558167266</v>
      </c>
      <c r="E66" s="77">
        <f t="shared" si="11"/>
        <v>4.4000000000000003E-3</v>
      </c>
      <c r="F66" s="65">
        <f t="shared" si="12"/>
        <v>0.5</v>
      </c>
      <c r="G66" s="75">
        <f t="shared" si="9"/>
        <v>117.86180902796799</v>
      </c>
      <c r="H66" s="75">
        <f t="shared" si="10"/>
        <v>53691.411367195236</v>
      </c>
    </row>
    <row r="67" spans="2:8" x14ac:dyDescent="0.25">
      <c r="B67" s="65" t="s">
        <v>10</v>
      </c>
      <c r="C67" s="65"/>
      <c r="D67" s="68">
        <f>SUM(D55:D66)</f>
        <v>642882.59469800722</v>
      </c>
      <c r="E67" s="65"/>
      <c r="F67" s="65"/>
      <c r="G67" s="65"/>
      <c r="H67" s="75">
        <f>SUM(H55:H66)</f>
        <v>659854.6951980344</v>
      </c>
    </row>
    <row r="68" spans="2:8" x14ac:dyDescent="0.25">
      <c r="B68" s="65"/>
      <c r="C68" s="65"/>
      <c r="D68" s="68"/>
      <c r="E68" s="65"/>
      <c r="F68" s="65"/>
      <c r="G68" s="65"/>
      <c r="H68" s="75"/>
    </row>
    <row r="69" spans="2:8" x14ac:dyDescent="0.25">
      <c r="B69" s="65"/>
      <c r="C69" s="65"/>
      <c r="D69" s="74" t="s">
        <v>179</v>
      </c>
      <c r="E69" s="69" t="s">
        <v>163</v>
      </c>
      <c r="F69" s="69" t="s">
        <v>180</v>
      </c>
      <c r="G69" s="69" t="s">
        <v>179</v>
      </c>
      <c r="H69" s="65"/>
    </row>
    <row r="70" spans="2:8" x14ac:dyDescent="0.25">
      <c r="B70" s="65" t="str">
        <f t="shared" ref="B70:B81" si="13">+B55</f>
        <v>Jun</v>
      </c>
      <c r="C70" s="69" t="s">
        <v>185</v>
      </c>
      <c r="D70" s="68">
        <f>+H67</f>
        <v>659854.6951980344</v>
      </c>
      <c r="E70" s="77">
        <f>+E66</f>
        <v>4.4000000000000003E-3</v>
      </c>
      <c r="F70" s="75">
        <f>-PMT(E70,12,H67)</f>
        <v>56573.202612460627</v>
      </c>
      <c r="G70" s="75">
        <f t="shared" ref="G70:G81" si="14">+D70+D70*E70-F70</f>
        <v>606184.85324444517</v>
      </c>
      <c r="H70" s="65"/>
    </row>
    <row r="71" spans="2:8" x14ac:dyDescent="0.25">
      <c r="B71" s="65" t="str">
        <f t="shared" si="13"/>
        <v>Jul</v>
      </c>
      <c r="C71" s="69" t="str">
        <f t="shared" ref="C71:C81" si="15">+C70</f>
        <v>Year 2</v>
      </c>
      <c r="D71" s="68">
        <f t="shared" ref="D71:D81" si="16">+G70</f>
        <v>606184.85324444517</v>
      </c>
      <c r="E71" s="77">
        <f t="shared" ref="E71:F81" si="17">+E70</f>
        <v>4.4000000000000003E-3</v>
      </c>
      <c r="F71" s="68">
        <f t="shared" si="17"/>
        <v>56573.202612460627</v>
      </c>
      <c r="G71" s="75">
        <f t="shared" si="14"/>
        <v>552278.86398626014</v>
      </c>
      <c r="H71" s="65"/>
    </row>
    <row r="72" spans="2:8" x14ac:dyDescent="0.25">
      <c r="B72" s="65" t="str">
        <f t="shared" si="13"/>
        <v>Aug</v>
      </c>
      <c r="C72" s="69" t="str">
        <f t="shared" si="15"/>
        <v>Year 2</v>
      </c>
      <c r="D72" s="68">
        <f t="shared" si="16"/>
        <v>552278.86398626014</v>
      </c>
      <c r="E72" s="77">
        <f t="shared" si="17"/>
        <v>4.4000000000000003E-3</v>
      </c>
      <c r="F72" s="68">
        <f t="shared" si="17"/>
        <v>56573.202612460627</v>
      </c>
      <c r="G72" s="75">
        <f t="shared" si="14"/>
        <v>498135.68837533909</v>
      </c>
      <c r="H72" s="65"/>
    </row>
    <row r="73" spans="2:8" x14ac:dyDescent="0.25">
      <c r="B73" s="65" t="str">
        <f t="shared" si="13"/>
        <v>Sep</v>
      </c>
      <c r="C73" s="69" t="str">
        <f t="shared" si="15"/>
        <v>Year 2</v>
      </c>
      <c r="D73" s="68">
        <f t="shared" si="16"/>
        <v>498135.68837533909</v>
      </c>
      <c r="E73" s="77">
        <f t="shared" si="17"/>
        <v>4.4000000000000003E-3</v>
      </c>
      <c r="F73" s="68">
        <f t="shared" si="17"/>
        <v>56573.202612460627</v>
      </c>
      <c r="G73" s="75">
        <f t="shared" si="14"/>
        <v>443754.28279172996</v>
      </c>
      <c r="H73" s="65"/>
    </row>
    <row r="74" spans="2:8" x14ac:dyDescent="0.25">
      <c r="B74" s="65" t="str">
        <f t="shared" si="13"/>
        <v>Oct</v>
      </c>
      <c r="C74" s="69" t="str">
        <f t="shared" si="15"/>
        <v>Year 2</v>
      </c>
      <c r="D74" s="68">
        <f t="shared" si="16"/>
        <v>443754.28279172996</v>
      </c>
      <c r="E74" s="77">
        <f t="shared" si="17"/>
        <v>4.4000000000000003E-3</v>
      </c>
      <c r="F74" s="68">
        <f t="shared" si="17"/>
        <v>56573.202612460627</v>
      </c>
      <c r="G74" s="75">
        <f t="shared" si="14"/>
        <v>389133.5990235529</v>
      </c>
      <c r="H74" s="65"/>
    </row>
    <row r="75" spans="2:8" x14ac:dyDescent="0.25">
      <c r="B75" s="65" t="str">
        <f t="shared" si="13"/>
        <v>Nov</v>
      </c>
      <c r="C75" s="69" t="str">
        <f t="shared" si="15"/>
        <v>Year 2</v>
      </c>
      <c r="D75" s="68">
        <f t="shared" si="16"/>
        <v>389133.5990235529</v>
      </c>
      <c r="E75" s="77">
        <f t="shared" si="17"/>
        <v>4.4000000000000003E-3</v>
      </c>
      <c r="F75" s="68">
        <f t="shared" si="17"/>
        <v>56573.202612460627</v>
      </c>
      <c r="G75" s="75">
        <f t="shared" si="14"/>
        <v>334272.58424679586</v>
      </c>
      <c r="H75" s="65"/>
    </row>
    <row r="76" spans="2:8" x14ac:dyDescent="0.25">
      <c r="B76" s="65" t="str">
        <f t="shared" si="13"/>
        <v>Dec</v>
      </c>
      <c r="C76" s="69" t="str">
        <f t="shared" si="15"/>
        <v>Year 2</v>
      </c>
      <c r="D76" s="68">
        <f t="shared" si="16"/>
        <v>334272.58424679586</v>
      </c>
      <c r="E76" s="77">
        <f t="shared" si="17"/>
        <v>4.4000000000000003E-3</v>
      </c>
      <c r="F76" s="68">
        <f t="shared" si="17"/>
        <v>56573.202612460627</v>
      </c>
      <c r="G76" s="75">
        <f t="shared" si="14"/>
        <v>279170.18100502109</v>
      </c>
      <c r="H76" s="65"/>
    </row>
    <row r="77" spans="2:8" x14ac:dyDescent="0.25">
      <c r="B77" s="65" t="str">
        <f t="shared" si="13"/>
        <v>Jan</v>
      </c>
      <c r="C77" s="69" t="str">
        <f t="shared" si="15"/>
        <v>Year 2</v>
      </c>
      <c r="D77" s="68">
        <f t="shared" si="16"/>
        <v>279170.18100502109</v>
      </c>
      <c r="E77" s="77">
        <f t="shared" si="17"/>
        <v>4.4000000000000003E-3</v>
      </c>
      <c r="F77" s="68">
        <f t="shared" si="17"/>
        <v>56573.202612460627</v>
      </c>
      <c r="G77" s="75">
        <f t="shared" si="14"/>
        <v>223825.32718898254</v>
      </c>
      <c r="H77" s="65"/>
    </row>
    <row r="78" spans="2:8" x14ac:dyDescent="0.25">
      <c r="B78" s="65" t="str">
        <f t="shared" si="13"/>
        <v>Feb</v>
      </c>
      <c r="C78" s="69" t="str">
        <f t="shared" si="15"/>
        <v>Year 2</v>
      </c>
      <c r="D78" s="68">
        <f t="shared" si="16"/>
        <v>223825.32718898254</v>
      </c>
      <c r="E78" s="77">
        <f t="shared" si="17"/>
        <v>4.4000000000000003E-3</v>
      </c>
      <c r="F78" s="68">
        <f t="shared" si="17"/>
        <v>56573.202612460627</v>
      </c>
      <c r="G78" s="75">
        <f t="shared" si="14"/>
        <v>168236.95601615345</v>
      </c>
      <c r="H78" s="65"/>
    </row>
    <row r="79" spans="2:8" x14ac:dyDescent="0.25">
      <c r="B79" s="65" t="str">
        <f t="shared" si="13"/>
        <v>Mar</v>
      </c>
      <c r="C79" s="69" t="str">
        <f t="shared" si="15"/>
        <v>Year 2</v>
      </c>
      <c r="D79" s="68">
        <f t="shared" si="16"/>
        <v>168236.95601615345</v>
      </c>
      <c r="E79" s="77">
        <f t="shared" si="17"/>
        <v>4.4000000000000003E-3</v>
      </c>
      <c r="F79" s="68">
        <f t="shared" si="17"/>
        <v>56573.202612460627</v>
      </c>
      <c r="G79" s="75">
        <f t="shared" si="14"/>
        <v>112403.99601016392</v>
      </c>
      <c r="H79" s="65"/>
    </row>
    <row r="80" spans="2:8" x14ac:dyDescent="0.25">
      <c r="B80" s="65" t="str">
        <f t="shared" si="13"/>
        <v>Apr</v>
      </c>
      <c r="C80" s="69" t="str">
        <f t="shared" si="15"/>
        <v>Year 2</v>
      </c>
      <c r="D80" s="68">
        <f t="shared" si="16"/>
        <v>112403.99601016392</v>
      </c>
      <c r="E80" s="77">
        <f t="shared" si="17"/>
        <v>4.4000000000000003E-3</v>
      </c>
      <c r="F80" s="68">
        <f t="shared" si="17"/>
        <v>56573.202612460627</v>
      </c>
      <c r="G80" s="75">
        <f t="shared" si="14"/>
        <v>56325.370980148007</v>
      </c>
      <c r="H80" s="65"/>
    </row>
    <row r="81" spans="2:8" x14ac:dyDescent="0.25">
      <c r="B81" s="65" t="str">
        <f t="shared" si="13"/>
        <v>May</v>
      </c>
      <c r="C81" s="69" t="str">
        <f t="shared" si="15"/>
        <v>Year 2</v>
      </c>
      <c r="D81" s="68">
        <f t="shared" si="16"/>
        <v>56325.370980148007</v>
      </c>
      <c r="E81" s="77">
        <f t="shared" si="17"/>
        <v>4.4000000000000003E-3</v>
      </c>
      <c r="F81" s="68">
        <f t="shared" si="17"/>
        <v>56573.202612460627</v>
      </c>
      <c r="G81" s="75">
        <f t="shared" si="14"/>
        <v>0</v>
      </c>
      <c r="H81" s="65"/>
    </row>
    <row r="82" spans="2:8" x14ac:dyDescent="0.25">
      <c r="B82" s="65" t="s">
        <v>181</v>
      </c>
      <c r="C82" s="65"/>
      <c r="D82" s="65"/>
      <c r="E82" s="65"/>
      <c r="F82" s="68">
        <f>SUM(F70:F81)</f>
        <v>678878.43134952756</v>
      </c>
      <c r="G82" s="65"/>
      <c r="H82" s="65"/>
    </row>
    <row r="83" spans="2:8" x14ac:dyDescent="0.25">
      <c r="B83" s="65" t="s">
        <v>182</v>
      </c>
      <c r="C83" s="65"/>
      <c r="D83" s="65"/>
      <c r="E83" s="65"/>
      <c r="F83" s="78">
        <f>+F82-F49</f>
        <v>35995.836651520338</v>
      </c>
    </row>
    <row r="85" spans="2:8" x14ac:dyDescent="0.25">
      <c r="F85" s="79"/>
    </row>
  </sheetData>
  <pageMargins left="0.45" right="0.35" top="0.75" bottom="0.75" header="0.3" footer="0.3"/>
  <pageSetup orientation="portrait" r:id="rId1"/>
  <rowBreaks count="1" manualBreakCount="1">
    <brk id="43" max="16383" man="1"/>
  </rowBreaks>
  <ignoredErrors>
    <ignoredError sqref="D71:D81 D29: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ATT 3</vt:lpstr>
      <vt:lpstr>ATT 3 &amp; ATT 6</vt:lpstr>
      <vt:lpstr>ATT 5- FAS 109 Suppt (1)</vt:lpstr>
      <vt:lpstr>ATT 5- FAS 109 Suppt (2)</vt:lpstr>
      <vt:lpstr>ATT 5- FAS 109 Suppt (3)</vt:lpstr>
      <vt:lpstr>'ATT 3 &amp; ATT 6'!Print_Area</vt:lpstr>
      <vt:lpstr>'ATT 5- FAS 109 Suppt (1)'!Print_Area</vt:lpstr>
      <vt:lpstr>'ATT 5- FAS 109 Suppt (2)'!Print_Area</vt:lpstr>
      <vt:lpstr>'ATT 5- FAS 109 Suppt (3)'!Print_Area</vt:lpstr>
      <vt:lpstr>'ATT 3 &amp; ATT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2016-04-26T15:05:03Z</dcterms:created>
  <dcterms:modified xsi:type="dcterms:W3CDTF">2019-05-08T15:11:52Z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