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U:\Corp\Rates\Akr\Rates\FERC Transmission\TrAIL\Rate Updates\2020\Filed Documents\"/>
    </mc:Choice>
  </mc:AlternateContent>
  <xr:revisionPtr revIDLastSave="0" documentId="13_ncr:1_{9501CC4C-C2EF-4A77-BBCA-8BE3A7E1FDBF}" xr6:coauthVersionLast="45" xr6:coauthVersionMax="45" xr10:uidLastSave="{00000000-0000-0000-0000-000000000000}"/>
  <bookViews>
    <workbookView xWindow="-108" yWindow="-108" windowWidth="23256" windowHeight="12576" tabRatio="994" xr2:uid="{00000000-000D-0000-FFFF-FFFF00000000}"/>
  </bookViews>
  <sheets>
    <sheet name="Appendix A" sheetId="1" r:id="rId1"/>
    <sheet name="ATT 1-ADIT" sheetId="12" r:id="rId2"/>
    <sheet name="ATT 2 - Other Taxes" sheetId="3" r:id="rId3"/>
    <sheet name="3 - Revenue Credits" sheetId="5" r:id="rId4"/>
    <sheet name="4 - Incentive ROE Adj" sheetId="6" r:id="rId5"/>
    <sheet name="5 - Cost Support" sheetId="7" r:id="rId6"/>
    <sheet name="5a- Precommercial Costs" sheetId="14" r:id="rId7"/>
    <sheet name="6- Est &amp; Reconcile WS" sheetId="9" r:id="rId8"/>
    <sheet name="7 - Cap Add WS" sheetId="13" r:id="rId9"/>
    <sheet name="Attachment 8, Page 1" sheetId="26" r:id="rId10"/>
    <sheet name="Attachment 8, page 2" sheetId="22" r:id="rId11"/>
  </sheets>
  <definedNames>
    <definedName name="_ftn1" localSheetId="6">'5a- Precommercial Costs'!#REF!</definedName>
    <definedName name="_ftn2" localSheetId="6">'5a- Precommercial Costs'!#REF!</definedName>
    <definedName name="_ftnref1" localSheetId="6">'5a- Precommercial Costs'!#REF!</definedName>
    <definedName name="_p.choice">#REF!</definedName>
    <definedName name="AA.print">#REF!</definedName>
    <definedName name="AB.print">#REF!</definedName>
    <definedName name="AO.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3">'3 - Revenue Credits'!$A$1:$E$46</definedName>
    <definedName name="_xlnm.Print_Area" localSheetId="5">'5 - Cost Support'!$A$1:$BN$21,'5 - Cost Support'!$A$22:$G$67,'5 - Cost Support'!$A$68:$BM$86,'5 - Cost Support'!$A$87:$G$132,'5 - Cost Support'!$A$133:$S$247,'5 - Cost Support'!$A$248:$BP$275,'5 - Cost Support'!$A$276:$K$326</definedName>
    <definedName name="_xlnm.Print_Area" localSheetId="6">'5a- Precommercial Costs'!$A$1:$R$74</definedName>
    <definedName name="_xlnm.Print_Area" localSheetId="7">'6- Est &amp; Reconcile WS'!$A$1:$V$320</definedName>
    <definedName name="_xlnm.Print_Area" localSheetId="8">'7 - Cap Add WS'!$1:$41</definedName>
    <definedName name="_xlnm.Print_Area" localSheetId="0">'Appendix A'!$A$1:$H$306</definedName>
    <definedName name="_xlnm.Print_Area" localSheetId="1">'ATT 1-ADIT'!$A$1:$M$175</definedName>
    <definedName name="_xlnm.Print_Area" localSheetId="2">'ATT 2 - Other Taxes'!$A$1:$H$87</definedName>
    <definedName name="_xlnm.Print_Area" localSheetId="9">'Attachment 8, Page 1'!$A$1:$AA$55</definedName>
    <definedName name="_xlnm.Print_Area" localSheetId="10">'Attachment 8, page 2'!$A$1:$M$238</definedName>
    <definedName name="_xlnm.Print_Titles" localSheetId="5">'5 - Cost Support'!$1:$3</definedName>
    <definedName name="_xlnm.Print_Titles" localSheetId="8">'7 - Cap Add WS'!$A:$B</definedName>
    <definedName name="_xlnm.Print_Titles" localSheetId="10">'Attachment 8, page 2'!$1:$39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8" hidden="1">'7 - Cap Add WS'!$N:$Q</definedName>
    <definedName name="Z_28948E05_8F34_4F1E_96FB_A80A6A844600_.wvu.Cols" localSheetId="1" hidden="1">'ATT 1-ADIT'!$G:$G</definedName>
    <definedName name="Z_28948E05_8F34_4F1E_96FB_A80A6A844600_.wvu.PrintArea" localSheetId="3" hidden="1">'3 - Revenue Credits'!$A$1:$D$53</definedName>
    <definedName name="Z_28948E05_8F34_4F1E_96FB_A80A6A844600_.wvu.PrintArea" localSheetId="0" hidden="1">'Appendix A'!$A$1:$H$310</definedName>
    <definedName name="Z_28948E05_8F34_4F1E_96FB_A80A6A844600_.wvu.PrintArea" localSheetId="1" hidden="1">'ATT 1-ADIT'!$B$1:$K$99</definedName>
    <definedName name="Z_28948E05_8F34_4F1E_96FB_A80A6A844600_.wvu.PrintTitles" localSheetId="5" hidden="1">'5 - Cost Support'!$1:$3</definedName>
    <definedName name="Z_28948E05_8F34_4F1E_96FB_A80A6A844600_.wvu.PrintTitles" localSheetId="8" hidden="1">'7 - Cap Add WS'!$C:$D</definedName>
    <definedName name="Z_28948E05_8F34_4F1E_96FB_A80A6A844600_.wvu.Rows" localSheetId="4" hidden="1">'4 - Incentive ROE Adj'!#REF!,'4 - Incentive ROE Adj'!#REF!</definedName>
    <definedName name="Z_28948E05_8F34_4F1E_96FB_A80A6A844600_.wvu.Rows" localSheetId="5" hidden="1">'5 - Cost Support'!$146:$147</definedName>
    <definedName name="Z_28948E05_8F34_4F1E_96FB_A80A6A844600_.wvu.Rows" localSheetId="0" hidden="1">'Appendix A'!#REF!</definedName>
    <definedName name="Z_3A38DF7A_C35E_4DD3_9893_26310A3EF836_.wvu.Cols" localSheetId="8" hidden="1">'7 - Cap Add WS'!$N:$Q</definedName>
    <definedName name="Z_3A38DF7A_C35E_4DD3_9893_26310A3EF836_.wvu.PrintArea" localSheetId="3" hidden="1">'3 - Revenue Credits'!$A$1:$D$53</definedName>
    <definedName name="Z_3A38DF7A_C35E_4DD3_9893_26310A3EF836_.wvu.PrintArea" localSheetId="0" hidden="1">'Appendix A'!$A$1:$H$310</definedName>
    <definedName name="Z_3A38DF7A_C35E_4DD3_9893_26310A3EF836_.wvu.PrintTitles" localSheetId="5" hidden="1">'5 - Cost Support'!$1:$3</definedName>
    <definedName name="Z_3A38DF7A_C35E_4DD3_9893_26310A3EF836_.wvu.PrintTitles" localSheetId="8" hidden="1">'7 - Cap Add WS'!$C:$D</definedName>
    <definedName name="Z_3A38DF7A_C35E_4DD3_9893_26310A3EF836_.wvu.Rows" localSheetId="4" hidden="1">'4 - Incentive ROE Adj'!#REF!</definedName>
    <definedName name="Z_3A38DF7A_C35E_4DD3_9893_26310A3EF836_.wvu.Rows" localSheetId="5" hidden="1">'5 - Cost Support'!$146:$147</definedName>
    <definedName name="Z_4C7C2344_134C_465A_ADEB_A5E96AAE2308_.wvu.Cols" localSheetId="8" hidden="1">'7 - Cap Add WS'!$N:$Q</definedName>
    <definedName name="Z_4C7C2344_134C_465A_ADEB_A5E96AAE2308_.wvu.PrintArea" localSheetId="3" hidden="1">'3 - Revenue Credits'!$A$1:$D$53</definedName>
    <definedName name="Z_4C7C2344_134C_465A_ADEB_A5E96AAE2308_.wvu.PrintArea" localSheetId="0" hidden="1">'Appendix A'!$A$1:$H$310</definedName>
    <definedName name="Z_4C7C2344_134C_465A_ADEB_A5E96AAE2308_.wvu.PrintTitles" localSheetId="5" hidden="1">'5 - Cost Support'!$1:$3</definedName>
    <definedName name="Z_4C7C2344_134C_465A_ADEB_A5E96AAE2308_.wvu.PrintTitles" localSheetId="8" hidden="1">'7 - Cap Add WS'!$C:$D</definedName>
    <definedName name="Z_4C7C2344_134C_465A_ADEB_A5E96AAE2308_.wvu.Rows" localSheetId="4" hidden="1">'4 - Incentive ROE Adj'!#REF!</definedName>
    <definedName name="Z_4C7C2344_134C_465A_ADEB_A5E96AAE2308_.wvu.Rows" localSheetId="5" hidden="1">'5 - Cost Support'!$146:$147</definedName>
    <definedName name="Z_63011E91_4609_4523_98FE_FD252E915668_.wvu.Cols" localSheetId="1" hidden="1">'ATT 1-ADIT'!$G:$G</definedName>
    <definedName name="Z_63011E91_4609_4523_98FE_FD252E915668_.wvu.PrintArea" localSheetId="1" hidden="1">'ATT 1-ADIT'!$B$1:$K$99</definedName>
    <definedName name="Z_6928E596_79BD_4CEC_9F0D_07E62D69B2A5_.wvu.Cols" localSheetId="1" hidden="1">'ATT 1-ADIT'!$G:$G</definedName>
    <definedName name="Z_6928E596_79BD_4CEC_9F0D_07E62D69B2A5_.wvu.PrintArea" localSheetId="1" hidden="1">'ATT 1-ADIT'!$B$1:$K$99</definedName>
    <definedName name="Z_71B42B22_A376_44B5_B0C1_23FC1AA3DBA2_.wvu.Cols" localSheetId="8" hidden="1">'7 - Cap Add WS'!$N:$Q</definedName>
    <definedName name="Z_71B42B22_A376_44B5_B0C1_23FC1AA3DBA2_.wvu.Cols" localSheetId="1" hidden="1">'ATT 1-ADIT'!$G:$G</definedName>
    <definedName name="Z_71B42B22_A376_44B5_B0C1_23FC1AA3DBA2_.wvu.PrintArea" localSheetId="3" hidden="1">'3 - Revenue Credits'!$A$1:$D$53</definedName>
    <definedName name="Z_71B42B22_A376_44B5_B0C1_23FC1AA3DBA2_.wvu.PrintArea" localSheetId="0" hidden="1">'Appendix A'!$A$1:$H$310</definedName>
    <definedName name="Z_71B42B22_A376_44B5_B0C1_23FC1AA3DBA2_.wvu.PrintArea" localSheetId="1" hidden="1">'ATT 1-ADIT'!$B$1:$K$99</definedName>
    <definedName name="Z_71B42B22_A376_44B5_B0C1_23FC1AA3DBA2_.wvu.PrintTitles" localSheetId="5" hidden="1">'5 - Cost Support'!$1:$3</definedName>
    <definedName name="Z_71B42B22_A376_44B5_B0C1_23FC1AA3DBA2_.wvu.PrintTitles" localSheetId="8" hidden="1">'7 - Cap Add WS'!$C:$D</definedName>
    <definedName name="Z_71B42B22_A376_44B5_B0C1_23FC1AA3DBA2_.wvu.Rows" localSheetId="4" hidden="1">'4 - Incentive ROE Adj'!#REF!,'4 - Incentive ROE Adj'!#REF!</definedName>
    <definedName name="Z_71B42B22_A376_44B5_B0C1_23FC1AA3DBA2_.wvu.Rows" localSheetId="5" hidden="1">'5 - Cost Support'!$146:$147</definedName>
    <definedName name="Z_71B42B22_A376_44B5_B0C1_23FC1AA3DBA2_.wvu.Rows" localSheetId="0" hidden="1">'Appendix A'!#REF!</definedName>
    <definedName name="Z_8FBB4DC9_2D51_4AB9_80D8_F8474B404C29_.wvu.Cols" localSheetId="1" hidden="1">'ATT 1-ADIT'!$G:$G</definedName>
    <definedName name="Z_8FBB4DC9_2D51_4AB9_80D8_F8474B404C29_.wvu.PrintArea" localSheetId="1" hidden="1">'ATT 1-ADIT'!$B$1:$K$99</definedName>
    <definedName name="Z_B647CB7F_C846_4278_B6B1_1EF7F3C004F5_.wvu.Cols" localSheetId="1" hidden="1">'ATT 1-ADIT'!$G:$G</definedName>
    <definedName name="Z_B647CB7F_C846_4278_B6B1_1EF7F3C004F5_.wvu.PrintArea" localSheetId="1" hidden="1">'ATT 1-ADIT'!$B$1:$K$99</definedName>
    <definedName name="Z_DA967730_B71F_4038_B1B7_9D4790729C5D_.wvu.Cols" localSheetId="8" hidden="1">'7 - Cap Add WS'!$N:$Q</definedName>
    <definedName name="Z_DA967730_B71F_4038_B1B7_9D4790729C5D_.wvu.PrintArea" localSheetId="3" hidden="1">'3 - Revenue Credits'!$A$1:$D$53</definedName>
    <definedName name="Z_DA967730_B71F_4038_B1B7_9D4790729C5D_.wvu.PrintArea" localSheetId="0" hidden="1">'Appendix A'!$A$1:$H$310</definedName>
    <definedName name="Z_DA967730_B71F_4038_B1B7_9D4790729C5D_.wvu.PrintTitles" localSheetId="5" hidden="1">'5 - Cost Support'!$1:$3</definedName>
    <definedName name="Z_DA967730_B71F_4038_B1B7_9D4790729C5D_.wvu.PrintTitles" localSheetId="8" hidden="1">'7 - Cap Add WS'!$C:$D</definedName>
    <definedName name="Z_DA967730_B71F_4038_B1B7_9D4790729C5D_.wvu.Rows" localSheetId="4" hidden="1">'4 - Incentive ROE Adj'!#REF!</definedName>
    <definedName name="Z_DA967730_B71F_4038_B1B7_9D4790729C5D_.wvu.Rows" localSheetId="5" hidden="1">'5 - Cost Support'!$146:$147</definedName>
    <definedName name="Z_DC91DEF3_837B_4BB9_A81E_3B78C5914E6C_.wvu.Cols" localSheetId="8" hidden="1">'7 - Cap Add WS'!$N:$Q</definedName>
    <definedName name="Z_DC91DEF3_837B_4BB9_A81E_3B78C5914E6C_.wvu.Cols" localSheetId="1" hidden="1">'ATT 1-ADIT'!$G:$G</definedName>
    <definedName name="Z_DC91DEF3_837B_4BB9_A81E_3B78C5914E6C_.wvu.PrintArea" localSheetId="3" hidden="1">'3 - Revenue Credits'!$A$1:$D$53</definedName>
    <definedName name="Z_DC91DEF3_837B_4BB9_A81E_3B78C5914E6C_.wvu.PrintArea" localSheetId="0" hidden="1">'Appendix A'!$A$1:$H$310</definedName>
    <definedName name="Z_DC91DEF3_837B_4BB9_A81E_3B78C5914E6C_.wvu.PrintArea" localSheetId="1" hidden="1">'ATT 1-ADIT'!$B$1:$K$99</definedName>
    <definedName name="Z_DC91DEF3_837B_4BB9_A81E_3B78C5914E6C_.wvu.PrintTitles" localSheetId="5" hidden="1">'5 - Cost Support'!$1:$3</definedName>
    <definedName name="Z_DC91DEF3_837B_4BB9_A81E_3B78C5914E6C_.wvu.PrintTitles" localSheetId="8" hidden="1">'7 - Cap Add WS'!$C:$D</definedName>
    <definedName name="Z_DC91DEF3_837B_4BB9_A81E_3B78C5914E6C_.wvu.Rows" localSheetId="4" hidden="1">'4 - Incentive ROE Adj'!#REF!</definedName>
    <definedName name="Z_DC91DEF3_837B_4BB9_A81E_3B78C5914E6C_.wvu.Rows" localSheetId="5" hidden="1">'5 - Cost Support'!$146:$147</definedName>
    <definedName name="Z_F96D6087_3330_4A81_95EC_26BA83722A49_.wvu.Cols" localSheetId="8" hidden="1">'7 - Cap Add WS'!$N:$Q</definedName>
    <definedName name="Z_F96D6087_3330_4A81_95EC_26BA83722A49_.wvu.PrintArea" localSheetId="3" hidden="1">'3 - Revenue Credits'!$A$1:$D$53</definedName>
    <definedName name="Z_F96D6087_3330_4A81_95EC_26BA83722A49_.wvu.PrintArea" localSheetId="0" hidden="1">'Appendix A'!$A$1:$H$310</definedName>
    <definedName name="Z_F96D6087_3330_4A81_95EC_26BA83722A49_.wvu.PrintTitles" localSheetId="5" hidden="1">'5 - Cost Support'!$1:$3</definedName>
    <definedName name="Z_F96D6087_3330_4A81_95EC_26BA83722A49_.wvu.PrintTitles" localSheetId="8" hidden="1">'7 - Cap Add WS'!$C:$D</definedName>
    <definedName name="Z_F96D6087_3330_4A81_95EC_26BA83722A49_.wvu.Rows" localSheetId="4" hidden="1">'4 - Incentive ROE Adj'!#REF!</definedName>
    <definedName name="Z_F96D6087_3330_4A81_95EC_26BA83722A49_.wvu.Rows" localSheetId="5" hidden="1">'5 - Cost Support'!$146:$147</definedName>
    <definedName name="Z_FAAD9AAC_1337_43AB_BF1F_CCF9DFCF5B78_.wvu.Cols" localSheetId="8" hidden="1">'7 - Cap Add WS'!$N:$Q</definedName>
    <definedName name="Z_FAAD9AAC_1337_43AB_BF1F_CCF9DFCF5B78_.wvu.Cols" localSheetId="1" hidden="1">'ATT 1-ADIT'!$G:$G</definedName>
    <definedName name="Z_FAAD9AAC_1337_43AB_BF1F_CCF9DFCF5B78_.wvu.PrintArea" localSheetId="3" hidden="1">'3 - Revenue Credits'!$A$1:$D$53</definedName>
    <definedName name="Z_FAAD9AAC_1337_43AB_BF1F_CCF9DFCF5B78_.wvu.PrintArea" localSheetId="0" hidden="1">'Appendix A'!$A$1:$H$310</definedName>
    <definedName name="Z_FAAD9AAC_1337_43AB_BF1F_CCF9DFCF5B78_.wvu.PrintArea" localSheetId="1" hidden="1">'ATT 1-ADIT'!$B$1:$K$99</definedName>
    <definedName name="Z_FAAD9AAC_1337_43AB_BF1F_CCF9DFCF5B78_.wvu.PrintTitles" localSheetId="5" hidden="1">'5 - Cost Support'!$1:$3</definedName>
    <definedName name="Z_FAAD9AAC_1337_43AB_BF1F_CCF9DFCF5B78_.wvu.PrintTitles" localSheetId="8" hidden="1">'7 - Cap Add WS'!$C:$D</definedName>
    <definedName name="Z_FAAD9AAC_1337_43AB_BF1F_CCF9DFCF5B78_.wvu.Rows" localSheetId="4" hidden="1">'4 - Incentive ROE Adj'!#REF!</definedName>
    <definedName name="Z_FAAD9AAC_1337_43AB_BF1F_CCF9DFCF5B78_.wvu.Rows" localSheetId="5" hidden="1">'5 - Cost Support'!$146:$147</definedName>
  </definedNames>
  <calcPr calcId="191029"/>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2" i="9" l="1"/>
  <c r="AT29" i="13" l="1"/>
  <c r="M273" i="7"/>
  <c r="E30" i="13" s="1"/>
  <c r="F33" i="13" s="1"/>
  <c r="D114" i="12" l="1"/>
  <c r="C114" i="12"/>
  <c r="E163" i="12"/>
  <c r="D163" i="12"/>
  <c r="D166" i="12" s="1"/>
  <c r="C163" i="12"/>
  <c r="C166" i="12" s="1"/>
  <c r="E158" i="12"/>
  <c r="E159" i="12"/>
  <c r="E154" i="12"/>
  <c r="E152" i="12"/>
  <c r="E164" i="12"/>
  <c r="C17" i="26" l="1"/>
  <c r="GP34" i="13" l="1"/>
  <c r="E261" i="9"/>
  <c r="J261" i="9"/>
  <c r="J240" i="9"/>
  <c r="O90" i="9" l="1"/>
  <c r="P90" i="9"/>
  <c r="P102" i="9"/>
  <c r="O102" i="9"/>
  <c r="O101" i="9"/>
  <c r="R102" i="9"/>
  <c r="Q102" i="9"/>
  <c r="V102" i="9"/>
  <c r="U102" i="9"/>
  <c r="T102" i="9"/>
  <c r="S102" i="9"/>
  <c r="P101" i="9"/>
  <c r="H102" i="9"/>
  <c r="R101" i="9"/>
  <c r="Q101" i="9"/>
  <c r="U101" i="9"/>
  <c r="S101" i="9"/>
  <c r="T101" i="9"/>
  <c r="V101" i="9"/>
  <c r="O100" i="9"/>
  <c r="P89" i="9"/>
  <c r="O89" i="9"/>
  <c r="O91" i="9" l="1"/>
  <c r="Q72" i="9"/>
  <c r="Q71" i="9"/>
  <c r="O83" i="9"/>
  <c r="L102" i="9" l="1"/>
  <c r="K102" i="9"/>
  <c r="J102" i="9"/>
  <c r="I102" i="9"/>
  <c r="G102" i="9"/>
  <c r="F102" i="9"/>
  <c r="E102" i="9"/>
  <c r="P87" i="9"/>
  <c r="Q87" i="9"/>
  <c r="R87" i="9"/>
  <c r="S87" i="9"/>
  <c r="T87" i="9"/>
  <c r="U87" i="9"/>
  <c r="V87" i="9"/>
  <c r="O87" i="9"/>
  <c r="L83" i="9"/>
  <c r="K83" i="9"/>
  <c r="J83" i="9"/>
  <c r="I83" i="9"/>
  <c r="H83" i="9"/>
  <c r="G83" i="9"/>
  <c r="F83" i="9"/>
  <c r="E83" i="9"/>
  <c r="L65" i="9"/>
  <c r="G65" i="9"/>
  <c r="K65" i="9"/>
  <c r="J65" i="9"/>
  <c r="I65" i="9"/>
  <c r="H65" i="9"/>
  <c r="F65" i="9"/>
  <c r="E65" i="9"/>
  <c r="L45" i="9"/>
  <c r="K45" i="9"/>
  <c r="J45" i="9"/>
  <c r="I45" i="9"/>
  <c r="H45" i="9"/>
  <c r="G45" i="9"/>
  <c r="F45" i="9"/>
  <c r="E45" i="9"/>
  <c r="BP264" i="7" l="1"/>
  <c r="D21" i="5"/>
  <c r="A43" i="3"/>
  <c r="A41" i="3"/>
  <c r="G20" i="3"/>
  <c r="G21" i="3"/>
  <c r="G22" i="3"/>
  <c r="Q186" i="9" l="1"/>
  <c r="R186" i="9"/>
  <c r="U127" i="9" l="1"/>
  <c r="IL33" i="13" l="1"/>
  <c r="IP33" i="13" l="1"/>
  <c r="T127" i="9" l="1"/>
  <c r="S127" i="9"/>
  <c r="V147" i="9" l="1"/>
  <c r="R167" i="9"/>
  <c r="S167" i="9"/>
  <c r="T167" i="9"/>
  <c r="U167" i="9"/>
  <c r="P186" i="9"/>
  <c r="O68" i="9" l="1"/>
  <c r="F85" i="7"/>
  <c r="F74" i="7"/>
  <c r="F75" i="7"/>
  <c r="F76" i="7"/>
  <c r="F77" i="7"/>
  <c r="F78" i="7"/>
  <c r="F79" i="7"/>
  <c r="F80" i="7"/>
  <c r="F81" i="7"/>
  <c r="F82" i="7"/>
  <c r="F83" i="7"/>
  <c r="F84" i="7"/>
  <c r="F73" i="7"/>
  <c r="F20" i="7"/>
  <c r="F9" i="7"/>
  <c r="F10" i="7"/>
  <c r="F11" i="7"/>
  <c r="F12" i="7"/>
  <c r="F13" i="7"/>
  <c r="F14" i="7"/>
  <c r="F15" i="7"/>
  <c r="F16" i="7"/>
  <c r="F17" i="7"/>
  <c r="F18" i="7"/>
  <c r="F19" i="7"/>
  <c r="F8" i="7"/>
  <c r="BM273" i="7"/>
  <c r="IB30" i="13" s="1"/>
  <c r="BN273" i="7"/>
  <c r="IF30" i="13" s="1"/>
  <c r="BM85" i="7"/>
  <c r="BN21" i="7" s="1"/>
  <c r="BM74" i="7"/>
  <c r="BM75" i="7"/>
  <c r="BM76" i="7"/>
  <c r="BM77" i="7"/>
  <c r="BM78" i="7"/>
  <c r="BM79" i="7"/>
  <c r="BM80" i="7"/>
  <c r="BM81" i="7"/>
  <c r="BM82" i="7"/>
  <c r="BM83" i="7"/>
  <c r="BM84" i="7"/>
  <c r="BM73" i="7"/>
  <c r="BM20" i="7"/>
  <c r="BM9" i="7"/>
  <c r="BM10" i="7"/>
  <c r="BM11" i="7"/>
  <c r="BM12" i="7"/>
  <c r="BM13" i="7"/>
  <c r="BM14" i="7"/>
  <c r="BM15" i="7"/>
  <c r="BM16" i="7"/>
  <c r="BM17" i="7"/>
  <c r="BM18" i="7"/>
  <c r="BM19" i="7"/>
  <c r="BM8" i="7"/>
  <c r="D164" i="12"/>
  <c r="F164" i="12"/>
  <c r="G164" i="12"/>
  <c r="I164" i="12"/>
  <c r="J164" i="12"/>
  <c r="C164" i="12"/>
  <c r="E162" i="12"/>
  <c r="E145" i="12"/>
  <c r="H145" i="12" s="1"/>
  <c r="E146" i="12"/>
  <c r="H146" i="12" s="1"/>
  <c r="E147" i="12"/>
  <c r="H147" i="12" s="1"/>
  <c r="E148" i="12"/>
  <c r="H148" i="12" s="1"/>
  <c r="E149" i="12"/>
  <c r="H149" i="12" s="1"/>
  <c r="E150" i="12"/>
  <c r="H150" i="12" s="1"/>
  <c r="E151" i="12"/>
  <c r="H151" i="12" s="1"/>
  <c r="H152" i="12"/>
  <c r="H164" i="12" s="1"/>
  <c r="E153" i="12"/>
  <c r="H154" i="12"/>
  <c r="E155" i="12"/>
  <c r="H155" i="12" s="1"/>
  <c r="E156" i="12"/>
  <c r="H156" i="12" s="1"/>
  <c r="E157" i="12"/>
  <c r="H157" i="12" s="1"/>
  <c r="H158" i="12"/>
  <c r="H159" i="12"/>
  <c r="E160" i="12"/>
  <c r="H160" i="12" s="1"/>
  <c r="E161" i="12"/>
  <c r="H161" i="12" s="1"/>
  <c r="E144" i="12"/>
  <c r="H144" i="12" s="1"/>
  <c r="H162" i="12"/>
  <c r="G153" i="12"/>
  <c r="F115" i="12"/>
  <c r="G115" i="12"/>
  <c r="I115" i="12"/>
  <c r="J115" i="12"/>
  <c r="D115" i="12"/>
  <c r="C115" i="12"/>
  <c r="E100" i="12"/>
  <c r="E101" i="12"/>
  <c r="H101" i="12" s="1"/>
  <c r="E102" i="12"/>
  <c r="H102" i="12" s="1"/>
  <c r="E103" i="12"/>
  <c r="H103" i="12" s="1"/>
  <c r="E104" i="12"/>
  <c r="H104" i="12" s="1"/>
  <c r="E105" i="12"/>
  <c r="H105" i="12" s="1"/>
  <c r="E106" i="12"/>
  <c r="H106" i="12" s="1"/>
  <c r="E107" i="12"/>
  <c r="H107" i="12" s="1"/>
  <c r="E108" i="12"/>
  <c r="H108" i="12" s="1"/>
  <c r="E109" i="12"/>
  <c r="H109" i="12" s="1"/>
  <c r="H115" i="12" s="1"/>
  <c r="E110" i="12"/>
  <c r="H110" i="12" s="1"/>
  <c r="E111" i="12"/>
  <c r="H111" i="12" s="1"/>
  <c r="E112" i="12"/>
  <c r="H112" i="12" s="1"/>
  <c r="E113" i="12"/>
  <c r="H113" i="12" s="1"/>
  <c r="F72" i="12"/>
  <c r="G72" i="12"/>
  <c r="I72" i="12"/>
  <c r="J72" i="12"/>
  <c r="E70" i="12"/>
  <c r="E38" i="12"/>
  <c r="H38" i="12" s="1"/>
  <c r="E39" i="12"/>
  <c r="H39" i="12" s="1"/>
  <c r="E40" i="12"/>
  <c r="H40" i="12" s="1"/>
  <c r="E41" i="12"/>
  <c r="H41" i="12" s="1"/>
  <c r="E42" i="12"/>
  <c r="H42" i="12" s="1"/>
  <c r="E43" i="12"/>
  <c r="H43" i="12" s="1"/>
  <c r="E44" i="12"/>
  <c r="H44" i="12" s="1"/>
  <c r="E45" i="12"/>
  <c r="H45" i="12" s="1"/>
  <c r="E46" i="12"/>
  <c r="H46" i="12" s="1"/>
  <c r="E47" i="12"/>
  <c r="H47" i="12" s="1"/>
  <c r="E48" i="12"/>
  <c r="H48" i="12" s="1"/>
  <c r="E49" i="12"/>
  <c r="H49" i="12" s="1"/>
  <c r="E50" i="12"/>
  <c r="H50" i="12" s="1"/>
  <c r="E51" i="12"/>
  <c r="H51" i="12" s="1"/>
  <c r="E52" i="12"/>
  <c r="H52" i="12" s="1"/>
  <c r="H72" i="12" s="1"/>
  <c r="E53" i="12"/>
  <c r="H53" i="12" s="1"/>
  <c r="E54" i="12"/>
  <c r="G54" i="12" s="1"/>
  <c r="E55" i="12"/>
  <c r="G55" i="12" s="1"/>
  <c r="E56" i="12"/>
  <c r="H56" i="12" s="1"/>
  <c r="E57" i="12"/>
  <c r="H57" i="12" s="1"/>
  <c r="E58" i="12"/>
  <c r="H58" i="12" s="1"/>
  <c r="E59" i="12"/>
  <c r="G59" i="12" s="1"/>
  <c r="E60" i="12"/>
  <c r="H60" i="12" s="1"/>
  <c r="E61" i="12"/>
  <c r="H61" i="12" s="1"/>
  <c r="E62" i="12"/>
  <c r="H62" i="12" s="1"/>
  <c r="E63" i="12"/>
  <c r="H63" i="12" s="1"/>
  <c r="E64" i="12"/>
  <c r="H64" i="12" s="1"/>
  <c r="E65" i="12"/>
  <c r="H65" i="12" s="1"/>
  <c r="E66" i="12"/>
  <c r="H66" i="12" s="1"/>
  <c r="E67" i="12"/>
  <c r="H67" i="12" s="1"/>
  <c r="E68" i="12"/>
  <c r="H68" i="12" s="1"/>
  <c r="E69" i="12"/>
  <c r="H69" i="12" s="1"/>
  <c r="E37" i="12"/>
  <c r="H37" i="12" s="1"/>
  <c r="D72" i="12"/>
  <c r="C72" i="12"/>
  <c r="H70" i="12"/>
  <c r="H100" i="12" l="1"/>
  <c r="E114" i="12"/>
  <c r="E115" i="12"/>
  <c r="E72" i="12"/>
  <c r="BL86" i="7"/>
  <c r="BL21" i="7"/>
  <c r="IH33" i="13"/>
  <c r="IH34" i="13" s="1"/>
  <c r="HN33" i="13"/>
  <c r="HN34" i="13" s="1"/>
  <c r="HV33" i="13"/>
  <c r="HV34" i="13" s="1"/>
  <c r="HB33" i="13"/>
  <c r="HB34" i="13" s="1"/>
  <c r="GL33" i="13"/>
  <c r="GL34" i="13" s="1"/>
  <c r="FB33" i="13"/>
  <c r="FB34" i="13" s="1"/>
  <c r="FV33" i="13"/>
  <c r="FV34" i="13" s="1"/>
  <c r="DZ33" i="13"/>
  <c r="DZ34" i="13" s="1"/>
  <c r="CH33" i="13"/>
  <c r="CH34" i="13" s="1"/>
  <c r="DV33" i="13"/>
  <c r="DV34" i="13" s="1"/>
  <c r="DJ33" i="13"/>
  <c r="DJ34" i="13" s="1"/>
  <c r="BP33" i="13"/>
  <c r="BP34" i="13" s="1"/>
  <c r="L33" i="13"/>
  <c r="L34" i="13" s="1"/>
  <c r="P33" i="13"/>
  <c r="P34" i="13" s="1"/>
  <c r="AB33" i="13"/>
  <c r="AB34" i="13" s="1"/>
  <c r="AF33" i="13"/>
  <c r="AF34" i="13" s="1"/>
  <c r="AV33" i="13"/>
  <c r="AV34" i="13" s="1"/>
  <c r="AZ33" i="13"/>
  <c r="AZ34" i="13" s="1"/>
  <c r="V89" i="9"/>
  <c r="V90" i="9" s="1"/>
  <c r="V91" i="9" s="1"/>
  <c r="V92" i="9" s="1"/>
  <c r="V93" i="9" s="1"/>
  <c r="V94" i="9" s="1"/>
  <c r="V95" i="9" s="1"/>
  <c r="V96" i="9" s="1"/>
  <c r="V97" i="9" s="1"/>
  <c r="V98" i="9" s="1"/>
  <c r="V99" i="9" s="1"/>
  <c r="V100" i="9" s="1"/>
  <c r="U89" i="9"/>
  <c r="U90" i="9" s="1"/>
  <c r="U91" i="9" s="1"/>
  <c r="U92" i="9" s="1"/>
  <c r="U93" i="9" s="1"/>
  <c r="U94" i="9" s="1"/>
  <c r="U95" i="9" s="1"/>
  <c r="U96" i="9" s="1"/>
  <c r="U97" i="9" s="1"/>
  <c r="U98" i="9" s="1"/>
  <c r="U99" i="9" s="1"/>
  <c r="U100" i="9" s="1"/>
  <c r="T89" i="9"/>
  <c r="T90" i="9" s="1"/>
  <c r="T91" i="9" s="1"/>
  <c r="T92" i="9" s="1"/>
  <c r="T93" i="9" s="1"/>
  <c r="T94" i="9" s="1"/>
  <c r="T95" i="9" s="1"/>
  <c r="T96" i="9" s="1"/>
  <c r="T97" i="9" s="1"/>
  <c r="T98" i="9" s="1"/>
  <c r="T99" i="9" s="1"/>
  <c r="T100" i="9" s="1"/>
  <c r="S89" i="9"/>
  <c r="S90" i="9" s="1"/>
  <c r="S91" i="9" s="1"/>
  <c r="S92" i="9" s="1"/>
  <c r="S93" i="9" s="1"/>
  <c r="S94" i="9" s="1"/>
  <c r="S95" i="9" s="1"/>
  <c r="S96" i="9" s="1"/>
  <c r="S97" i="9" s="1"/>
  <c r="S98" i="9" s="1"/>
  <c r="S99" i="9" s="1"/>
  <c r="S100" i="9" s="1"/>
  <c r="R89" i="9"/>
  <c r="R90" i="9" s="1"/>
  <c r="R91" i="9" s="1"/>
  <c r="R92" i="9" s="1"/>
  <c r="R93" i="9" s="1"/>
  <c r="R94" i="9" s="1"/>
  <c r="R95" i="9" s="1"/>
  <c r="R96" i="9" s="1"/>
  <c r="R97" i="9" s="1"/>
  <c r="R98" i="9" s="1"/>
  <c r="R99" i="9" s="1"/>
  <c r="R100" i="9" s="1"/>
  <c r="Q89" i="9"/>
  <c r="Q90" i="9" s="1"/>
  <c r="Q91" i="9" s="1"/>
  <c r="Q92" i="9" s="1"/>
  <c r="Q93" i="9" s="1"/>
  <c r="Q94" i="9" s="1"/>
  <c r="Q95" i="9" s="1"/>
  <c r="Q96" i="9" s="1"/>
  <c r="Q97" i="9" s="1"/>
  <c r="Q98" i="9" s="1"/>
  <c r="Q99" i="9" s="1"/>
  <c r="Q100" i="9" s="1"/>
  <c r="P91" i="9"/>
  <c r="P92" i="9" s="1"/>
  <c r="P93" i="9" s="1"/>
  <c r="P94" i="9" s="1"/>
  <c r="P95" i="9" s="1"/>
  <c r="P96" i="9" s="1"/>
  <c r="P97" i="9" s="1"/>
  <c r="P98" i="9" s="1"/>
  <c r="P99" i="9" s="1"/>
  <c r="P100" i="9" s="1"/>
  <c r="O92" i="9"/>
  <c r="O93" i="9" s="1"/>
  <c r="O94" i="9" s="1"/>
  <c r="O95" i="9" s="1"/>
  <c r="O96" i="9" s="1"/>
  <c r="O97" i="9" s="1"/>
  <c r="O98" i="9" s="1"/>
  <c r="O99" i="9" s="1"/>
  <c r="IP34" i="13"/>
  <c r="GJ29" i="13"/>
  <c r="GZ29" i="13"/>
  <c r="L142" i="9"/>
  <c r="G163" i="12"/>
  <c r="F166" i="12"/>
  <c r="G71" i="12"/>
  <c r="G85" i="7"/>
  <c r="G86" i="7" s="1"/>
  <c r="H50" i="1" s="1"/>
  <c r="G157" i="7"/>
  <c r="IL34" i="13"/>
  <c r="ID33" i="13"/>
  <c r="ID34" i="13" s="1"/>
  <c r="IC33" i="13"/>
  <c r="IC34" i="13" s="1"/>
  <c r="BP256" i="7"/>
  <c r="BP257" i="7"/>
  <c r="BP259" i="7"/>
  <c r="BP260" i="7"/>
  <c r="BP261" i="7"/>
  <c r="BP262" i="7"/>
  <c r="BP265" i="7"/>
  <c r="BP269" i="7"/>
  <c r="BP270" i="7"/>
  <c r="BP271" i="7"/>
  <c r="BP272" i="7"/>
  <c r="BP268" i="7"/>
  <c r="AW273" i="7"/>
  <c r="GV30" i="13" s="1"/>
  <c r="GW33" i="13" s="1"/>
  <c r="GW34" i="13" s="1"/>
  <c r="AO273" i="7"/>
  <c r="ER30" i="13" s="1"/>
  <c r="ES33" i="13" s="1"/>
  <c r="ES34" i="13" s="1"/>
  <c r="AH273" i="7"/>
  <c r="DT30" i="13" s="1"/>
  <c r="DU33" i="13" s="1"/>
  <c r="DU34" i="13" s="1"/>
  <c r="AB273" i="7"/>
  <c r="BJ30" i="13" s="1"/>
  <c r="BK33" i="13" s="1"/>
  <c r="BK34" i="13" s="1"/>
  <c r="W273" i="7"/>
  <c r="DH30" i="13" s="1"/>
  <c r="DI33" i="13" s="1"/>
  <c r="DI34" i="13" s="1"/>
  <c r="P273" i="7"/>
  <c r="Z30" i="13" s="1"/>
  <c r="AA33" i="13" s="1"/>
  <c r="AA34" i="13" s="1"/>
  <c r="N273" i="7"/>
  <c r="V30" i="13" s="1"/>
  <c r="W33" i="13" s="1"/>
  <c r="W34" i="13" s="1"/>
  <c r="L273" i="7"/>
  <c r="J30" i="13" s="1"/>
  <c r="K33" i="13" s="1"/>
  <c r="K34" i="13" s="1"/>
  <c r="AG273" i="7"/>
  <c r="DP30" i="13" s="1"/>
  <c r="DQ33" i="13" s="1"/>
  <c r="DQ34" i="13" s="1"/>
  <c r="AE273" i="7"/>
  <c r="FD30" i="13" s="1"/>
  <c r="FE33" i="13" s="1"/>
  <c r="FE34" i="13" s="1"/>
  <c r="AF273" i="7"/>
  <c r="CN30" i="13" s="1"/>
  <c r="CO33" i="13" s="1"/>
  <c r="CO34" i="13" s="1"/>
  <c r="BJ86" i="7"/>
  <c r="BK86" i="7"/>
  <c r="G20" i="7"/>
  <c r="G21" i="7" s="1"/>
  <c r="H36" i="1" s="1"/>
  <c r="G153" i="7"/>
  <c r="BJ21" i="7"/>
  <c r="BK21" i="7"/>
  <c r="A14" i="3"/>
  <c r="A15" i="3" s="1"/>
  <c r="A16" i="3" s="1"/>
  <c r="A17" i="3" s="1"/>
  <c r="A18" i="3" s="1"/>
  <c r="A19" i="3" s="1"/>
  <c r="A20" i="3" s="1"/>
  <c r="A21" i="3" s="1"/>
  <c r="O129" i="9"/>
  <c r="Q129" i="9"/>
  <c r="Q130" i="9" s="1"/>
  <c r="Q131" i="9" s="1"/>
  <c r="Q132" i="9" s="1"/>
  <c r="G142" i="9"/>
  <c r="R129" i="9"/>
  <c r="R130" i="9" s="1"/>
  <c r="R131" i="9" s="1"/>
  <c r="R132" i="9" s="1"/>
  <c r="R133" i="9" s="1"/>
  <c r="R134" i="9" s="1"/>
  <c r="R135" i="9" s="1"/>
  <c r="R136" i="9" s="1"/>
  <c r="R137" i="9" s="1"/>
  <c r="H68" i="1"/>
  <c r="O187" i="9"/>
  <c r="R29" i="13"/>
  <c r="FH29" i="13"/>
  <c r="HD29" i="13"/>
  <c r="DD29" i="13"/>
  <c r="EF29" i="13"/>
  <c r="EZ29" i="13"/>
  <c r="GF29" i="13"/>
  <c r="GV29" i="13"/>
  <c r="ER29" i="13"/>
  <c r="CF29" i="13"/>
  <c r="DL29" i="13"/>
  <c r="IK33" i="13"/>
  <c r="IK34" i="13" s="1"/>
  <c r="BF21" i="7"/>
  <c r="G17" i="3"/>
  <c r="I30" i="6"/>
  <c r="HZ33" i="13"/>
  <c r="HZ34" i="13" s="1"/>
  <c r="HR33" i="13"/>
  <c r="HR34" i="13" s="1"/>
  <c r="HJ33" i="13"/>
  <c r="HJ34" i="13" s="1"/>
  <c r="V88" i="9"/>
  <c r="U88" i="9"/>
  <c r="T88" i="9"/>
  <c r="S88" i="9"/>
  <c r="R88" i="9"/>
  <c r="Q88" i="9"/>
  <c r="P88" i="9"/>
  <c r="O88" i="9"/>
  <c r="V86" i="9"/>
  <c r="U86" i="9"/>
  <c r="T86" i="9"/>
  <c r="S86" i="9"/>
  <c r="R86" i="9"/>
  <c r="Q86" i="9"/>
  <c r="P86" i="9"/>
  <c r="O86" i="9"/>
  <c r="K308" i="7"/>
  <c r="D309" i="7" s="1"/>
  <c r="H141" i="1" s="1"/>
  <c r="BD273" i="7"/>
  <c r="FT30" i="13" s="1"/>
  <c r="FU33" i="13" s="1"/>
  <c r="FU34" i="13" s="1"/>
  <c r="BE86" i="7"/>
  <c r="BF86" i="7"/>
  <c r="BG86" i="7"/>
  <c r="BH86" i="7"/>
  <c r="BI86" i="7"/>
  <c r="AP72" i="7"/>
  <c r="AO72" i="7"/>
  <c r="AN72" i="7"/>
  <c r="AM72" i="7"/>
  <c r="AL72" i="7"/>
  <c r="AK72" i="7"/>
  <c r="AJ72" i="7"/>
  <c r="AI72" i="7"/>
  <c r="AH72" i="7"/>
  <c r="AG72" i="7"/>
  <c r="AF72" i="7"/>
  <c r="AE72" i="7"/>
  <c r="AD72" i="7"/>
  <c r="AC72" i="7"/>
  <c r="AB72" i="7"/>
  <c r="AA72" i="7"/>
  <c r="Z72" i="7"/>
  <c r="Y72" i="7"/>
  <c r="X72" i="7"/>
  <c r="W72" i="7"/>
  <c r="V72" i="7"/>
  <c r="BE21" i="7"/>
  <c r="BG21" i="7"/>
  <c r="BH21" i="7"/>
  <c r="BI21" i="7"/>
  <c r="M261" i="9"/>
  <c r="J269" i="9" s="1"/>
  <c r="J270" i="9" s="1"/>
  <c r="J271" i="9" s="1"/>
  <c r="O53" i="26"/>
  <c r="M53" i="26"/>
  <c r="K53" i="26"/>
  <c r="I53" i="26"/>
  <c r="Y50" i="26"/>
  <c r="Y48" i="26"/>
  <c r="S48" i="26"/>
  <c r="U48" i="26" s="1"/>
  <c r="AA48" i="26"/>
  <c r="U20" i="26" s="1"/>
  <c r="Y47" i="26"/>
  <c r="S47" i="26"/>
  <c r="U47" i="26"/>
  <c r="K27" i="26"/>
  <c r="I27" i="26"/>
  <c r="G27" i="26"/>
  <c r="M26" i="26"/>
  <c r="Q20" i="26"/>
  <c r="Q26" i="26" s="1"/>
  <c r="S20" i="26" s="1"/>
  <c r="W20" i="26" s="1"/>
  <c r="B20" i="26"/>
  <c r="Q19" i="26"/>
  <c r="I19" i="26"/>
  <c r="I26" i="26" s="1"/>
  <c r="D27" i="26" s="1"/>
  <c r="G19" i="26"/>
  <c r="D19" i="26"/>
  <c r="B19" i="26"/>
  <c r="AA47" i="26"/>
  <c r="U19" i="26" s="1"/>
  <c r="K19" i="26"/>
  <c r="I163" i="12"/>
  <c r="J163" i="12"/>
  <c r="F114" i="12"/>
  <c r="G114" i="12"/>
  <c r="I114" i="12"/>
  <c r="J114" i="12"/>
  <c r="E201" i="9"/>
  <c r="HF33" i="13"/>
  <c r="GX33" i="13"/>
  <c r="GX34" i="13" s="1"/>
  <c r="GT33" i="13"/>
  <c r="GT34" i="13" s="1"/>
  <c r="GH33" i="13"/>
  <c r="GH34" i="13" s="1"/>
  <c r="GD33" i="13"/>
  <c r="GD34" i="13" s="1"/>
  <c r="FZ33" i="13"/>
  <c r="FZ34" i="13" s="1"/>
  <c r="FR33" i="13"/>
  <c r="FR34" i="13" s="1"/>
  <c r="EH33" i="13"/>
  <c r="EH34" i="13" s="1"/>
  <c r="L201" i="9"/>
  <c r="K201" i="9"/>
  <c r="J201" i="9"/>
  <c r="I201" i="9"/>
  <c r="H201" i="9"/>
  <c r="G201" i="9"/>
  <c r="F201" i="9"/>
  <c r="O186" i="9"/>
  <c r="V188" i="9"/>
  <c r="V189" i="9" s="1"/>
  <c r="V190" i="9" s="1"/>
  <c r="V191" i="9" s="1"/>
  <c r="V192" i="9" s="1"/>
  <c r="U188" i="9"/>
  <c r="U189" i="9"/>
  <c r="U190" i="9" s="1"/>
  <c r="U191" i="9" s="1"/>
  <c r="U192" i="9" s="1"/>
  <c r="U193" i="9" s="1"/>
  <c r="U194" i="9" s="1"/>
  <c r="U195" i="9" s="1"/>
  <c r="T188" i="9"/>
  <c r="T189" i="9" s="1"/>
  <c r="T190" i="9" s="1"/>
  <c r="T191" i="9" s="1"/>
  <c r="T192" i="9" s="1"/>
  <c r="T193" i="9" s="1"/>
  <c r="T194" i="9" s="1"/>
  <c r="T195" i="9" s="1"/>
  <c r="T196" i="9" s="1"/>
  <c r="T197" i="9" s="1"/>
  <c r="T198" i="9" s="1"/>
  <c r="T199" i="9" s="1"/>
  <c r="T200" i="9" s="1"/>
  <c r="S188" i="9"/>
  <c r="S189" i="9" s="1"/>
  <c r="S190" i="9" s="1"/>
  <c r="S191" i="9" s="1"/>
  <c r="S192" i="9" s="1"/>
  <c r="S193" i="9" s="1"/>
  <c r="S194" i="9" s="1"/>
  <c r="R188" i="9"/>
  <c r="R189" i="9" s="1"/>
  <c r="Q188" i="9"/>
  <c r="Q189" i="9" s="1"/>
  <c r="Q190" i="9" s="1"/>
  <c r="Q191" i="9" s="1"/>
  <c r="Q192" i="9" s="1"/>
  <c r="P188" i="9"/>
  <c r="P189" i="9" s="1"/>
  <c r="P190" i="9" s="1"/>
  <c r="P191" i="9" s="1"/>
  <c r="P192" i="9" s="1"/>
  <c r="P193" i="9" s="1"/>
  <c r="P194" i="9" s="1"/>
  <c r="O188" i="9"/>
  <c r="S50" i="9"/>
  <c r="T50" i="9"/>
  <c r="Q50" i="9"/>
  <c r="AU273" i="7"/>
  <c r="FX30" i="13" s="1"/>
  <c r="FY33" i="13" s="1"/>
  <c r="FY34" i="13" s="1"/>
  <c r="AX273" i="7"/>
  <c r="GZ30" i="13" s="1"/>
  <c r="HA33" i="13" s="1"/>
  <c r="HA34" i="13" s="1"/>
  <c r="AZ273" i="7"/>
  <c r="GF30" i="13" s="1"/>
  <c r="GG33" i="13" s="1"/>
  <c r="GG34" i="13" s="1"/>
  <c r="BC273" i="7"/>
  <c r="EF30" i="13" s="1"/>
  <c r="EG33" i="13" s="1"/>
  <c r="EG34" i="13" s="1"/>
  <c r="BE273" i="7"/>
  <c r="GB30" i="13" s="1"/>
  <c r="GC33" i="13" s="1"/>
  <c r="GC34" i="13" s="1"/>
  <c r="BF273" i="7"/>
  <c r="DD30" i="13" s="1"/>
  <c r="DE33" i="13" s="1"/>
  <c r="DE34" i="13" s="1"/>
  <c r="BG273" i="7"/>
  <c r="HD30" i="13" s="1"/>
  <c r="HE33" i="13" s="1"/>
  <c r="HE34" i="13" s="1"/>
  <c r="BA273" i="7"/>
  <c r="EZ30" i="13" s="1"/>
  <c r="FA33" i="13" s="1"/>
  <c r="FA34" i="13" s="1"/>
  <c r="X273" i="7"/>
  <c r="BR30" i="13" s="1"/>
  <c r="BS33" i="13" s="1"/>
  <c r="BS34" i="13" s="1"/>
  <c r="AR86" i="7"/>
  <c r="AS86" i="7"/>
  <c r="AT86" i="7"/>
  <c r="AU86" i="7"/>
  <c r="AV86" i="7"/>
  <c r="AW86" i="7"/>
  <c r="AX86" i="7"/>
  <c r="AY86" i="7"/>
  <c r="AZ86" i="7"/>
  <c r="BA86" i="7"/>
  <c r="BB86" i="7"/>
  <c r="BC86" i="7"/>
  <c r="BD86" i="7"/>
  <c r="AR21" i="7"/>
  <c r="AS21" i="7"/>
  <c r="AT21" i="7"/>
  <c r="AU21" i="7"/>
  <c r="AV21" i="7"/>
  <c r="AW21" i="7"/>
  <c r="AX21" i="7"/>
  <c r="AY21" i="7"/>
  <c r="AZ21" i="7"/>
  <c r="BA21" i="7"/>
  <c r="BB21" i="7"/>
  <c r="BC21" i="7"/>
  <c r="BD21" i="7"/>
  <c r="T21" i="7"/>
  <c r="X21" i="7"/>
  <c r="AE21" i="7"/>
  <c r="H21" i="7"/>
  <c r="I21" i="7"/>
  <c r="J21" i="7"/>
  <c r="K21" i="7"/>
  <c r="L21" i="7"/>
  <c r="M21" i="7"/>
  <c r="N21" i="7"/>
  <c r="O21" i="7"/>
  <c r="P21" i="7"/>
  <c r="Q21" i="7"/>
  <c r="R21" i="7"/>
  <c r="S21" i="7"/>
  <c r="U21" i="7"/>
  <c r="W21" i="7"/>
  <c r="Y21" i="7"/>
  <c r="Z21" i="7"/>
  <c r="AA21" i="7"/>
  <c r="AC21" i="7"/>
  <c r="AH21" i="7"/>
  <c r="AI21" i="7"/>
  <c r="AJ21" i="7"/>
  <c r="AK21" i="7"/>
  <c r="AL21" i="7"/>
  <c r="AM21" i="7"/>
  <c r="AN21" i="7"/>
  <c r="AO21" i="7"/>
  <c r="AP21" i="7"/>
  <c r="AQ21" i="7"/>
  <c r="A38" i="3"/>
  <c r="A39" i="3" s="1"/>
  <c r="A40" i="3" s="1"/>
  <c r="A48" i="3" s="1"/>
  <c r="A49" i="3" s="1"/>
  <c r="A50" i="3" s="1"/>
  <c r="A52" i="3" s="1"/>
  <c r="A54" i="3" s="1"/>
  <c r="A59" i="3" s="1"/>
  <c r="A60" i="3" s="1"/>
  <c r="A61" i="3" s="1"/>
  <c r="A62" i="3" s="1"/>
  <c r="A63" i="3" s="1"/>
  <c r="A69" i="3" s="1"/>
  <c r="A71" i="3" s="1"/>
  <c r="H170" i="1"/>
  <c r="H171" i="1" s="1"/>
  <c r="GO33" i="13"/>
  <c r="GO34" i="13" s="1"/>
  <c r="Q147" i="9"/>
  <c r="V70" i="9"/>
  <c r="V71" i="9" s="1"/>
  <c r="U70" i="9"/>
  <c r="U71" i="9"/>
  <c r="U72" i="9" s="1"/>
  <c r="U73" i="9" s="1"/>
  <c r="U74" i="9" s="1"/>
  <c r="U75" i="9" s="1"/>
  <c r="U76" i="9" s="1"/>
  <c r="U77" i="9" s="1"/>
  <c r="U78" i="9" s="1"/>
  <c r="U79" i="9" s="1"/>
  <c r="U80" i="9" s="1"/>
  <c r="U81" i="9" s="1"/>
  <c r="U82" i="9" s="1"/>
  <c r="T70" i="9"/>
  <c r="S70" i="9"/>
  <c r="S71" i="9" s="1"/>
  <c r="S72" i="9" s="1"/>
  <c r="S73" i="9" s="1"/>
  <c r="S74" i="9" s="1"/>
  <c r="S75" i="9" s="1"/>
  <c r="S76" i="9" s="1"/>
  <c r="S77" i="9" s="1"/>
  <c r="S78" i="9" s="1"/>
  <c r="S79" i="9" s="1"/>
  <c r="S80" i="9" s="1"/>
  <c r="R70" i="9"/>
  <c r="Q70" i="9"/>
  <c r="Q73" i="9" s="1"/>
  <c r="Q74" i="9" s="1"/>
  <c r="Q75" i="9" s="1"/>
  <c r="Q76" i="9" s="1"/>
  <c r="Q77" i="9" s="1"/>
  <c r="Q78" i="9" s="1"/>
  <c r="Q79" i="9" s="1"/>
  <c r="Q80" i="9" s="1"/>
  <c r="Q81" i="9" s="1"/>
  <c r="Q82" i="9" s="1"/>
  <c r="P70" i="9"/>
  <c r="O70" i="9"/>
  <c r="O71" i="9" s="1"/>
  <c r="O72" i="9" s="1"/>
  <c r="O73" i="9" s="1"/>
  <c r="O74" i="9" s="1"/>
  <c r="O75" i="9" s="1"/>
  <c r="O76" i="9" s="1"/>
  <c r="O77" i="9" s="1"/>
  <c r="O78" i="9" s="1"/>
  <c r="O79" i="9" s="1"/>
  <c r="O80" i="9" s="1"/>
  <c r="O81" i="9" s="1"/>
  <c r="O82" i="9" s="1"/>
  <c r="V68" i="9"/>
  <c r="U68" i="9"/>
  <c r="T68" i="9"/>
  <c r="S68" i="9"/>
  <c r="R68" i="9"/>
  <c r="Q68" i="9"/>
  <c r="P68" i="9"/>
  <c r="V52" i="9"/>
  <c r="V53" i="9" s="1"/>
  <c r="V54" i="9" s="1"/>
  <c r="V55" i="9" s="1"/>
  <c r="V56" i="9" s="1"/>
  <c r="U52" i="9"/>
  <c r="U53" i="9" s="1"/>
  <c r="T52" i="9"/>
  <c r="T53" i="9" s="1"/>
  <c r="T54" i="9" s="1"/>
  <c r="S52" i="9"/>
  <c r="S53" i="9" s="1"/>
  <c r="S54" i="9" s="1"/>
  <c r="S55" i="9" s="1"/>
  <c r="S56" i="9" s="1"/>
  <c r="S57" i="9" s="1"/>
  <c r="S58" i="9" s="1"/>
  <c r="S59" i="9" s="1"/>
  <c r="S60" i="9" s="1"/>
  <c r="R52" i="9"/>
  <c r="R53" i="9" s="1"/>
  <c r="R54" i="9" s="1"/>
  <c r="R55" i="9" s="1"/>
  <c r="R56" i="9" s="1"/>
  <c r="Q52" i="9"/>
  <c r="Q53" i="9" s="1"/>
  <c r="Q54" i="9" s="1"/>
  <c r="P52" i="9"/>
  <c r="P53" i="9" s="1"/>
  <c r="P54" i="9" s="1"/>
  <c r="P55" i="9" s="1"/>
  <c r="P56" i="9" s="1"/>
  <c r="P57" i="9" s="1"/>
  <c r="P58" i="9" s="1"/>
  <c r="P59" i="9" s="1"/>
  <c r="P60" i="9" s="1"/>
  <c r="P61" i="9" s="1"/>
  <c r="P62" i="9" s="1"/>
  <c r="P63" i="9" s="1"/>
  <c r="P64" i="9" s="1"/>
  <c r="O52" i="9"/>
  <c r="O53" i="9" s="1"/>
  <c r="O54" i="9" s="1"/>
  <c r="V50" i="9"/>
  <c r="U50" i="9"/>
  <c r="R50" i="9"/>
  <c r="P50" i="9"/>
  <c r="O50" i="9"/>
  <c r="V32" i="9"/>
  <c r="V33" i="9" s="1"/>
  <c r="U32" i="9"/>
  <c r="U33" i="9" s="1"/>
  <c r="U34" i="9" s="1"/>
  <c r="U35" i="9" s="1"/>
  <c r="U36" i="9" s="1"/>
  <c r="U37" i="9" s="1"/>
  <c r="U38" i="9" s="1"/>
  <c r="U39" i="9" s="1"/>
  <c r="U40" i="9" s="1"/>
  <c r="U41" i="9" s="1"/>
  <c r="U42" i="9" s="1"/>
  <c r="T32" i="9"/>
  <c r="T33" i="9" s="1"/>
  <c r="S32" i="9"/>
  <c r="S33" i="9" s="1"/>
  <c r="S34" i="9" s="1"/>
  <c r="S35" i="9" s="1"/>
  <c r="S36" i="9" s="1"/>
  <c r="S37" i="9" s="1"/>
  <c r="S38" i="9" s="1"/>
  <c r="S39" i="9" s="1"/>
  <c r="S40" i="9" s="1"/>
  <c r="S41" i="9" s="1"/>
  <c r="S42" i="9" s="1"/>
  <c r="S43" i="9" s="1"/>
  <c r="S44" i="9" s="1"/>
  <c r="R32" i="9"/>
  <c r="Q32" i="9"/>
  <c r="Q33" i="9" s="1"/>
  <c r="Q34" i="9" s="1"/>
  <c r="Q35" i="9" s="1"/>
  <c r="Q36" i="9" s="1"/>
  <c r="Q37" i="9" s="1"/>
  <c r="Q38" i="9" s="1"/>
  <c r="Q39" i="9" s="1"/>
  <c r="Q40" i="9" s="1"/>
  <c r="Q41" i="9" s="1"/>
  <c r="Q42" i="9" s="1"/>
  <c r="Q43" i="9" s="1"/>
  <c r="Q44" i="9" s="1"/>
  <c r="P32" i="9"/>
  <c r="P33" i="9" s="1"/>
  <c r="P34" i="9" s="1"/>
  <c r="P35" i="9" s="1"/>
  <c r="P36" i="9" s="1"/>
  <c r="O32" i="9"/>
  <c r="U30" i="9"/>
  <c r="T30" i="9"/>
  <c r="S30" i="9"/>
  <c r="R30" i="9"/>
  <c r="Q30" i="9"/>
  <c r="P30" i="9"/>
  <c r="O30" i="9"/>
  <c r="U273" i="7"/>
  <c r="AT30" i="13" s="1"/>
  <c r="AU33" i="13" s="1"/>
  <c r="AU34" i="13" s="1"/>
  <c r="T273" i="7"/>
  <c r="AP30" i="13" s="1"/>
  <c r="AQ33" i="13" s="1"/>
  <c r="AQ34" i="13" s="1"/>
  <c r="S273" i="7"/>
  <c r="AL30" i="13" s="1"/>
  <c r="AM33" i="13" s="1"/>
  <c r="AM34" i="13" s="1"/>
  <c r="O273" i="7"/>
  <c r="R30" i="13" s="1"/>
  <c r="S33" i="13" s="1"/>
  <c r="S34" i="13" s="1"/>
  <c r="AS273" i="7"/>
  <c r="FL30" i="13" s="1"/>
  <c r="FM33" i="13" s="1"/>
  <c r="FM34" i="13" s="1"/>
  <c r="AP273" i="7"/>
  <c r="DX30" i="13" s="1"/>
  <c r="DY33" i="13" s="1"/>
  <c r="DY34" i="13" s="1"/>
  <c r="AN273" i="7"/>
  <c r="CZ30" i="13" s="1"/>
  <c r="DA33" i="13" s="1"/>
  <c r="DA34" i="13" s="1"/>
  <c r="AM273" i="7"/>
  <c r="CF30" i="13" s="1"/>
  <c r="CG33" i="13" s="1"/>
  <c r="CG34" i="13" s="1"/>
  <c r="AL273" i="7"/>
  <c r="EB30" i="13" s="1"/>
  <c r="EC33" i="13" s="1"/>
  <c r="EC34" i="13" s="1"/>
  <c r="AK273" i="7"/>
  <c r="CR30" i="13" s="1"/>
  <c r="CS33" i="13" s="1"/>
  <c r="CS34" i="13" s="1"/>
  <c r="AJ273" i="7"/>
  <c r="DL30" i="13" s="1"/>
  <c r="DM33" i="13" s="1"/>
  <c r="DM34" i="13" s="1"/>
  <c r="AD273" i="7"/>
  <c r="CB30" i="13" s="1"/>
  <c r="CC33" i="13" s="1"/>
  <c r="CC34" i="13" s="1"/>
  <c r="AC273" i="7"/>
  <c r="BN30" i="13" s="1"/>
  <c r="BO33" i="13" s="1"/>
  <c r="BO34" i="13" s="1"/>
  <c r="R273" i="7"/>
  <c r="AH30" i="13" s="1"/>
  <c r="AI33" i="13" s="1"/>
  <c r="AI34" i="13" s="1"/>
  <c r="Q273" i="7"/>
  <c r="AD30" i="13" s="1"/>
  <c r="AE33" i="13" s="1"/>
  <c r="AE34" i="13" s="1"/>
  <c r="Z86" i="7"/>
  <c r="Y86" i="7"/>
  <c r="T86" i="7"/>
  <c r="S86" i="7"/>
  <c r="R86" i="7"/>
  <c r="P86" i="7"/>
  <c r="N86" i="7"/>
  <c r="H86" i="7"/>
  <c r="AQ86" i="7"/>
  <c r="FL29" i="13"/>
  <c r="AO86" i="7"/>
  <c r="AM86" i="7"/>
  <c r="CZ29" i="13"/>
  <c r="EB29" i="13"/>
  <c r="CR29" i="13"/>
  <c r="AG86" i="7"/>
  <c r="AF86" i="7"/>
  <c r="AE86" i="7"/>
  <c r="AD86" i="7"/>
  <c r="AB86" i="7"/>
  <c r="DH29" i="13"/>
  <c r="X86" i="7"/>
  <c r="BB29" i="13"/>
  <c r="O86" i="7"/>
  <c r="M86" i="7"/>
  <c r="K86" i="7"/>
  <c r="J86" i="7"/>
  <c r="G50" i="3"/>
  <c r="AP29" i="13"/>
  <c r="AL29" i="13"/>
  <c r="EW33" i="13"/>
  <c r="EW34" i="13"/>
  <c r="X209" i="9"/>
  <c r="L182" i="9"/>
  <c r="K182" i="9"/>
  <c r="J182" i="9"/>
  <c r="I182" i="9"/>
  <c r="H182" i="9"/>
  <c r="G182" i="9"/>
  <c r="F182" i="9"/>
  <c r="E182" i="9"/>
  <c r="V169" i="9"/>
  <c r="V170" i="9" s="1"/>
  <c r="U169" i="9"/>
  <c r="T169" i="9"/>
  <c r="S169" i="9"/>
  <c r="S170" i="9" s="1"/>
  <c r="S171" i="9" s="1"/>
  <c r="S172" i="9" s="1"/>
  <c r="R169" i="9"/>
  <c r="R170" i="9" s="1"/>
  <c r="R171" i="9" s="1"/>
  <c r="R172" i="9" s="1"/>
  <c r="Q169" i="9"/>
  <c r="P169" i="9"/>
  <c r="P170" i="9" s="1"/>
  <c r="O169" i="9"/>
  <c r="O170" i="9" s="1"/>
  <c r="O171" i="9" s="1"/>
  <c r="O172" i="9" s="1"/>
  <c r="Q167" i="9"/>
  <c r="L162" i="9"/>
  <c r="K162" i="9"/>
  <c r="J162" i="9"/>
  <c r="I162" i="9"/>
  <c r="H162" i="9"/>
  <c r="F162" i="9"/>
  <c r="E162" i="9"/>
  <c r="V149" i="9"/>
  <c r="V150" i="9" s="1"/>
  <c r="V151" i="9" s="1"/>
  <c r="V152" i="9" s="1"/>
  <c r="V153" i="9" s="1"/>
  <c r="U149" i="9"/>
  <c r="U150" i="9" s="1"/>
  <c r="U151" i="9" s="1"/>
  <c r="U152" i="9" s="1"/>
  <c r="U153" i="9" s="1"/>
  <c r="U154" i="9" s="1"/>
  <c r="U155" i="9" s="1"/>
  <c r="U156" i="9" s="1"/>
  <c r="U157" i="9" s="1"/>
  <c r="U158" i="9" s="1"/>
  <c r="U159" i="9" s="1"/>
  <c r="U160" i="9" s="1"/>
  <c r="U161" i="9" s="1"/>
  <c r="T149" i="9"/>
  <c r="T150" i="9" s="1"/>
  <c r="T151" i="9" s="1"/>
  <c r="T152" i="9" s="1"/>
  <c r="T153" i="9" s="1"/>
  <c r="T154" i="9" s="1"/>
  <c r="T155" i="9" s="1"/>
  <c r="T156" i="9" s="1"/>
  <c r="T157" i="9" s="1"/>
  <c r="T158" i="9" s="1"/>
  <c r="T159" i="9" s="1"/>
  <c r="T160" i="9" s="1"/>
  <c r="T161" i="9" s="1"/>
  <c r="S149" i="9"/>
  <c r="S150" i="9" s="1"/>
  <c r="S151" i="9" s="1"/>
  <c r="S152" i="9" s="1"/>
  <c r="S153" i="9" s="1"/>
  <c r="S154" i="9" s="1"/>
  <c r="S155" i="9" s="1"/>
  <c r="R149" i="9"/>
  <c r="R150" i="9" s="1"/>
  <c r="Q149" i="9"/>
  <c r="P149" i="9"/>
  <c r="P150" i="9" s="1"/>
  <c r="O149" i="9"/>
  <c r="O150" i="9" s="1"/>
  <c r="O151" i="9" s="1"/>
  <c r="O152" i="9" s="1"/>
  <c r="O153" i="9" s="1"/>
  <c r="O154" i="9" s="1"/>
  <c r="O155" i="9" s="1"/>
  <c r="O156" i="9" s="1"/>
  <c r="O157" i="9" s="1"/>
  <c r="O158" i="9" s="1"/>
  <c r="O159" i="9" s="1"/>
  <c r="O160" i="9" s="1"/>
  <c r="O161" i="9" s="1"/>
  <c r="P147" i="9"/>
  <c r="K142" i="9"/>
  <c r="J142" i="9"/>
  <c r="I142" i="9"/>
  <c r="H142" i="9"/>
  <c r="F142" i="9"/>
  <c r="E142" i="9"/>
  <c r="V129" i="9"/>
  <c r="V130" i="9" s="1"/>
  <c r="U129" i="9"/>
  <c r="U130" i="9" s="1"/>
  <c r="U131" i="9" s="1"/>
  <c r="U132" i="9" s="1"/>
  <c r="U133" i="9" s="1"/>
  <c r="T129" i="9"/>
  <c r="T130" i="9" s="1"/>
  <c r="T131" i="9" s="1"/>
  <c r="T132" i="9" s="1"/>
  <c r="S129" i="9"/>
  <c r="S130" i="9" s="1"/>
  <c r="S131" i="9" s="1"/>
  <c r="S132" i="9" s="1"/>
  <c r="S133" i="9" s="1"/>
  <c r="S134" i="9" s="1"/>
  <c r="S135" i="9" s="1"/>
  <c r="S136" i="9" s="1"/>
  <c r="S137" i="9" s="1"/>
  <c r="S138" i="9" s="1"/>
  <c r="S139" i="9" s="1"/>
  <c r="S140" i="9" s="1"/>
  <c r="S141" i="9" s="1"/>
  <c r="P129" i="9"/>
  <c r="R127" i="9"/>
  <c r="Q127" i="9"/>
  <c r="P127" i="9"/>
  <c r="O127" i="9"/>
  <c r="BY34" i="13"/>
  <c r="EK33" i="13"/>
  <c r="EK34" i="13"/>
  <c r="BT34" i="13"/>
  <c r="BF26" i="13"/>
  <c r="BN26" i="13"/>
  <c r="BB26" i="13"/>
  <c r="BJ26" i="13" s="1"/>
  <c r="H127" i="1"/>
  <c r="H129" i="1"/>
  <c r="H116" i="1"/>
  <c r="H117" i="1"/>
  <c r="H121" i="1"/>
  <c r="H122" i="1" s="1"/>
  <c r="I16" i="12"/>
  <c r="H17" i="12"/>
  <c r="H79" i="1"/>
  <c r="H80" i="1"/>
  <c r="H82" i="1"/>
  <c r="H70" i="1"/>
  <c r="H195" i="1"/>
  <c r="H197" i="1" s="1"/>
  <c r="H198" i="1" s="1"/>
  <c r="I61" i="6" s="1"/>
  <c r="I35" i="6"/>
  <c r="I44" i="6"/>
  <c r="I40" i="6"/>
  <c r="J23" i="14"/>
  <c r="H116" i="12"/>
  <c r="D116" i="12" s="1"/>
  <c r="J71" i="12"/>
  <c r="I71" i="12"/>
  <c r="I74" i="12" s="1"/>
  <c r="H14" i="12" s="1"/>
  <c r="H253" i="1"/>
  <c r="G19" i="3"/>
  <c r="V227" i="9"/>
  <c r="V228" i="9"/>
  <c r="U227" i="9"/>
  <c r="U228" i="9" s="1"/>
  <c r="U229" i="9" s="1"/>
  <c r="U230" i="9" s="1"/>
  <c r="U231" i="9" s="1"/>
  <c r="U232" i="9" s="1"/>
  <c r="U233" i="9" s="1"/>
  <c r="U234" i="9" s="1"/>
  <c r="U235" i="9" s="1"/>
  <c r="U236" i="9" s="1"/>
  <c r="U237" i="9" s="1"/>
  <c r="U238" i="9" s="1"/>
  <c r="U239" i="9" s="1"/>
  <c r="S227" i="9"/>
  <c r="S228" i="9"/>
  <c r="S229" i="9" s="1"/>
  <c r="S230" i="9" s="1"/>
  <c r="S231" i="9"/>
  <c r="S232" i="9" s="1"/>
  <c r="S233" i="9" s="1"/>
  <c r="S234" i="9" s="1"/>
  <c r="S235" i="9" s="1"/>
  <c r="S236" i="9" s="1"/>
  <c r="S237" i="9" s="1"/>
  <c r="S238" i="9" s="1"/>
  <c r="S239" i="9" s="1"/>
  <c r="R227" i="9"/>
  <c r="R228" i="9" s="1"/>
  <c r="Q227" i="9"/>
  <c r="P227" i="9"/>
  <c r="P228" i="9" s="1"/>
  <c r="P229" i="9" s="1"/>
  <c r="P230" i="9" s="1"/>
  <c r="P231" i="9" s="1"/>
  <c r="P232" i="9" s="1"/>
  <c r="P233" i="9" s="1"/>
  <c r="P234" i="9" s="1"/>
  <c r="P235" i="9" s="1"/>
  <c r="P236" i="9" s="1"/>
  <c r="P237" i="9" s="1"/>
  <c r="P238" i="9" s="1"/>
  <c r="P239" i="9" s="1"/>
  <c r="O227" i="9"/>
  <c r="O228" i="9" s="1"/>
  <c r="O229" i="9" s="1"/>
  <c r="O230" i="9" s="1"/>
  <c r="O231" i="9" s="1"/>
  <c r="O232" i="9" s="1"/>
  <c r="O233" i="9" s="1"/>
  <c r="O234" i="9" s="1"/>
  <c r="O235" i="9" s="1"/>
  <c r="O236" i="9" s="1"/>
  <c r="O237" i="9" s="1"/>
  <c r="O238" i="9" s="1"/>
  <c r="O239" i="9" s="1"/>
  <c r="L240" i="9"/>
  <c r="K240" i="9"/>
  <c r="I240" i="9"/>
  <c r="H240" i="9"/>
  <c r="G240" i="9"/>
  <c r="F240" i="9"/>
  <c r="E240" i="9"/>
  <c r="S225" i="9"/>
  <c r="R225" i="9"/>
  <c r="Q225" i="9"/>
  <c r="P225" i="9"/>
  <c r="O225" i="9"/>
  <c r="G49" i="3"/>
  <c r="G48" i="3"/>
  <c r="G16" i="3"/>
  <c r="E43" i="3"/>
  <c r="G43" i="3" s="1"/>
  <c r="G13" i="3"/>
  <c r="G14" i="3"/>
  <c r="G15" i="3"/>
  <c r="G18" i="3"/>
  <c r="E52" i="3"/>
  <c r="F42" i="7"/>
  <c r="F47" i="7"/>
  <c r="F112" i="7"/>
  <c r="F107" i="7"/>
  <c r="J211" i="7"/>
  <c r="L211" i="7" s="1"/>
  <c r="L269" i="9"/>
  <c r="L270" i="9" s="1"/>
  <c r="L271" i="9" s="1"/>
  <c r="L272" i="9" s="1"/>
  <c r="L273" i="9" s="1"/>
  <c r="L274" i="9" s="1"/>
  <c r="L275" i="9" s="1"/>
  <c r="L276" i="9" s="1"/>
  <c r="L277" i="9" s="1"/>
  <c r="L278" i="9" s="1"/>
  <c r="L279" i="9" s="1"/>
  <c r="L280" i="9" s="1"/>
  <c r="L284" i="9" s="1"/>
  <c r="M270" i="9"/>
  <c r="M271" i="9" s="1"/>
  <c r="M81" i="22"/>
  <c r="G82" i="22"/>
  <c r="J106" i="22"/>
  <c r="K106" i="22"/>
  <c r="J112" i="22"/>
  <c r="K112" i="22"/>
  <c r="J125" i="22"/>
  <c r="K125" i="22"/>
  <c r="J132" i="22"/>
  <c r="I89" i="22"/>
  <c r="K89" i="22" s="1"/>
  <c r="I94" i="22"/>
  <c r="K94" i="22" s="1"/>
  <c r="I95" i="22"/>
  <c r="K95" i="22" s="1"/>
  <c r="I96" i="22"/>
  <c r="K96" i="22" s="1"/>
  <c r="I98" i="22"/>
  <c r="K98" i="22" s="1"/>
  <c r="I101" i="22"/>
  <c r="K101" i="22" s="1"/>
  <c r="I104" i="22"/>
  <c r="K104" i="22"/>
  <c r="I105" i="22"/>
  <c r="K105" i="22" s="1"/>
  <c r="I133" i="22"/>
  <c r="K133" i="22" s="1"/>
  <c r="I142" i="22"/>
  <c r="K142" i="22" s="1"/>
  <c r="I146" i="22"/>
  <c r="K146" i="22"/>
  <c r="I149" i="22"/>
  <c r="K149" i="22" s="1"/>
  <c r="I162" i="22"/>
  <c r="K162" i="22" s="1"/>
  <c r="I216" i="22"/>
  <c r="K216" i="22" s="1"/>
  <c r="K81" i="22"/>
  <c r="K82" i="22"/>
  <c r="K83" i="22"/>
  <c r="K84" i="22"/>
  <c r="K85" i="22"/>
  <c r="K86" i="22"/>
  <c r="K87" i="22"/>
  <c r="K88" i="22"/>
  <c r="K90" i="22"/>
  <c r="K91" i="22"/>
  <c r="K92" i="22"/>
  <c r="K93" i="22"/>
  <c r="K97" i="22"/>
  <c r="K99" i="22"/>
  <c r="K100" i="22"/>
  <c r="H102" i="22"/>
  <c r="K102" i="22"/>
  <c r="K103" i="22"/>
  <c r="K107" i="22"/>
  <c r="K108" i="22"/>
  <c r="K109" i="22"/>
  <c r="K110" i="22"/>
  <c r="H111" i="22"/>
  <c r="K111" i="22" s="1"/>
  <c r="K113" i="22"/>
  <c r="H114" i="22"/>
  <c r="K114" i="22"/>
  <c r="K115" i="22"/>
  <c r="K116" i="22"/>
  <c r="K117" i="22"/>
  <c r="H118" i="22"/>
  <c r="K118" i="22" s="1"/>
  <c r="K119" i="22"/>
  <c r="K120" i="22"/>
  <c r="K121" i="22"/>
  <c r="K122" i="22"/>
  <c r="H123" i="22"/>
  <c r="K123" i="22"/>
  <c r="H124" i="22"/>
  <c r="K124" i="22" s="1"/>
  <c r="K126" i="22"/>
  <c r="K127" i="22"/>
  <c r="E128" i="22"/>
  <c r="H128" i="22"/>
  <c r="K128" i="22" s="1"/>
  <c r="K129" i="22"/>
  <c r="H130" i="22"/>
  <c r="K130" i="22" s="1"/>
  <c r="H131" i="22"/>
  <c r="K131" i="22" s="1"/>
  <c r="H132" i="22"/>
  <c r="K132" i="22" s="1"/>
  <c r="K134" i="22"/>
  <c r="K135" i="22"/>
  <c r="K136" i="22"/>
  <c r="K137" i="22"/>
  <c r="K138" i="22"/>
  <c r="K139" i="22"/>
  <c r="K140" i="22"/>
  <c r="K141" i="22"/>
  <c r="K143" i="22"/>
  <c r="K144" i="22"/>
  <c r="K145" i="22"/>
  <c r="K147" i="22"/>
  <c r="K148" i="22"/>
  <c r="K150" i="22"/>
  <c r="K151" i="22"/>
  <c r="K152" i="22"/>
  <c r="K153" i="22"/>
  <c r="K154" i="22"/>
  <c r="K155" i="22"/>
  <c r="K156" i="22"/>
  <c r="K157" i="22"/>
  <c r="K158" i="22"/>
  <c r="K159" i="22"/>
  <c r="K160" i="22"/>
  <c r="K161"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H191" i="22"/>
  <c r="K191" i="22" s="1"/>
  <c r="K192" i="22"/>
  <c r="K193" i="22"/>
  <c r="K194" i="22"/>
  <c r="H195" i="22"/>
  <c r="K195" i="22" s="1"/>
  <c r="K196" i="22"/>
  <c r="K197" i="22"/>
  <c r="K198" i="22"/>
  <c r="K199" i="22"/>
  <c r="K200" i="22"/>
  <c r="K201" i="22"/>
  <c r="K202" i="22"/>
  <c r="K203" i="22"/>
  <c r="K204" i="22"/>
  <c r="K205" i="22"/>
  <c r="K206" i="22"/>
  <c r="K207" i="22"/>
  <c r="K208" i="22"/>
  <c r="K209" i="22"/>
  <c r="K210" i="22"/>
  <c r="K211" i="22"/>
  <c r="K212" i="22"/>
  <c r="K213" i="22"/>
  <c r="K214" i="22"/>
  <c r="K215" i="22"/>
  <c r="K217" i="22"/>
  <c r="K218" i="22"/>
  <c r="K219" i="22"/>
  <c r="H220" i="22"/>
  <c r="K220" i="22" s="1"/>
  <c r="K221" i="22"/>
  <c r="K222" i="22"/>
  <c r="H223" i="22"/>
  <c r="K223" i="22" s="1"/>
  <c r="K224" i="22"/>
  <c r="H225" i="22"/>
  <c r="K225" i="22"/>
  <c r="K226" i="22"/>
  <c r="H227" i="22"/>
  <c r="K227" i="22" s="1"/>
  <c r="H228" i="22"/>
  <c r="K228" i="22" s="1"/>
  <c r="H229" i="22"/>
  <c r="K229" i="22" s="1"/>
  <c r="H230" i="22"/>
  <c r="K230" i="22" s="1"/>
  <c r="F224" i="22"/>
  <c r="B197" i="22"/>
  <c r="B207" i="22" s="1"/>
  <c r="B206" i="22"/>
  <c r="F186" i="22"/>
  <c r="F151" i="22"/>
  <c r="B118" i="22"/>
  <c r="B123" i="22"/>
  <c r="B128" i="22" s="1"/>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J71" i="22"/>
  <c r="J70" i="22"/>
  <c r="J69" i="22"/>
  <c r="J68" i="22"/>
  <c r="J67" i="22"/>
  <c r="J66" i="22"/>
  <c r="J65" i="22"/>
  <c r="J64" i="22"/>
  <c r="J63" i="22"/>
  <c r="J62" i="22"/>
  <c r="J61" i="22"/>
  <c r="I61" i="22"/>
  <c r="J60" i="22"/>
  <c r="I60" i="22"/>
  <c r="J59" i="22"/>
  <c r="I59" i="22"/>
  <c r="J58" i="22"/>
  <c r="I58" i="22"/>
  <c r="J57" i="22"/>
  <c r="I57" i="22"/>
  <c r="J56" i="22"/>
  <c r="I56" i="22"/>
  <c r="J55" i="22"/>
  <c r="I55" i="22"/>
  <c r="J54" i="22"/>
  <c r="I54" i="22"/>
  <c r="J53" i="22"/>
  <c r="I53" i="22"/>
  <c r="J52" i="22"/>
  <c r="I52" i="22"/>
  <c r="J51" i="22"/>
  <c r="I51" i="22"/>
  <c r="J50" i="22"/>
  <c r="I50" i="22"/>
  <c r="J49" i="22"/>
  <c r="I49" i="22"/>
  <c r="J48" i="22"/>
  <c r="I48" i="22"/>
  <c r="J47" i="22"/>
  <c r="I47" i="22"/>
  <c r="J46" i="22"/>
  <c r="I46" i="22"/>
  <c r="J45" i="22"/>
  <c r="I45" i="22"/>
  <c r="H45" i="22"/>
  <c r="F32" i="22"/>
  <c r="A105" i="9"/>
  <c r="B105" i="9"/>
  <c r="C10" i="9"/>
  <c r="C11" i="9" s="1"/>
  <c r="C12" i="9" s="1"/>
  <c r="E105" i="9"/>
  <c r="B108" i="9"/>
  <c r="E108" i="9"/>
  <c r="E319" i="9"/>
  <c r="C17" i="9"/>
  <c r="C220" i="9"/>
  <c r="B20" i="9"/>
  <c r="B319" i="9" s="1"/>
  <c r="A319" i="9"/>
  <c r="E315" i="9"/>
  <c r="B19" i="9"/>
  <c r="B315" i="9" s="1"/>
  <c r="A315" i="9"/>
  <c r="F292" i="9"/>
  <c r="F293" i="9" s="1"/>
  <c r="F294" i="9" s="1"/>
  <c r="F295" i="9" s="1"/>
  <c r="E295" i="9"/>
  <c r="E294" i="9"/>
  <c r="E293" i="9"/>
  <c r="E292" i="9"/>
  <c r="E291" i="9"/>
  <c r="F277" i="9"/>
  <c r="F278" i="9" s="1"/>
  <c r="F279" i="9" s="1"/>
  <c r="F280" i="9" s="1"/>
  <c r="F284" i="9" s="1"/>
  <c r="F285" i="9" s="1"/>
  <c r="F286" i="9" s="1"/>
  <c r="F287" i="9" s="1"/>
  <c r="F288" i="9" s="1"/>
  <c r="F289" i="9" s="1"/>
  <c r="F290" i="9" s="1"/>
  <c r="E290" i="9"/>
  <c r="E289" i="9"/>
  <c r="E288" i="9"/>
  <c r="E287" i="9"/>
  <c r="E286" i="9"/>
  <c r="E285" i="9"/>
  <c r="E284" i="9"/>
  <c r="F270" i="9"/>
  <c r="F271" i="9" s="1"/>
  <c r="F272" i="9" s="1"/>
  <c r="F273" i="9" s="1"/>
  <c r="F274" i="9" s="1"/>
  <c r="F275" i="9" s="1"/>
  <c r="L261" i="9"/>
  <c r="F261" i="9"/>
  <c r="E258" i="9"/>
  <c r="B17" i="9"/>
  <c r="B220" i="9" s="1"/>
  <c r="A258" i="9"/>
  <c r="E220" i="9"/>
  <c r="A220" i="9"/>
  <c r="E124" i="9"/>
  <c r="C124" i="9"/>
  <c r="B124" i="9"/>
  <c r="A124" i="9"/>
  <c r="E121" i="9"/>
  <c r="B121" i="9"/>
  <c r="A121" i="9"/>
  <c r="E27" i="9"/>
  <c r="B10" i="9"/>
  <c r="B27" i="9" s="1"/>
  <c r="A27" i="9"/>
  <c r="E24" i="9"/>
  <c r="C24" i="9"/>
  <c r="B24" i="9"/>
  <c r="A24" i="9"/>
  <c r="G62" i="7"/>
  <c r="G63" i="7" s="1"/>
  <c r="G46" i="7"/>
  <c r="G47" i="7" s="1"/>
  <c r="G41" i="7"/>
  <c r="G42" i="7" s="1"/>
  <c r="G36" i="7"/>
  <c r="G37" i="7" s="1"/>
  <c r="I162" i="7"/>
  <c r="J162" i="7" s="1"/>
  <c r="H73" i="1" s="1"/>
  <c r="J212" i="7"/>
  <c r="L212" i="7" s="1"/>
  <c r="O230" i="7"/>
  <c r="G220" i="7" s="1"/>
  <c r="H23" i="14" s="1"/>
  <c r="E319" i="7"/>
  <c r="E321" i="7" s="1"/>
  <c r="E323" i="7" s="1"/>
  <c r="E325" i="7" s="1"/>
  <c r="H109" i="1" s="1"/>
  <c r="H111" i="1" s="1"/>
  <c r="E34" i="3"/>
  <c r="E69" i="3"/>
  <c r="A1" i="3"/>
  <c r="O50" i="14"/>
  <c r="O53" i="14"/>
  <c r="F63" i="7"/>
  <c r="F37" i="7"/>
  <c r="D71" i="12"/>
  <c r="C71" i="12"/>
  <c r="D8" i="5"/>
  <c r="E116" i="12"/>
  <c r="H67" i="14"/>
  <c r="J65" i="14"/>
  <c r="H45" i="14" s="1"/>
  <c r="H50" i="14" s="1"/>
  <c r="AH26" i="13"/>
  <c r="AD26" i="13"/>
  <c r="Z26" i="13"/>
  <c r="C233" i="1"/>
  <c r="V26" i="13"/>
  <c r="R26" i="13" s="1"/>
  <c r="F71" i="12"/>
  <c r="N50" i="14"/>
  <c r="M37" i="14"/>
  <c r="M42" i="14" s="1"/>
  <c r="N42" i="14"/>
  <c r="M29" i="14"/>
  <c r="M34" i="14"/>
  <c r="N34" i="14"/>
  <c r="F128" i="7"/>
  <c r="F102" i="7"/>
  <c r="D34" i="13"/>
  <c r="C33" i="13"/>
  <c r="A24" i="13"/>
  <c r="A25" i="13" s="1"/>
  <c r="A26" i="13"/>
  <c r="A27" i="13" s="1"/>
  <c r="A28" i="13"/>
  <c r="A29" i="13" s="1"/>
  <c r="A30" i="13" s="1"/>
  <c r="A32" i="13" s="1"/>
  <c r="I23" i="14"/>
  <c r="G111" i="7"/>
  <c r="G112" i="7" s="1"/>
  <c r="G106" i="7"/>
  <c r="G107" i="7" s="1"/>
  <c r="H53" i="1" s="1"/>
  <c r="J307" i="7"/>
  <c r="J301" i="7"/>
  <c r="J299" i="7"/>
  <c r="J297" i="7"/>
  <c r="J295" i="7"/>
  <c r="J293" i="7"/>
  <c r="J291" i="7"/>
  <c r="J290" i="7"/>
  <c r="J289" i="7"/>
  <c r="J288" i="7"/>
  <c r="J287" i="7"/>
  <c r="J286" i="7"/>
  <c r="J283" i="7"/>
  <c r="J282" i="7"/>
  <c r="J281" i="7"/>
  <c r="J279" i="7"/>
  <c r="J272" i="7"/>
  <c r="J271" i="7"/>
  <c r="J270" i="7"/>
  <c r="J268" i="7"/>
  <c r="J264" i="7"/>
  <c r="J263" i="7"/>
  <c r="J261" i="7"/>
  <c r="J259" i="7"/>
  <c r="J256" i="7"/>
  <c r="J255" i="7"/>
  <c r="J254" i="7"/>
  <c r="G127" i="7"/>
  <c r="G128" i="7" s="1"/>
  <c r="G101" i="7"/>
  <c r="G102" i="7" s="1"/>
  <c r="J140" i="7"/>
  <c r="D141" i="12"/>
  <c r="D96" i="12"/>
  <c r="D34" i="12"/>
  <c r="E9" i="12"/>
  <c r="A13" i="12"/>
  <c r="A14" i="12" s="1"/>
  <c r="A15" i="12" s="1"/>
  <c r="A16" i="12" s="1"/>
  <c r="A17" i="12" s="1"/>
  <c r="A18" i="12" s="1"/>
  <c r="D26" i="6"/>
  <c r="I25" i="6"/>
  <c r="D25" i="6"/>
  <c r="D24" i="6"/>
  <c r="I23" i="6"/>
  <c r="D23" i="6"/>
  <c r="D35" i="5"/>
  <c r="A19" i="1"/>
  <c r="H112" i="1"/>
  <c r="H123" i="1"/>
  <c r="H143" i="1"/>
  <c r="H43" i="1"/>
  <c r="H55" i="1"/>
  <c r="H162" i="1"/>
  <c r="H164" i="1" s="1"/>
  <c r="H221" i="1"/>
  <c r="E182" i="1"/>
  <c r="E178" i="1"/>
  <c r="E177" i="1"/>
  <c r="E176" i="1"/>
  <c r="E121" i="1"/>
  <c r="E178" i="7"/>
  <c r="E117" i="1"/>
  <c r="E189" i="7" s="1"/>
  <c r="E221" i="1"/>
  <c r="E194" i="7"/>
  <c r="E257" i="1"/>
  <c r="E116" i="1"/>
  <c r="E173" i="7" s="1"/>
  <c r="E110" i="1"/>
  <c r="E168" i="7" s="1"/>
  <c r="E107" i="1"/>
  <c r="E100" i="1"/>
  <c r="E167" i="1"/>
  <c r="E70" i="1"/>
  <c r="E194" i="1"/>
  <c r="E184" i="7"/>
  <c r="C44" i="14"/>
  <c r="C36" i="14"/>
  <c r="C28" i="14"/>
  <c r="I22" i="6"/>
  <c r="I31" i="6"/>
  <c r="I32" i="6"/>
  <c r="A19" i="6"/>
  <c r="A22" i="6"/>
  <c r="A23" i="6" s="1"/>
  <c r="A24" i="6" s="1"/>
  <c r="A25" i="6" s="1"/>
  <c r="A26" i="6" s="1"/>
  <c r="A30" i="6" s="1"/>
  <c r="A31" i="6" s="1"/>
  <c r="A32" i="6" s="1"/>
  <c r="A33" i="6" s="1"/>
  <c r="A34" i="6" s="1"/>
  <c r="A35" i="6" s="1"/>
  <c r="A36" i="6" s="1"/>
  <c r="A37" i="6" s="1"/>
  <c r="A39" i="6" s="1"/>
  <c r="H213" i="7"/>
  <c r="J138" i="7"/>
  <c r="J137" i="7"/>
  <c r="G213" i="7"/>
  <c r="J146" i="7"/>
  <c r="J145" i="7"/>
  <c r="C137" i="7"/>
  <c r="G151" i="7"/>
  <c r="G166" i="7" s="1"/>
  <c r="C153" i="7"/>
  <c r="F153" i="7"/>
  <c r="C155" i="7"/>
  <c r="F155" i="7"/>
  <c r="C157" i="7"/>
  <c r="F157" i="7"/>
  <c r="A1" i="5"/>
  <c r="A12" i="5"/>
  <c r="A13" i="5"/>
  <c r="A14" i="5"/>
  <c r="A15" i="5" s="1"/>
  <c r="A16" i="5" s="1"/>
  <c r="A17" i="5" s="1"/>
  <c r="A18" i="5" s="1"/>
  <c r="A19" i="5" s="1"/>
  <c r="A21" i="5" s="1"/>
  <c r="A1" i="6"/>
  <c r="C16" i="6"/>
  <c r="C19" i="6"/>
  <c r="F19" i="6"/>
  <c r="C21" i="6"/>
  <c r="D22" i="6"/>
  <c r="C29" i="6"/>
  <c r="D30" i="6"/>
  <c r="D31" i="6"/>
  <c r="D32" i="6"/>
  <c r="D33" i="6"/>
  <c r="D34" i="6"/>
  <c r="D35" i="6"/>
  <c r="D36" i="6"/>
  <c r="D37" i="6"/>
  <c r="D39" i="6"/>
  <c r="F39" i="6"/>
  <c r="D40" i="6"/>
  <c r="F40" i="6"/>
  <c r="D41" i="6"/>
  <c r="F41" i="6"/>
  <c r="D43" i="6"/>
  <c r="F43" i="6"/>
  <c r="D44" i="6"/>
  <c r="F44" i="6"/>
  <c r="D45" i="6"/>
  <c r="F45" i="6"/>
  <c r="D47" i="6"/>
  <c r="F47" i="6"/>
  <c r="D48" i="6"/>
  <c r="F48" i="6"/>
  <c r="D49" i="6"/>
  <c r="F49" i="6"/>
  <c r="C50" i="6"/>
  <c r="C52" i="6"/>
  <c r="I57" i="6"/>
  <c r="I59" i="6"/>
  <c r="I19" i="6"/>
  <c r="F189" i="7"/>
  <c r="F178" i="7"/>
  <c r="B162" i="7"/>
  <c r="F173" i="7"/>
  <c r="I173" i="7"/>
  <c r="G1" i="7"/>
  <c r="C138" i="7"/>
  <c r="C140" i="7"/>
  <c r="F140" i="7"/>
  <c r="C145" i="7"/>
  <c r="C168" i="7"/>
  <c r="F168" i="7"/>
  <c r="C173" i="7"/>
  <c r="C178" i="7"/>
  <c r="C184" i="7"/>
  <c r="C189" i="7"/>
  <c r="J189" i="7"/>
  <c r="C194" i="7"/>
  <c r="G192" i="7" s="1"/>
  <c r="G201" i="7"/>
  <c r="D205" i="7"/>
  <c r="B245" i="7"/>
  <c r="C246" i="7"/>
  <c r="E79" i="1"/>
  <c r="E140" i="7"/>
  <c r="E141" i="1"/>
  <c r="E19" i="1"/>
  <c r="E153" i="7" s="1"/>
  <c r="E36" i="1"/>
  <c r="E155" i="7" s="1"/>
  <c r="E50" i="1"/>
  <c r="E157" i="7" s="1"/>
  <c r="H16" i="13"/>
  <c r="H11" i="13"/>
  <c r="H10" i="13"/>
  <c r="H260" i="1"/>
  <c r="H14" i="1"/>
  <c r="E38" i="1"/>
  <c r="E68" i="1"/>
  <c r="A12" i="1"/>
  <c r="A13" i="1" s="1"/>
  <c r="A14" i="1" s="1"/>
  <c r="F16" i="1" s="1"/>
  <c r="F43" i="1"/>
  <c r="C55" i="1"/>
  <c r="F55" i="1"/>
  <c r="E76" i="1"/>
  <c r="F80" i="1"/>
  <c r="F112" i="1"/>
  <c r="F143" i="1"/>
  <c r="C220" i="1"/>
  <c r="C245" i="1"/>
  <c r="C1" i="12"/>
  <c r="B17" i="12"/>
  <c r="N74" i="12"/>
  <c r="M23" i="14"/>
  <c r="H185" i="1"/>
  <c r="F210" i="22"/>
  <c r="AG21" i="7"/>
  <c r="AF21" i="7"/>
  <c r="AB21" i="7"/>
  <c r="V21" i="7"/>
  <c r="V29" i="13"/>
  <c r="Q86" i="7"/>
  <c r="AK86" i="7"/>
  <c r="L86" i="7"/>
  <c r="Z29" i="13"/>
  <c r="AI86" i="7"/>
  <c r="DT29" i="13"/>
  <c r="DP29" i="13"/>
  <c r="AH86" i="7"/>
  <c r="W86" i="7"/>
  <c r="BJ29" i="13"/>
  <c r="AC86" i="7"/>
  <c r="AJ86" i="7"/>
  <c r="CV29" i="13"/>
  <c r="AA86" i="7"/>
  <c r="AN86" i="7"/>
  <c r="AP86" i="7"/>
  <c r="BR29" i="13"/>
  <c r="V86" i="7"/>
  <c r="I86" i="7"/>
  <c r="U86" i="7"/>
  <c r="AL86" i="7"/>
  <c r="AD21" i="7"/>
  <c r="T33" i="13"/>
  <c r="T34" i="13" s="1"/>
  <c r="CL33" i="13"/>
  <c r="CL34" i="13" s="1"/>
  <c r="CP33" i="13"/>
  <c r="CP34" i="13" s="1"/>
  <c r="CD33" i="13"/>
  <c r="CD34" i="13" s="1"/>
  <c r="AR33" i="13"/>
  <c r="AR34" i="13" s="1"/>
  <c r="BD33" i="13"/>
  <c r="BD34" i="13" s="1"/>
  <c r="BL33" i="13"/>
  <c r="BL34" i="13" s="1"/>
  <c r="BU33" i="13"/>
  <c r="BU34" i="13" s="1"/>
  <c r="CT33" i="13"/>
  <c r="CT34" i="13" s="1"/>
  <c r="AN33" i="13"/>
  <c r="AN34" i="13" s="1"/>
  <c r="EP33" i="13"/>
  <c r="EP34" i="13" s="1"/>
  <c r="H33" i="13"/>
  <c r="H34" i="13" s="1"/>
  <c r="DB33" i="13"/>
  <c r="DB34" i="13" s="1"/>
  <c r="FN33" i="13"/>
  <c r="FN34" i="13" s="1"/>
  <c r="AJ33" i="13"/>
  <c r="AJ34" i="13" s="1"/>
  <c r="BZ33" i="13"/>
  <c r="BZ34" i="13" s="1"/>
  <c r="EL34" i="13"/>
  <c r="BH33" i="13"/>
  <c r="BH34" i="13" s="1"/>
  <c r="DN33" i="13"/>
  <c r="DN34" i="13" s="1"/>
  <c r="CX33" i="13"/>
  <c r="CX34" i="13" s="1"/>
  <c r="FJ33" i="13"/>
  <c r="FJ34" i="13" s="1"/>
  <c r="ET33" i="13"/>
  <c r="ET34" i="13" s="1"/>
  <c r="ED33" i="13"/>
  <c r="ED34" i="13" s="1"/>
  <c r="FF33" i="13"/>
  <c r="FF34" i="13" s="1"/>
  <c r="DF33" i="13"/>
  <c r="DF34" i="13" s="1"/>
  <c r="DR33" i="13"/>
  <c r="DR34" i="13" s="1"/>
  <c r="X33" i="13"/>
  <c r="X34" i="13" s="1"/>
  <c r="EX34" i="13"/>
  <c r="F223" i="22"/>
  <c r="F194" i="22"/>
  <c r="F162" i="22"/>
  <c r="F146" i="22"/>
  <c r="F199" i="22"/>
  <c r="F212" i="22"/>
  <c r="F20" i="1"/>
  <c r="F227" i="22"/>
  <c r="F221" i="22"/>
  <c r="F205" i="22"/>
  <c r="F201" i="22"/>
  <c r="F197" i="22"/>
  <c r="F185" i="22"/>
  <c r="F181" i="22"/>
  <c r="F173" i="22"/>
  <c r="F165" i="22"/>
  <c r="F157" i="22"/>
  <c r="F153" i="22"/>
  <c r="F141" i="22"/>
  <c r="F131" i="22"/>
  <c r="F218" i="22"/>
  <c r="F215" i="22"/>
  <c r="F209" i="22"/>
  <c r="F200" i="22"/>
  <c r="F192" i="22"/>
  <c r="F184" i="22"/>
  <c r="F180" i="22"/>
  <c r="F168" i="22"/>
  <c r="F164" i="22"/>
  <c r="F160" i="22"/>
  <c r="F148" i="22"/>
  <c r="F144" i="22"/>
  <c r="F130" i="22"/>
  <c r="F129" i="22"/>
  <c r="F147" i="22"/>
  <c r="F155" i="22"/>
  <c r="F179" i="22"/>
  <c r="F187" i="22"/>
  <c r="F203" i="22"/>
  <c r="F217" i="22"/>
  <c r="F214" i="22"/>
  <c r="F150" i="22"/>
  <c r="F158" i="22"/>
  <c r="F166" i="22"/>
  <c r="F190" i="22"/>
  <c r="F198" i="22"/>
  <c r="F219" i="22"/>
  <c r="M45" i="14"/>
  <c r="M50" i="14" s="1"/>
  <c r="T240" i="9"/>
  <c r="T241" i="9" s="1"/>
  <c r="C18" i="9"/>
  <c r="C258" i="9"/>
  <c r="R229" i="9"/>
  <c r="R230" i="9" s="1"/>
  <c r="R231" i="9" s="1"/>
  <c r="R232" i="9" s="1"/>
  <c r="R233" i="9" s="1"/>
  <c r="I45" i="14"/>
  <c r="I50" i="14" s="1"/>
  <c r="C19" i="9"/>
  <c r="T71" i="9"/>
  <c r="T72" i="9" s="1"/>
  <c r="T73" i="9" s="1"/>
  <c r="T74" i="9" s="1"/>
  <c r="T75" i="9" s="1"/>
  <c r="T76" i="9" s="1"/>
  <c r="T77" i="9" s="1"/>
  <c r="T78" i="9" s="1"/>
  <c r="T79" i="9" s="1"/>
  <c r="T80" i="9" s="1"/>
  <c r="T81" i="9" s="1"/>
  <c r="T82" i="9" s="1"/>
  <c r="Q228" i="9"/>
  <c r="B18" i="9"/>
  <c r="B258" i="9" s="1"/>
  <c r="S53" i="26"/>
  <c r="K20" i="26"/>
  <c r="S195" i="9"/>
  <c r="S196" i="9" s="1"/>
  <c r="S197" i="9" s="1"/>
  <c r="S198" i="9" s="1"/>
  <c r="S199" i="9" s="1"/>
  <c r="S200" i="9" s="1"/>
  <c r="T201" i="9"/>
  <c r="T202" i="9" s="1"/>
  <c r="R151" i="9"/>
  <c r="R152" i="9" s="1"/>
  <c r="R153" i="9" s="1"/>
  <c r="R154" i="9" s="1"/>
  <c r="R155" i="9" s="1"/>
  <c r="R156" i="9" s="1"/>
  <c r="R157" i="9" s="1"/>
  <c r="R158" i="9" s="1"/>
  <c r="R159" i="9" s="1"/>
  <c r="R160" i="9" s="1"/>
  <c r="R161" i="9" s="1"/>
  <c r="BM21" i="7"/>
  <c r="O189" i="9"/>
  <c r="O190" i="9" s="1"/>
  <c r="O191" i="9" s="1"/>
  <c r="O192" i="9" s="1"/>
  <c r="O193" i="9" s="1"/>
  <c r="O194" i="9" s="1"/>
  <c r="O195" i="9" s="1"/>
  <c r="O196" i="9" s="1"/>
  <c r="O197" i="9" s="1"/>
  <c r="O198" i="9" s="1"/>
  <c r="O199" i="9" s="1"/>
  <c r="O200" i="9" s="1"/>
  <c r="HF34" i="13"/>
  <c r="U170" i="9"/>
  <c r="U171" i="9" s="1"/>
  <c r="U172" i="9" s="1"/>
  <c r="U173" i="9" s="1"/>
  <c r="U174" i="9" s="1"/>
  <c r="U175" i="9" s="1"/>
  <c r="U176" i="9" s="1"/>
  <c r="U177" i="9" s="1"/>
  <c r="U178" i="9" s="1"/>
  <c r="U179" i="9" s="1"/>
  <c r="U180" i="9" s="1"/>
  <c r="U181" i="9" s="1"/>
  <c r="Q229" i="9"/>
  <c r="Q230" i="9" s="1"/>
  <c r="Q231" i="9" s="1"/>
  <c r="Q232" i="9" s="1"/>
  <c r="Q233" i="9" s="1"/>
  <c r="Q234" i="9" s="1"/>
  <c r="Q235" i="9" s="1"/>
  <c r="Q236" i="9" s="1"/>
  <c r="Q237" i="9" s="1"/>
  <c r="Q238" i="9" s="1"/>
  <c r="Q239" i="9" s="1"/>
  <c r="P171" i="9"/>
  <c r="P172" i="9" s="1"/>
  <c r="P173" i="9" s="1"/>
  <c r="C27" i="9"/>
  <c r="F213" i="22"/>
  <c r="F202" i="22"/>
  <c r="F170" i="22"/>
  <c r="F143" i="22"/>
  <c r="F178" i="22"/>
  <c r="F175" i="22"/>
  <c r="F230" i="22"/>
  <c r="F211" i="22"/>
  <c r="F193" i="22"/>
  <c r="F177" i="22"/>
  <c r="F161" i="22"/>
  <c r="F145" i="22"/>
  <c r="F225" i="22"/>
  <c r="F204" i="22"/>
  <c r="F188" i="22"/>
  <c r="F172" i="22"/>
  <c r="F156" i="22"/>
  <c r="F133" i="22"/>
  <c r="F134" i="22"/>
  <c r="F136" i="22" s="1"/>
  <c r="F137" i="22" s="1"/>
  <c r="F226" i="22"/>
  <c r="F163" i="22"/>
  <c r="F195" i="22"/>
  <c r="F228" i="22"/>
  <c r="F142" i="22"/>
  <c r="F174" i="22"/>
  <c r="F208" i="22"/>
  <c r="F191" i="22"/>
  <c r="F167" i="22"/>
  <c r="F128" i="22"/>
  <c r="C13" i="9"/>
  <c r="C121" i="9" s="1"/>
  <c r="BM86" i="7"/>
  <c r="O130" i="9" l="1"/>
  <c r="O131" i="9" s="1"/>
  <c r="P130" i="9"/>
  <c r="P131" i="9" s="1"/>
  <c r="P132" i="9" s="1"/>
  <c r="P133" i="9" s="1"/>
  <c r="P134" i="9" s="1"/>
  <c r="P135" i="9" s="1"/>
  <c r="P136" i="9" s="1"/>
  <c r="P137" i="9" s="1"/>
  <c r="P138" i="9" s="1"/>
  <c r="P139" i="9" s="1"/>
  <c r="P140" i="9" s="1"/>
  <c r="P141" i="9" s="1"/>
  <c r="G52" i="3"/>
  <c r="E54" i="3"/>
  <c r="O173" i="9"/>
  <c r="O174" i="9" s="1"/>
  <c r="I26" i="6"/>
  <c r="H173" i="1"/>
  <c r="I36" i="6" s="1"/>
  <c r="I24" i="6"/>
  <c r="D27" i="5"/>
  <c r="H113" i="1"/>
  <c r="I48" i="6"/>
  <c r="H124" i="1"/>
  <c r="S173" i="9"/>
  <c r="S174" i="9" s="1"/>
  <c r="S175" i="9" s="1"/>
  <c r="S176" i="9" s="1"/>
  <c r="S177" i="9" s="1"/>
  <c r="S178" i="9" s="1"/>
  <c r="S179" i="9" s="1"/>
  <c r="S180" i="9" s="1"/>
  <c r="S181" i="9" s="1"/>
  <c r="R173" i="9"/>
  <c r="R174" i="9" s="1"/>
  <c r="R175" i="9" s="1"/>
  <c r="R176" i="9" s="1"/>
  <c r="R177" i="9" s="1"/>
  <c r="R178" i="9" s="1"/>
  <c r="R179" i="9" s="1"/>
  <c r="R180" i="9" s="1"/>
  <c r="R181" i="9" s="1"/>
  <c r="N269" i="9"/>
  <c r="P269" i="9" s="1"/>
  <c r="S45" i="9"/>
  <c r="S46" i="9" s="1"/>
  <c r="E71" i="3"/>
  <c r="E75" i="3" s="1"/>
  <c r="G34" i="3"/>
  <c r="G54" i="3" s="1"/>
  <c r="H150" i="1" s="1"/>
  <c r="H152" i="1" s="1"/>
  <c r="H213" i="1" s="1"/>
  <c r="I58" i="6"/>
  <c r="AR273" i="7"/>
  <c r="CV30" i="13" s="1"/>
  <c r="CW33" i="13" s="1"/>
  <c r="CW34" i="13" s="1"/>
  <c r="G66" i="7"/>
  <c r="H19" i="1" s="1"/>
  <c r="H20" i="1" s="1"/>
  <c r="AA273" i="7"/>
  <c r="BF30" i="13" s="1"/>
  <c r="BG33" i="13" s="1"/>
  <c r="BG34" i="13" s="1"/>
  <c r="BO273" i="7"/>
  <c r="K302" i="7"/>
  <c r="D303" i="7" s="1"/>
  <c r="H140" i="1" s="1"/>
  <c r="H142" i="1" s="1"/>
  <c r="H144" i="1" s="1"/>
  <c r="J147" i="7"/>
  <c r="BJ273" i="7"/>
  <c r="HL30" i="13" s="1"/>
  <c r="HM33" i="13" s="1"/>
  <c r="HM34" i="13" s="1"/>
  <c r="H118" i="1"/>
  <c r="H81" i="1"/>
  <c r="H83" i="1" s="1"/>
  <c r="Z273" i="7"/>
  <c r="BB30" i="13" s="1"/>
  <c r="BC33" i="13" s="1"/>
  <c r="BC34" i="13" s="1"/>
  <c r="G155" i="7"/>
  <c r="J213" i="7"/>
  <c r="AQ273" i="7"/>
  <c r="CJ30" i="13" s="1"/>
  <c r="CK33" i="13" s="1"/>
  <c r="CK34" i="13" s="1"/>
  <c r="BL273" i="7"/>
  <c r="HH30" i="13" s="1"/>
  <c r="HI33" i="13" s="1"/>
  <c r="HI34" i="13" s="1"/>
  <c r="BP258" i="7"/>
  <c r="L213" i="7"/>
  <c r="H76" i="1" s="1"/>
  <c r="BK273" i="7"/>
  <c r="HX30" i="13" s="1"/>
  <c r="HY33" i="13" s="1"/>
  <c r="HY34" i="13" s="1"/>
  <c r="I60" i="6"/>
  <c r="BB273" i="7"/>
  <c r="FP30" i="13" s="1"/>
  <c r="FQ33" i="13" s="1"/>
  <c r="FQ34" i="13" s="1"/>
  <c r="Y273" i="7"/>
  <c r="BW30" i="13" s="1"/>
  <c r="BX33" i="13" s="1"/>
  <c r="BX34" i="13" s="1"/>
  <c r="AV273" i="7"/>
  <c r="GR30" i="13" s="1"/>
  <c r="GS33" i="13" s="1"/>
  <c r="GS34" i="13" s="1"/>
  <c r="BH273" i="7"/>
  <c r="HT30" i="13" s="1"/>
  <c r="HU33" i="13" s="1"/>
  <c r="HU34" i="13" s="1"/>
  <c r="BP267" i="7"/>
  <c r="K273" i="7"/>
  <c r="N30" i="13" s="1"/>
  <c r="O33" i="13" s="1"/>
  <c r="O34" i="13" s="1"/>
  <c r="BP255" i="7"/>
  <c r="F21" i="7"/>
  <c r="F66" i="7" s="1"/>
  <c r="H41" i="1"/>
  <c r="H42" i="1" s="1"/>
  <c r="H44" i="1" s="1"/>
  <c r="H27" i="1" s="1"/>
  <c r="V273" i="7"/>
  <c r="AX30" i="13" s="1"/>
  <c r="AY33" i="13" s="1"/>
  <c r="AY34" i="13" s="1"/>
  <c r="AY273" i="7"/>
  <c r="GJ30" i="13" s="1"/>
  <c r="GK33" i="13" s="1"/>
  <c r="GK34" i="13" s="1"/>
  <c r="AT273" i="7"/>
  <c r="EN30" i="13" s="1"/>
  <c r="EO33" i="13" s="1"/>
  <c r="EO34" i="13" s="1"/>
  <c r="J166" i="12"/>
  <c r="I13" i="12" s="1"/>
  <c r="I117" i="12"/>
  <c r="H12" i="12" s="1"/>
  <c r="J74" i="12"/>
  <c r="I14" i="12" s="1"/>
  <c r="G117" i="12"/>
  <c r="I166" i="12"/>
  <c r="H13" i="12" s="1"/>
  <c r="J117" i="12"/>
  <c r="I12" i="12" s="1"/>
  <c r="I33" i="6"/>
  <c r="I34" i="6" s="1"/>
  <c r="F74" i="12"/>
  <c r="D74" i="12"/>
  <c r="D14" i="12" s="1"/>
  <c r="C116" i="12"/>
  <c r="C117" i="12" s="1"/>
  <c r="C12" i="12" s="1"/>
  <c r="F117" i="12"/>
  <c r="C74" i="12"/>
  <c r="C14" i="12" s="1"/>
  <c r="G74" i="12"/>
  <c r="D13" i="12"/>
  <c r="G166" i="12"/>
  <c r="D117" i="12"/>
  <c r="D12" i="12" s="1"/>
  <c r="F139" i="22"/>
  <c r="F140" i="22" s="1"/>
  <c r="F138" i="22"/>
  <c r="R138" i="9"/>
  <c r="R139" i="9" s="1"/>
  <c r="R140" i="9" s="1"/>
  <c r="R141" i="9" s="1"/>
  <c r="P195" i="9"/>
  <c r="P196" i="9" s="1"/>
  <c r="P197" i="9" s="1"/>
  <c r="P198" i="9" s="1"/>
  <c r="P199" i="9" s="1"/>
  <c r="P200" i="9" s="1"/>
  <c r="S81" i="9"/>
  <c r="S82" i="9" s="1"/>
  <c r="R234" i="9"/>
  <c r="R235" i="9" s="1"/>
  <c r="R236" i="9" s="1"/>
  <c r="R237" i="9" s="1"/>
  <c r="R238" i="9" s="1"/>
  <c r="R239" i="9" s="1"/>
  <c r="R240" i="9"/>
  <c r="R241" i="9" s="1"/>
  <c r="A40" i="6"/>
  <c r="F16" i="22"/>
  <c r="N271" i="9"/>
  <c r="P271" i="9" s="1"/>
  <c r="M272" i="9"/>
  <c r="V229" i="9"/>
  <c r="V230" i="9" s="1"/>
  <c r="V231" i="9" s="1"/>
  <c r="V232" i="9" s="1"/>
  <c r="V233" i="9" s="1"/>
  <c r="V234" i="9" s="1"/>
  <c r="V235" i="9" s="1"/>
  <c r="V236" i="9" s="1"/>
  <c r="V237" i="9" s="1"/>
  <c r="V238" i="9" s="1"/>
  <c r="V239" i="9" s="1"/>
  <c r="V240" i="9"/>
  <c r="V241" i="9" s="1"/>
  <c r="J21" i="14"/>
  <c r="J45" i="14" s="1"/>
  <c r="J50" i="14" s="1"/>
  <c r="G33" i="13" s="1"/>
  <c r="G34" i="13" s="1"/>
  <c r="R71" i="9"/>
  <c r="R72" i="9" s="1"/>
  <c r="R73" i="9" s="1"/>
  <c r="R74" i="9" s="1"/>
  <c r="R75" i="9" s="1"/>
  <c r="R76" i="9" s="1"/>
  <c r="R77" i="9" s="1"/>
  <c r="R78" i="9" s="1"/>
  <c r="R79" i="9" s="1"/>
  <c r="R80" i="9" s="1"/>
  <c r="R81" i="9" s="1"/>
  <c r="R82" i="9" s="1"/>
  <c r="F86" i="7"/>
  <c r="F131" i="7" s="1"/>
  <c r="E71" i="12"/>
  <c r="E117" i="12"/>
  <c r="E12" i="12" s="1"/>
  <c r="E166" i="12"/>
  <c r="E13" i="12" s="1"/>
  <c r="C105" i="9"/>
  <c r="C108" i="9" s="1"/>
  <c r="N270" i="9"/>
  <c r="P270" i="9" s="1"/>
  <c r="P65" i="9"/>
  <c r="Q45" i="9"/>
  <c r="Q46" i="9" s="1"/>
  <c r="R57" i="9"/>
  <c r="R58" i="9" s="1"/>
  <c r="R59" i="9" s="1"/>
  <c r="R60" i="9" s="1"/>
  <c r="R61" i="9" s="1"/>
  <c r="R62" i="9" s="1"/>
  <c r="R63" i="9" s="1"/>
  <c r="R64" i="9" s="1"/>
  <c r="S240" i="9"/>
  <c r="S241" i="9" s="1"/>
  <c r="Q170" i="9"/>
  <c r="Q171" i="9" s="1"/>
  <c r="Q172" i="9" s="1"/>
  <c r="O55" i="9"/>
  <c r="O56" i="9" s="1"/>
  <c r="O57" i="9" s="1"/>
  <c r="O58" i="9" s="1"/>
  <c r="O59" i="9" s="1"/>
  <c r="O60" i="9" s="1"/>
  <c r="O61" i="9" s="1"/>
  <c r="O62" i="9" s="1"/>
  <c r="O63" i="9" s="1"/>
  <c r="O64" i="9" s="1"/>
  <c r="A73" i="3"/>
  <c r="A75" i="3" s="1"/>
  <c r="V193" i="9"/>
  <c r="V194" i="9" s="1"/>
  <c r="V195" i="9" s="1"/>
  <c r="V196" i="9" s="1"/>
  <c r="V197" i="9" s="1"/>
  <c r="V198" i="9" s="1"/>
  <c r="V199" i="9" s="1"/>
  <c r="V200" i="9" s="1"/>
  <c r="T133" i="9"/>
  <c r="T134" i="9" s="1"/>
  <c r="T135" i="9" s="1"/>
  <c r="T136" i="9" s="1"/>
  <c r="T137" i="9" s="1"/>
  <c r="T138" i="9" s="1"/>
  <c r="T139" i="9" s="1"/>
  <c r="T140" i="9" s="1"/>
  <c r="T141" i="9" s="1"/>
  <c r="Q55" i="9"/>
  <c r="Q56" i="9" s="1"/>
  <c r="Q57" i="9" s="1"/>
  <c r="Q58" i="9" s="1"/>
  <c r="Q59" i="9" s="1"/>
  <c r="Q60" i="9" s="1"/>
  <c r="Q61" i="9" s="1"/>
  <c r="Q62" i="9" s="1"/>
  <c r="Q63" i="9" s="1"/>
  <c r="Q64" i="9" s="1"/>
  <c r="H21" i="14"/>
  <c r="P174" i="9"/>
  <c r="P175" i="9" s="1"/>
  <c r="P176" i="9" s="1"/>
  <c r="P177" i="9" s="1"/>
  <c r="P178" i="9" s="1"/>
  <c r="P179" i="9" s="1"/>
  <c r="P180" i="9" s="1"/>
  <c r="P181" i="9" s="1"/>
  <c r="U182" i="9"/>
  <c r="U183" i="9" s="1"/>
  <c r="AX29" i="13" s="1"/>
  <c r="R162" i="9"/>
  <c r="R163" i="9" s="1"/>
  <c r="BW29" i="13" s="1"/>
  <c r="J272" i="9"/>
  <c r="U43" i="9"/>
  <c r="U44" i="9" s="1"/>
  <c r="L285" i="9"/>
  <c r="L286" i="9" s="1"/>
  <c r="L287" i="9" s="1"/>
  <c r="L288" i="9" s="1"/>
  <c r="L289" i="9" s="1"/>
  <c r="L290" i="9" s="1"/>
  <c r="L291" i="9" s="1"/>
  <c r="L292" i="9" s="1"/>
  <c r="L293" i="9" s="1"/>
  <c r="L294" i="9" s="1"/>
  <c r="L295" i="9" s="1"/>
  <c r="U134" i="9"/>
  <c r="U135" i="9" s="1"/>
  <c r="U136" i="9" s="1"/>
  <c r="U137" i="9" s="1"/>
  <c r="U138" i="9" s="1"/>
  <c r="U139" i="9" s="1"/>
  <c r="U140" i="9" s="1"/>
  <c r="U141" i="9" s="1"/>
  <c r="P151" i="9"/>
  <c r="P152" i="9" s="1"/>
  <c r="P153" i="9" s="1"/>
  <c r="P154" i="9" s="1"/>
  <c r="P155" i="9" s="1"/>
  <c r="P156" i="9" s="1"/>
  <c r="P157" i="9" s="1"/>
  <c r="P158" i="9" s="1"/>
  <c r="P159" i="9" s="1"/>
  <c r="P160" i="9" s="1"/>
  <c r="P161" i="9" s="1"/>
  <c r="V57" i="9"/>
  <c r="V58" i="9" s="1"/>
  <c r="V59" i="9" s="1"/>
  <c r="V60" i="9" s="1"/>
  <c r="V61" i="9" s="1"/>
  <c r="V62" i="9" s="1"/>
  <c r="V63" i="9" s="1"/>
  <c r="V64" i="9" s="1"/>
  <c r="P71" i="9"/>
  <c r="P72" i="9" s="1"/>
  <c r="P73" i="9" s="1"/>
  <c r="P74" i="9" s="1"/>
  <c r="P75" i="9" s="1"/>
  <c r="P76" i="9" s="1"/>
  <c r="P77" i="9" s="1"/>
  <c r="P78" i="9" s="1"/>
  <c r="P79" i="9" s="1"/>
  <c r="P80" i="9" s="1"/>
  <c r="P81" i="9" s="1"/>
  <c r="P82" i="9" s="1"/>
  <c r="Q193" i="9"/>
  <c r="Q194" i="9" s="1"/>
  <c r="Q195" i="9" s="1"/>
  <c r="Q196" i="9" s="1"/>
  <c r="Q197" i="9" s="1"/>
  <c r="Q198" i="9" s="1"/>
  <c r="Q199" i="9" s="1"/>
  <c r="Q200" i="9" s="1"/>
  <c r="BP263" i="7"/>
  <c r="F34" i="13"/>
  <c r="J19" i="14"/>
  <c r="J29" i="14" s="1"/>
  <c r="J34" i="14" s="1"/>
  <c r="Q240" i="9"/>
  <c r="Q241" i="9" s="1"/>
  <c r="F135" i="22"/>
  <c r="P240" i="9"/>
  <c r="P241" i="9" s="1"/>
  <c r="S61" i="9"/>
  <c r="S62" i="9" s="1"/>
  <c r="S63" i="9" s="1"/>
  <c r="S64" i="9" s="1"/>
  <c r="S142" i="9"/>
  <c r="S143" i="9" s="1"/>
  <c r="IB29" i="13" s="1"/>
  <c r="S201" i="9"/>
  <c r="S202" i="9" s="1"/>
  <c r="T55" i="9"/>
  <c r="T56" i="9" s="1"/>
  <c r="T57" i="9" s="1"/>
  <c r="T58" i="9" s="1"/>
  <c r="T59" i="9" s="1"/>
  <c r="T60" i="9" s="1"/>
  <c r="T61" i="9" s="1"/>
  <c r="T62" i="9" s="1"/>
  <c r="T63" i="9" s="1"/>
  <c r="T64" i="9" s="1"/>
  <c r="T162" i="9"/>
  <c r="T163" i="9" s="1"/>
  <c r="BN29" i="13" s="1"/>
  <c r="O162" i="9"/>
  <c r="O163" i="9" s="1"/>
  <c r="CB29" i="13" s="1"/>
  <c r="Q150" i="9"/>
  <c r="Q151" i="9" s="1"/>
  <c r="Q152" i="9" s="1"/>
  <c r="Q153" i="9" s="1"/>
  <c r="Q154" i="9" s="1"/>
  <c r="Q155" i="9" s="1"/>
  <c r="Q156" i="9" s="1"/>
  <c r="Q157" i="9" s="1"/>
  <c r="Q158" i="9" s="1"/>
  <c r="Q159" i="9" s="1"/>
  <c r="Q160" i="9" s="1"/>
  <c r="Q161" i="9" s="1"/>
  <c r="S156" i="9"/>
  <c r="S157" i="9" s="1"/>
  <c r="S158" i="9" s="1"/>
  <c r="S159" i="9" s="1"/>
  <c r="S160" i="9" s="1"/>
  <c r="S161" i="9" s="1"/>
  <c r="C315" i="9"/>
  <c r="C20" i="9"/>
  <c r="C319" i="9" s="1"/>
  <c r="H52" i="1"/>
  <c r="H54" i="1" s="1"/>
  <c r="H56" i="1" s="1"/>
  <c r="H58" i="1" s="1"/>
  <c r="G131" i="7"/>
  <c r="H22" i="1" s="1"/>
  <c r="H23" i="1" s="1"/>
  <c r="H128" i="1"/>
  <c r="H130" i="1" s="1"/>
  <c r="H98" i="1" s="1"/>
  <c r="H102" i="1" s="1"/>
  <c r="G222" i="7"/>
  <c r="V171" i="9"/>
  <c r="V172" i="9" s="1"/>
  <c r="V173" i="9" s="1"/>
  <c r="V174" i="9" s="1"/>
  <c r="V175" i="9" s="1"/>
  <c r="V176" i="9" s="1"/>
  <c r="V177" i="9" s="1"/>
  <c r="V178" i="9" s="1"/>
  <c r="V179" i="9" s="1"/>
  <c r="V180" i="9" s="1"/>
  <c r="V181" i="9" s="1"/>
  <c r="P37" i="9"/>
  <c r="P38" i="9" s="1"/>
  <c r="P39" i="9" s="1"/>
  <c r="P40" i="9" s="1"/>
  <c r="P41" i="9" s="1"/>
  <c r="P42" i="9" s="1"/>
  <c r="P43" i="9" s="1"/>
  <c r="P44" i="9" s="1"/>
  <c r="R33" i="9"/>
  <c r="R34" i="9" s="1"/>
  <c r="R35" i="9" s="1"/>
  <c r="R36" i="9" s="1"/>
  <c r="R37" i="9" s="1"/>
  <c r="R38" i="9" s="1"/>
  <c r="R39" i="9" s="1"/>
  <c r="R40" i="9" s="1"/>
  <c r="R41" i="9" s="1"/>
  <c r="R42" i="9" s="1"/>
  <c r="R43" i="9" s="1"/>
  <c r="R44" i="9" s="1"/>
  <c r="U54" i="9"/>
  <c r="U55" i="9" s="1"/>
  <c r="U56" i="9" s="1"/>
  <c r="U57" i="9" s="1"/>
  <c r="U58" i="9" s="1"/>
  <c r="U59" i="9" s="1"/>
  <c r="U60" i="9" s="1"/>
  <c r="U61" i="9" s="1"/>
  <c r="U62" i="9" s="1"/>
  <c r="U63" i="9" s="1"/>
  <c r="U64" i="9" s="1"/>
  <c r="O132" i="9"/>
  <c r="O133" i="9" s="1"/>
  <c r="O134" i="9" s="1"/>
  <c r="O135" i="9" s="1"/>
  <c r="O136" i="9" s="1"/>
  <c r="O137" i="9" s="1"/>
  <c r="O138" i="9" s="1"/>
  <c r="O139" i="9" s="1"/>
  <c r="O140" i="9" s="1"/>
  <c r="O141" i="9" s="1"/>
  <c r="O240" i="9"/>
  <c r="O241" i="9" s="1"/>
  <c r="D28" i="5"/>
  <c r="D29" i="5" s="1"/>
  <c r="D30" i="5" s="1"/>
  <c r="D32" i="5" s="1"/>
  <c r="D37" i="5" s="1"/>
  <c r="V154" i="9"/>
  <c r="V155" i="9" s="1"/>
  <c r="V156" i="9" s="1"/>
  <c r="V157" i="9" s="1"/>
  <c r="V158" i="9" s="1"/>
  <c r="V159" i="9" s="1"/>
  <c r="V160" i="9" s="1"/>
  <c r="V161" i="9" s="1"/>
  <c r="T34" i="9"/>
  <c r="T35" i="9" s="1"/>
  <c r="T36" i="9" s="1"/>
  <c r="T37" i="9" s="1"/>
  <c r="T38" i="9" s="1"/>
  <c r="T39" i="9" s="1"/>
  <c r="T40" i="9" s="1"/>
  <c r="T41" i="9" s="1"/>
  <c r="T42" i="9" s="1"/>
  <c r="T43" i="9" s="1"/>
  <c r="T44" i="9" s="1"/>
  <c r="U196" i="9"/>
  <c r="U197" i="9" s="1"/>
  <c r="U198" i="9" s="1"/>
  <c r="U199" i="9" s="1"/>
  <c r="U200" i="9" s="1"/>
  <c r="U201" i="9"/>
  <c r="U202" i="9" s="1"/>
  <c r="Q133" i="9"/>
  <c r="Q134" i="9" s="1"/>
  <c r="Q135" i="9" s="1"/>
  <c r="Q136" i="9" s="1"/>
  <c r="Q137" i="9" s="1"/>
  <c r="Q138" i="9" s="1"/>
  <c r="Q139" i="9" s="1"/>
  <c r="Q140" i="9" s="1"/>
  <c r="Q141" i="9" s="1"/>
  <c r="O201" i="9"/>
  <c r="T83" i="9"/>
  <c r="F14" i="1"/>
  <c r="A153" i="7"/>
  <c r="A20" i="1"/>
  <c r="U240" i="9"/>
  <c r="U241" i="9" s="1"/>
  <c r="V131" i="9"/>
  <c r="V132" i="9" s="1"/>
  <c r="V133" i="9" s="1"/>
  <c r="V134" i="9" s="1"/>
  <c r="V135" i="9" s="1"/>
  <c r="V136" i="9" s="1"/>
  <c r="V137" i="9" s="1"/>
  <c r="V138" i="9" s="1"/>
  <c r="V139" i="9" s="1"/>
  <c r="V140" i="9" s="1"/>
  <c r="V141" i="9" s="1"/>
  <c r="V34" i="9"/>
  <c r="V35" i="9" s="1"/>
  <c r="V36" i="9" s="1"/>
  <c r="V37" i="9" s="1"/>
  <c r="V38" i="9" s="1"/>
  <c r="V39" i="9" s="1"/>
  <c r="V40" i="9" s="1"/>
  <c r="V41" i="9" s="1"/>
  <c r="V42" i="9" s="1"/>
  <c r="V43" i="9" s="1"/>
  <c r="V44" i="9" s="1"/>
  <c r="V45" i="9"/>
  <c r="V46" i="9" s="1"/>
  <c r="Q83" i="9"/>
  <c r="C13" i="12"/>
  <c r="J63" i="14"/>
  <c r="J64" i="14"/>
  <c r="H20" i="14" s="1"/>
  <c r="F159" i="22"/>
  <c r="F206" i="22"/>
  <c r="F154" i="22"/>
  <c r="F216" i="22"/>
  <c r="F189" i="22"/>
  <c r="F169" i="22"/>
  <c r="F149" i="22"/>
  <c r="F220" i="22"/>
  <c r="F196" i="22"/>
  <c r="F176" i="22"/>
  <c r="F152" i="22"/>
  <c r="F222" i="22"/>
  <c r="F171" i="22"/>
  <c r="F207" i="22"/>
  <c r="F132" i="22"/>
  <c r="F182" i="22"/>
  <c r="F229" i="22"/>
  <c r="F183" i="22"/>
  <c r="T170" i="9"/>
  <c r="T171" i="9" s="1"/>
  <c r="T172" i="9" s="1"/>
  <c r="T173" i="9" s="1"/>
  <c r="T174" i="9" s="1"/>
  <c r="T175" i="9" s="1"/>
  <c r="T176" i="9" s="1"/>
  <c r="T177" i="9" s="1"/>
  <c r="T178" i="9" s="1"/>
  <c r="T179" i="9" s="1"/>
  <c r="T180" i="9" s="1"/>
  <c r="T181" i="9" s="1"/>
  <c r="R190" i="9"/>
  <c r="R191" i="9" s="1"/>
  <c r="R192" i="9" s="1"/>
  <c r="R193" i="9" s="1"/>
  <c r="R194" i="9" s="1"/>
  <c r="R195" i="9" s="1"/>
  <c r="R196" i="9" s="1"/>
  <c r="R197" i="9" s="1"/>
  <c r="R198" i="9" s="1"/>
  <c r="R199" i="9" s="1"/>
  <c r="R200" i="9" s="1"/>
  <c r="S19" i="26"/>
  <c r="O33" i="9"/>
  <c r="O34" i="9" s="1"/>
  <c r="O35" i="9" s="1"/>
  <c r="O36" i="9" s="1"/>
  <c r="O37" i="9" s="1"/>
  <c r="O38" i="9" s="1"/>
  <c r="O39" i="9" s="1"/>
  <c r="O40" i="9" s="1"/>
  <c r="O41" i="9" s="1"/>
  <c r="O42" i="9" s="1"/>
  <c r="O43" i="9" s="1"/>
  <c r="O44" i="9" s="1"/>
  <c r="BP254" i="7"/>
  <c r="U162" i="9"/>
  <c r="U163" i="9" s="1"/>
  <c r="FX29" i="13" s="1"/>
  <c r="U83" i="9"/>
  <c r="V72" i="9"/>
  <c r="V73" i="9" s="1"/>
  <c r="V74" i="9" s="1"/>
  <c r="V75" i="9" s="1"/>
  <c r="V76" i="9" s="1"/>
  <c r="V77" i="9" s="1"/>
  <c r="V78" i="9" s="1"/>
  <c r="V79" i="9" s="1"/>
  <c r="V80" i="9" s="1"/>
  <c r="V81" i="9" s="1"/>
  <c r="V82" i="9" s="1"/>
  <c r="BI273" i="7"/>
  <c r="HP30" i="13" s="1"/>
  <c r="HQ33" i="13" s="1"/>
  <c r="HQ34" i="13" s="1"/>
  <c r="BP266" i="7"/>
  <c r="Y53" i="26"/>
  <c r="AI273" i="7"/>
  <c r="FH30" i="13" s="1"/>
  <c r="FI33" i="13" s="1"/>
  <c r="FI34" i="13" s="1"/>
  <c r="O142" i="9" l="1"/>
  <c r="O143" i="9" s="1"/>
  <c r="P142" i="9"/>
  <c r="P143" i="9" s="1"/>
  <c r="HL29" i="13" s="1"/>
  <c r="O202" i="9"/>
  <c r="GB29" i="13" s="1"/>
  <c r="C75" i="3"/>
  <c r="O175" i="9"/>
  <c r="O176" i="9" s="1"/>
  <c r="O177" i="9" s="1"/>
  <c r="O178" i="9" s="1"/>
  <c r="O179" i="9" s="1"/>
  <c r="O180" i="9" s="1"/>
  <c r="O181" i="9" s="1"/>
  <c r="V162" i="9"/>
  <c r="V163" i="9" s="1"/>
  <c r="J29" i="13" s="1"/>
  <c r="I37" i="6"/>
  <c r="H174" i="1"/>
  <c r="H176" i="1" s="1"/>
  <c r="I39" i="6" s="1"/>
  <c r="O65" i="9"/>
  <c r="P201" i="9"/>
  <c r="P202" i="9" s="1"/>
  <c r="IN29" i="13" s="1"/>
  <c r="IG33" i="13"/>
  <c r="IG34" i="13" s="1"/>
  <c r="IN30" i="13"/>
  <c r="IO33" i="13" s="1"/>
  <c r="IO34" i="13" s="1"/>
  <c r="R182" i="9"/>
  <c r="R183" i="9" s="1"/>
  <c r="AD29" i="13" s="1"/>
  <c r="Q173" i="9"/>
  <c r="Q174" i="9" s="1"/>
  <c r="Q175" i="9" s="1"/>
  <c r="Q176" i="9" s="1"/>
  <c r="Q177" i="9" s="1"/>
  <c r="Q178" i="9" s="1"/>
  <c r="Q179" i="9" s="1"/>
  <c r="Q180" i="9" s="1"/>
  <c r="Q181" i="9" s="1"/>
  <c r="V182" i="9"/>
  <c r="V183" i="9" s="1"/>
  <c r="FT29" i="13" s="1"/>
  <c r="S182" i="9"/>
  <c r="S183" i="9" s="1"/>
  <c r="CN29" i="13" s="1"/>
  <c r="U142" i="9"/>
  <c r="U143" i="9" s="1"/>
  <c r="AH29" i="13" s="1"/>
  <c r="HH29" i="13"/>
  <c r="T182" i="9"/>
  <c r="T183" i="9" s="1"/>
  <c r="FP29" i="13" s="1"/>
  <c r="Q162" i="9"/>
  <c r="Q163" i="9" s="1"/>
  <c r="N29" i="13" s="1"/>
  <c r="V142" i="9"/>
  <c r="V143" i="9" s="1"/>
  <c r="E29" i="13" s="1"/>
  <c r="T65" i="9"/>
  <c r="P45" i="9"/>
  <c r="P46" i="9" s="1"/>
  <c r="P83" i="9"/>
  <c r="V83" i="9"/>
  <c r="U65" i="9"/>
  <c r="U45" i="9"/>
  <c r="U46" i="9" s="1"/>
  <c r="H25" i="1"/>
  <c r="H133" i="1"/>
  <c r="H86" i="1" s="1"/>
  <c r="H88" i="1" s="1"/>
  <c r="H30" i="1"/>
  <c r="H163" i="12"/>
  <c r="H166" i="12" s="1"/>
  <c r="G13" i="12" s="1"/>
  <c r="J13" i="12" s="1"/>
  <c r="I15" i="12"/>
  <c r="I18" i="12" s="1"/>
  <c r="H15" i="12"/>
  <c r="H18" i="12" s="1"/>
  <c r="H114" i="12"/>
  <c r="H117" i="12" s="1"/>
  <c r="G12" i="12" s="1"/>
  <c r="J12" i="12" s="1"/>
  <c r="D33" i="5"/>
  <c r="D22" i="5" s="1"/>
  <c r="D23" i="5" s="1"/>
  <c r="H228" i="1" s="1"/>
  <c r="W19" i="26"/>
  <c r="W26" i="26" s="1"/>
  <c r="H180" i="1" s="1"/>
  <c r="I43" i="6" s="1"/>
  <c r="S26" i="26"/>
  <c r="H37" i="14"/>
  <c r="H42" i="14" s="1"/>
  <c r="I37" i="14"/>
  <c r="I42" i="14" s="1"/>
  <c r="R45" i="9"/>
  <c r="R46" i="9" s="1"/>
  <c r="S162" i="9"/>
  <c r="S163" i="9" s="1"/>
  <c r="GR29" i="13" s="1"/>
  <c r="BP273" i="7"/>
  <c r="J67" i="14"/>
  <c r="H29" i="14"/>
  <c r="H34" i="14" s="1"/>
  <c r="H19" i="14"/>
  <c r="I29" i="14"/>
  <c r="I34" i="14" s="1"/>
  <c r="A22" i="1"/>
  <c r="S65" i="9"/>
  <c r="Q65" i="9"/>
  <c r="V201" i="9"/>
  <c r="V202" i="9" s="1"/>
  <c r="E74" i="12"/>
  <c r="E14" i="12" s="1"/>
  <c r="J20" i="14"/>
  <c r="J37" i="14" s="1"/>
  <c r="J42" i="14" s="1"/>
  <c r="M273" i="9"/>
  <c r="N272" i="9"/>
  <c r="P272" i="9" s="1"/>
  <c r="O45" i="9"/>
  <c r="O46" i="9" s="1"/>
  <c r="R201" i="9"/>
  <c r="R202" i="9" s="1"/>
  <c r="HX29" i="13" s="1"/>
  <c r="Q142" i="9"/>
  <c r="Q143" i="9" s="1"/>
  <c r="HP29" i="13" s="1"/>
  <c r="T45" i="9"/>
  <c r="T46" i="9" s="1"/>
  <c r="Q201" i="9"/>
  <c r="Q202" i="9" s="1"/>
  <c r="DX29" i="13" s="1"/>
  <c r="V65" i="9"/>
  <c r="P162" i="9"/>
  <c r="P163" i="9" s="1"/>
  <c r="FD29" i="13" s="1"/>
  <c r="J273" i="9"/>
  <c r="P182" i="9"/>
  <c r="P183" i="9" s="1"/>
  <c r="BF29" i="13" s="1"/>
  <c r="T142" i="9"/>
  <c r="T143" i="9" s="1"/>
  <c r="IF29" i="13" s="1"/>
  <c r="R65" i="9"/>
  <c r="H71" i="12"/>
  <c r="H74" i="12" s="1"/>
  <c r="G14" i="12" s="1"/>
  <c r="J14" i="12" s="1"/>
  <c r="R83" i="9"/>
  <c r="R142" i="9"/>
  <c r="R143" i="9" s="1"/>
  <c r="L231" i="22"/>
  <c r="M231" i="22" s="1"/>
  <c r="L82" i="22"/>
  <c r="M82" i="22" s="1"/>
  <c r="G83" i="22" s="1"/>
  <c r="A41" i="6"/>
  <c r="S83" i="9"/>
  <c r="D274" i="7" l="1"/>
  <c r="H138" i="1" s="1"/>
  <c r="H146" i="1" s="1"/>
  <c r="H212" i="1" s="1"/>
  <c r="O182" i="9"/>
  <c r="O183" i="9" s="1"/>
  <c r="EN29" i="13" s="1"/>
  <c r="H178" i="1"/>
  <c r="I41" i="6" s="1"/>
  <c r="I49" i="6" s="1"/>
  <c r="Q182" i="9"/>
  <c r="Q183" i="9" s="1"/>
  <c r="CJ29" i="13" s="1"/>
  <c r="HT29" i="13"/>
  <c r="H184" i="1"/>
  <c r="H211" i="1"/>
  <c r="L83" i="22"/>
  <c r="M83" i="22" s="1"/>
  <c r="G84" i="22" s="1"/>
  <c r="H186" i="1"/>
  <c r="F23" i="1"/>
  <c r="A23" i="1"/>
  <c r="G15" i="12"/>
  <c r="A43" i="6"/>
  <c r="J274" i="9"/>
  <c r="I47" i="6"/>
  <c r="M274" i="9"/>
  <c r="N273" i="9"/>
  <c r="P273" i="9" s="1"/>
  <c r="H38" i="1" l="1"/>
  <c r="H39" i="1" s="1"/>
  <c r="H245" i="1" s="1"/>
  <c r="H187" i="1"/>
  <c r="L84" i="22"/>
  <c r="M84" i="22" s="1"/>
  <c r="G85" i="22" s="1"/>
  <c r="G18" i="12"/>
  <c r="J18" i="12" s="1"/>
  <c r="H65" i="1" s="1"/>
  <c r="H66" i="1" s="1"/>
  <c r="H90" i="1" s="1"/>
  <c r="H208" i="1" s="1"/>
  <c r="J15" i="12"/>
  <c r="A25" i="1"/>
  <c r="A27" i="1" s="1"/>
  <c r="F25" i="1"/>
  <c r="I50" i="6"/>
  <c r="A44" i="6"/>
  <c r="G47" i="6"/>
  <c r="M275" i="9"/>
  <c r="N274" i="9"/>
  <c r="P274" i="9" s="1"/>
  <c r="J275" i="9"/>
  <c r="H234" i="1" l="1"/>
  <c r="H46" i="1"/>
  <c r="H60" i="1" s="1"/>
  <c r="L85" i="22"/>
  <c r="M85" i="22" s="1"/>
  <c r="G86" i="22" s="1"/>
  <c r="M276" i="9"/>
  <c r="N275" i="9"/>
  <c r="P275" i="9" s="1"/>
  <c r="J276" i="9"/>
  <c r="A45" i="6"/>
  <c r="G48" i="6"/>
  <c r="F28" i="1"/>
  <c r="A28" i="1"/>
  <c r="A30" i="1" s="1"/>
  <c r="H220" i="1" l="1"/>
  <c r="H222" i="1" s="1"/>
  <c r="L86" i="22"/>
  <c r="M86" i="22" s="1"/>
  <c r="G87" i="22"/>
  <c r="M277" i="9"/>
  <c r="N276" i="9"/>
  <c r="P276" i="9" s="1"/>
  <c r="H92" i="1"/>
  <c r="H207" i="1"/>
  <c r="H209" i="1" s="1"/>
  <c r="J277" i="9"/>
  <c r="F31" i="1"/>
  <c r="A31" i="1"/>
  <c r="A47" i="6"/>
  <c r="G49" i="6"/>
  <c r="L87" i="22" l="1"/>
  <c r="M87" i="22" s="1"/>
  <c r="G88" i="22" s="1"/>
  <c r="A48" i="6"/>
  <c r="A49" i="6" s="1"/>
  <c r="A50" i="6" s="1"/>
  <c r="J278" i="9"/>
  <c r="M278" i="9"/>
  <c r="N277" i="9"/>
  <c r="P277" i="9" s="1"/>
  <c r="F123" i="1"/>
  <c r="A36" i="1"/>
  <c r="H189" i="1"/>
  <c r="I16" i="6"/>
  <c r="I52" i="6" s="1"/>
  <c r="H214" i="1" l="1"/>
  <c r="H200" i="1"/>
  <c r="H202" i="1" s="1"/>
  <c r="H215" i="1" s="1"/>
  <c r="M279" i="9"/>
  <c r="N278" i="9"/>
  <c r="P278" i="9" s="1"/>
  <c r="A52" i="6"/>
  <c r="G52" i="6"/>
  <c r="A155" i="7"/>
  <c r="A38" i="1"/>
  <c r="A39" i="1" s="1"/>
  <c r="G50" i="6"/>
  <c r="L88" i="22"/>
  <c r="M88" i="22" s="1"/>
  <c r="G89" i="22" s="1"/>
  <c r="I64" i="6"/>
  <c r="I66" i="6" s="1"/>
  <c r="G9" i="6" s="1"/>
  <c r="H243" i="1" s="1"/>
  <c r="J279" i="9"/>
  <c r="M280" i="9" l="1"/>
  <c r="N279" i="9"/>
  <c r="P279" i="9" s="1"/>
  <c r="F39" i="1"/>
  <c r="J280" i="9"/>
  <c r="A57" i="6"/>
  <c r="A58" i="6" s="1"/>
  <c r="A59" i="6" s="1"/>
  <c r="A60" i="6" s="1"/>
  <c r="A61" i="6" s="1"/>
  <c r="A64" i="6" s="1"/>
  <c r="H217" i="1"/>
  <c r="H224" i="1" s="1"/>
  <c r="H225" i="1" s="1"/>
  <c r="H230" i="1" s="1"/>
  <c r="L89" i="22"/>
  <c r="M89" i="22" s="1"/>
  <c r="G90" i="22" s="1"/>
  <c r="A41" i="1"/>
  <c r="N280" i="9" l="1"/>
  <c r="P280" i="9" s="1"/>
  <c r="P281" i="9" s="1"/>
  <c r="L90" i="22"/>
  <c r="M90" i="22" s="1"/>
  <c r="G91" i="22" s="1"/>
  <c r="H242" i="1"/>
  <c r="H244" i="1" s="1"/>
  <c r="H250" i="1"/>
  <c r="H233" i="1"/>
  <c r="J281" i="9"/>
  <c r="A42" i="1"/>
  <c r="F42" i="1"/>
  <c r="A66" i="6"/>
  <c r="F9" i="6" s="1"/>
  <c r="G66" i="6"/>
  <c r="A43" i="1" l="1"/>
  <c r="A44" i="1" s="1"/>
  <c r="H247" i="1"/>
  <c r="H248" i="1"/>
  <c r="O11" i="13" s="1"/>
  <c r="H246" i="1"/>
  <c r="J284" i="9"/>
  <c r="M284" i="9"/>
  <c r="L91" i="22"/>
  <c r="M91" i="22" s="1"/>
  <c r="G92" i="22" s="1"/>
  <c r="H238" i="1"/>
  <c r="O16" i="13" s="1"/>
  <c r="H236" i="1"/>
  <c r="H235" i="1"/>
  <c r="H237" i="1"/>
  <c r="O10" i="13" s="1"/>
  <c r="L92" i="22" l="1"/>
  <c r="M92" i="22" s="1"/>
  <c r="G93" i="22" s="1"/>
  <c r="M285" i="9"/>
  <c r="M286" i="9" s="1"/>
  <c r="M287" i="9" s="1"/>
  <c r="M288" i="9" s="1"/>
  <c r="M289" i="9" s="1"/>
  <c r="M290" i="9" s="1"/>
  <c r="M291" i="9" s="1"/>
  <c r="M292" i="9" s="1"/>
  <c r="M293" i="9" s="1"/>
  <c r="M294" i="9" s="1"/>
  <c r="M295" i="9" s="1"/>
  <c r="N284" i="9"/>
  <c r="J285" i="9" s="1"/>
  <c r="CV28" i="13"/>
  <c r="CV34" i="13" s="1"/>
  <c r="CY34" i="13" s="1"/>
  <c r="H210" i="9" s="1"/>
  <c r="HT28" i="13"/>
  <c r="HT34" i="13" s="1"/>
  <c r="HW34" i="13" s="1"/>
  <c r="R210" i="9" s="1"/>
  <c r="CV27" i="13"/>
  <c r="CV33" i="13" s="1"/>
  <c r="CY33" i="13" s="1"/>
  <c r="HX28" i="13"/>
  <c r="HX34" i="13" s="1"/>
  <c r="IA34" i="13" s="1"/>
  <c r="T213" i="9" s="1"/>
  <c r="AP27" i="13"/>
  <c r="AP33" i="13" s="1"/>
  <c r="AS33" i="13" s="1"/>
  <c r="GR28" i="13"/>
  <c r="GR34" i="13" s="1"/>
  <c r="GU34" i="13" s="1"/>
  <c r="O213" i="9" s="1"/>
  <c r="DL27" i="13"/>
  <c r="DL33" i="13" s="1"/>
  <c r="DO33" i="13" s="1"/>
  <c r="FD28" i="13"/>
  <c r="FD34" i="13" s="1"/>
  <c r="FG34" i="13" s="1"/>
  <c r="D210" i="9" s="1"/>
  <c r="EZ28" i="13"/>
  <c r="EZ34" i="13" s="1"/>
  <c r="FC34" i="13" s="1"/>
  <c r="V210" i="9" s="1"/>
  <c r="GR27" i="13"/>
  <c r="GR33" i="13" s="1"/>
  <c r="GU33" i="13" s="1"/>
  <c r="DL28" i="13"/>
  <c r="DL34" i="13" s="1"/>
  <c r="DO34" i="13" s="1"/>
  <c r="L210" i="9" s="1"/>
  <c r="FX28" i="13"/>
  <c r="FX34" i="13" s="1"/>
  <c r="GA34" i="13" s="1"/>
  <c r="J213" i="9" s="1"/>
  <c r="EB28" i="13"/>
  <c r="EB34" i="13" s="1"/>
  <c r="EE34" i="13" s="1"/>
  <c r="P210" i="9" s="1"/>
  <c r="BF27" i="13"/>
  <c r="BF33" i="13" s="1"/>
  <c r="BI33" i="13" s="1"/>
  <c r="FH28" i="13"/>
  <c r="FH34" i="13" s="1"/>
  <c r="FK34" i="13" s="1"/>
  <c r="E213" i="9" s="1"/>
  <c r="ER27" i="13"/>
  <c r="ER33" i="13" s="1"/>
  <c r="EU33" i="13" s="1"/>
  <c r="BB27" i="13"/>
  <c r="BB33" i="13" s="1"/>
  <c r="BE33" i="13" s="1"/>
  <c r="BW27" i="13"/>
  <c r="BW33" i="13" s="1"/>
  <c r="CA33" i="13" s="1"/>
  <c r="EN28" i="13"/>
  <c r="EN34" i="13" s="1"/>
  <c r="EQ34" i="13" s="1"/>
  <c r="S210" i="9" s="1"/>
  <c r="DD27" i="13"/>
  <c r="DD33" i="13" s="1"/>
  <c r="DG33" i="13" s="1"/>
  <c r="EJ27" i="13"/>
  <c r="EJ33" i="13" s="1"/>
  <c r="EM33" i="13" s="1"/>
  <c r="DX28" i="13"/>
  <c r="DX34" i="13" s="1"/>
  <c r="EA34" i="13" s="1"/>
  <c r="O210" i="9" s="1"/>
  <c r="CN27" i="13"/>
  <c r="CN33" i="13" s="1"/>
  <c r="CQ33" i="13" s="1"/>
  <c r="IN27" i="13"/>
  <c r="IN33" i="13" s="1"/>
  <c r="IQ33" i="13" s="1"/>
  <c r="HT27" i="13"/>
  <c r="HT33" i="13" s="1"/>
  <c r="HW33" i="13" s="1"/>
  <c r="FP27" i="13"/>
  <c r="FP33" i="13" s="1"/>
  <c r="FS33" i="13" s="1"/>
  <c r="CR27" i="13"/>
  <c r="CR33" i="13" s="1"/>
  <c r="CU33" i="13" s="1"/>
  <c r="HX27" i="13"/>
  <c r="HX33" i="13" s="1"/>
  <c r="IA33" i="13" s="1"/>
  <c r="FX27" i="13"/>
  <c r="FX33" i="13" s="1"/>
  <c r="GA33" i="13" s="1"/>
  <c r="CZ27" i="13"/>
  <c r="CZ33" i="13" s="1"/>
  <c r="DC33" i="13" s="1"/>
  <c r="E27" i="13"/>
  <c r="E33" i="13" s="1"/>
  <c r="GZ27" i="13"/>
  <c r="GZ33" i="13" s="1"/>
  <c r="HC33" i="13" s="1"/>
  <c r="BR28" i="13"/>
  <c r="BR34" i="13" s="1"/>
  <c r="BV34" i="13" s="1"/>
  <c r="S207" i="9" s="1"/>
  <c r="HL27" i="13"/>
  <c r="HL33" i="13" s="1"/>
  <c r="HO33" i="13" s="1"/>
  <c r="HP28" i="13"/>
  <c r="HP34" i="13" s="1"/>
  <c r="HS34" i="13" s="1"/>
  <c r="N213" i="9" s="1"/>
  <c r="CJ27" i="13"/>
  <c r="CJ33" i="13" s="1"/>
  <c r="CM33" i="13" s="1"/>
  <c r="BR27" i="13"/>
  <c r="BR33" i="13" s="1"/>
  <c r="BV33" i="13" s="1"/>
  <c r="EN27" i="13"/>
  <c r="EN33" i="13" s="1"/>
  <c r="EQ33" i="13" s="1"/>
  <c r="Z28" i="13"/>
  <c r="Z34" i="13" s="1"/>
  <c r="AC34" i="13" s="1"/>
  <c r="H207" i="9" s="1"/>
  <c r="CB27" i="13"/>
  <c r="CB33" i="13" s="1"/>
  <c r="CE33" i="13" s="1"/>
  <c r="CN28" i="13"/>
  <c r="CN34" i="13" s="1"/>
  <c r="CQ34" i="13" s="1"/>
  <c r="F210" i="9" s="1"/>
  <c r="HD27" i="13"/>
  <c r="HD33" i="13" s="1"/>
  <c r="HG33" i="13" s="1"/>
  <c r="CJ28" i="13"/>
  <c r="CJ34" i="13" s="1"/>
  <c r="CM34" i="13" s="1"/>
  <c r="E210" i="9" s="1"/>
  <c r="AP28" i="13"/>
  <c r="AP34" i="13" s="1"/>
  <c r="AS34" i="13" s="1"/>
  <c r="L207" i="9" s="1"/>
  <c r="DD28" i="13"/>
  <c r="DD34" i="13" s="1"/>
  <c r="DG34" i="13" s="1"/>
  <c r="J210" i="9" s="1"/>
  <c r="GN28" i="13"/>
  <c r="FT28" i="13"/>
  <c r="FT34" i="13" s="1"/>
  <c r="FW34" i="13" s="1"/>
  <c r="I213" i="9" s="1"/>
  <c r="GB27" i="13"/>
  <c r="GB33" i="13" s="1"/>
  <c r="GE33" i="13" s="1"/>
  <c r="AT27" i="13"/>
  <c r="AT33" i="13" s="1"/>
  <c r="AW33" i="13" s="1"/>
  <c r="FD27" i="13"/>
  <c r="FD33" i="13" s="1"/>
  <c r="FG33" i="13" s="1"/>
  <c r="DH27" i="13"/>
  <c r="DH33" i="13" s="1"/>
  <c r="DK33" i="13" s="1"/>
  <c r="HL28" i="13"/>
  <c r="HL34" i="13" s="1"/>
  <c r="HO34" i="13" s="1"/>
  <c r="H213" i="9" s="1"/>
  <c r="IF27" i="13"/>
  <c r="IF33" i="13" s="1"/>
  <c r="II33" i="13" s="1"/>
  <c r="IF28" i="13"/>
  <c r="IF34" i="13" s="1"/>
  <c r="II34" i="13" s="1"/>
  <c r="V213" i="9" s="1"/>
  <c r="HH28" i="13"/>
  <c r="HH34" i="13" s="1"/>
  <c r="HK34" i="13" s="1"/>
  <c r="D213" i="9" s="1"/>
  <c r="EJ28" i="13"/>
  <c r="EJ34" i="13" s="1"/>
  <c r="EM34" i="13" s="1"/>
  <c r="BB28" i="13"/>
  <c r="BB34" i="13" s="1"/>
  <c r="BE34" i="13" s="1"/>
  <c r="S213" i="9" s="1"/>
  <c r="ER28" i="13"/>
  <c r="ER34" i="13" s="1"/>
  <c r="EU34" i="13" s="1"/>
  <c r="T210" i="9" s="1"/>
  <c r="DT28" i="13"/>
  <c r="DT34" i="13" s="1"/>
  <c r="DW34" i="13" s="1"/>
  <c r="N210" i="9" s="1"/>
  <c r="GJ27" i="13"/>
  <c r="GJ33" i="13" s="1"/>
  <c r="GM33" i="13" s="1"/>
  <c r="AH27" i="13"/>
  <c r="AH33" i="13" s="1"/>
  <c r="AK33" i="13" s="1"/>
  <c r="HP27" i="13"/>
  <c r="HP33" i="13" s="1"/>
  <c r="HS33" i="13" s="1"/>
  <c r="EV28" i="13"/>
  <c r="EV34" i="13" s="1"/>
  <c r="EY34" i="13" s="1"/>
  <c r="R28" i="13"/>
  <c r="R34" i="13" s="1"/>
  <c r="U34" i="13" s="1"/>
  <c r="F207" i="9" s="1"/>
  <c r="GN27" i="13"/>
  <c r="GN33" i="13" s="1"/>
  <c r="GQ33" i="13" s="1"/>
  <c r="J28" i="13"/>
  <c r="DT27" i="13"/>
  <c r="DT33" i="13" s="1"/>
  <c r="DW33" i="13" s="1"/>
  <c r="EZ27" i="13"/>
  <c r="EZ33" i="13" s="1"/>
  <c r="FC33" i="13" s="1"/>
  <c r="GV27" i="13"/>
  <c r="GV33" i="13" s="1"/>
  <c r="GY33" i="13" s="1"/>
  <c r="BW28" i="13"/>
  <c r="BW34" i="13" s="1"/>
  <c r="CA34" i="13" s="1"/>
  <c r="T207" i="9" s="1"/>
  <c r="GF27" i="13"/>
  <c r="GF33" i="13" s="1"/>
  <c r="GI33" i="13" s="1"/>
  <c r="AT28" i="13"/>
  <c r="AT34" i="13" s="1"/>
  <c r="AW34" i="13" s="1"/>
  <c r="M207" i="9" s="1"/>
  <c r="IB27" i="13"/>
  <c r="IB33" i="13" s="1"/>
  <c r="IE33" i="13" s="1"/>
  <c r="HD28" i="13"/>
  <c r="HD34" i="13" s="1"/>
  <c r="HG34" i="13" s="1"/>
  <c r="R213" i="9" s="1"/>
  <c r="AL27" i="13"/>
  <c r="AL33" i="13" s="1"/>
  <c r="AO33" i="13" s="1"/>
  <c r="CR28" i="13"/>
  <c r="CR34" i="13" s="1"/>
  <c r="CU34" i="13" s="1"/>
  <c r="G210" i="9" s="1"/>
  <c r="AX27" i="13"/>
  <c r="AX33" i="13" s="1"/>
  <c r="BA33" i="13" s="1"/>
  <c r="CF27" i="13"/>
  <c r="CF33" i="13" s="1"/>
  <c r="CI33" i="13" s="1"/>
  <c r="GZ28" i="13"/>
  <c r="GZ34" i="13" s="1"/>
  <c r="HC34" i="13" s="1"/>
  <c r="Q213" i="9" s="1"/>
  <c r="GV28" i="13"/>
  <c r="GV34" i="13" s="1"/>
  <c r="GY34" i="13" s="1"/>
  <c r="P213" i="9" s="1"/>
  <c r="FL28" i="13"/>
  <c r="FL34" i="13" s="1"/>
  <c r="FO34" i="13" s="1"/>
  <c r="F213" i="9" s="1"/>
  <c r="IJ28" i="13"/>
  <c r="IJ34" i="13" s="1"/>
  <c r="IM34" i="13" s="1"/>
  <c r="V216" i="9" s="1"/>
  <c r="EF27" i="13"/>
  <c r="EF33" i="13" s="1"/>
  <c r="EI33" i="13" s="1"/>
  <c r="GF28" i="13"/>
  <c r="GF34" i="13" s="1"/>
  <c r="GI34" i="13" s="1"/>
  <c r="L213" i="9" s="1"/>
  <c r="FL27" i="13"/>
  <c r="FL33" i="13" s="1"/>
  <c r="FO33" i="13" s="1"/>
  <c r="AD27" i="13"/>
  <c r="AD33" i="13" s="1"/>
  <c r="AG33" i="13" s="1"/>
  <c r="EV27" i="13"/>
  <c r="EV33" i="13" s="1"/>
  <c r="EY33" i="13" s="1"/>
  <c r="EB27" i="13"/>
  <c r="EB33" i="13" s="1"/>
  <c r="EE33" i="13" s="1"/>
  <c r="R27" i="13"/>
  <c r="R33" i="13" s="1"/>
  <c r="U33" i="13" s="1"/>
  <c r="FH27" i="13"/>
  <c r="FH33" i="13" s="1"/>
  <c r="FK33" i="13" s="1"/>
  <c r="AL28" i="13"/>
  <c r="AL34" i="13" s="1"/>
  <c r="AO34" i="13" s="1"/>
  <c r="K207" i="9" s="1"/>
  <c r="GJ28" i="13"/>
  <c r="GJ34" i="13" s="1"/>
  <c r="GM34" i="13" s="1"/>
  <c r="M213" i="9" s="1"/>
  <c r="GB28" i="13"/>
  <c r="GB34" i="13" s="1"/>
  <c r="GE34" i="13" s="1"/>
  <c r="K213" i="9" s="1"/>
  <c r="HH27" i="13"/>
  <c r="HH33" i="13" s="1"/>
  <c r="HK33" i="13" s="1"/>
  <c r="DX27" i="13"/>
  <c r="DX33" i="13" s="1"/>
  <c r="EA33" i="13" s="1"/>
  <c r="DP28" i="13"/>
  <c r="DP34" i="13" s="1"/>
  <c r="DS34" i="13" s="1"/>
  <c r="M210" i="9" s="1"/>
  <c r="AD28" i="13"/>
  <c r="AD34" i="13" s="1"/>
  <c r="AG34" i="13" s="1"/>
  <c r="I207" i="9" s="1"/>
  <c r="CF28" i="13"/>
  <c r="CF34" i="13" s="1"/>
  <c r="CI34" i="13" s="1"/>
  <c r="O207" i="9" s="1"/>
  <c r="EF28" i="13"/>
  <c r="EF34" i="13" s="1"/>
  <c r="EI34" i="13" s="1"/>
  <c r="Q210" i="9" s="1"/>
  <c r="FT27" i="13"/>
  <c r="FT33" i="13" s="1"/>
  <c r="FW33" i="13" s="1"/>
  <c r="IB28" i="13"/>
  <c r="IB34" i="13" s="1"/>
  <c r="IE34" i="13" s="1"/>
  <c r="U213" i="9" s="1"/>
  <c r="AH28" i="13"/>
  <c r="AH34" i="13" s="1"/>
  <c r="AK34" i="13" s="1"/>
  <c r="J207" i="9" s="1"/>
  <c r="BN28" i="13"/>
  <c r="BN34" i="13" s="1"/>
  <c r="BQ34" i="13" s="1"/>
  <c r="R207" i="9" s="1"/>
  <c r="BF28" i="13"/>
  <c r="BF34" i="13" s="1"/>
  <c r="BI34" i="13" s="1"/>
  <c r="P207" i="9" s="1"/>
  <c r="BJ28" i="13"/>
  <c r="BJ34" i="13" s="1"/>
  <c r="BM34" i="13" s="1"/>
  <c r="Q207" i="9" s="1"/>
  <c r="AX28" i="13"/>
  <c r="AX34" i="13" s="1"/>
  <c r="BA34" i="13" s="1"/>
  <c r="N207" i="9" s="1"/>
  <c r="IN28" i="13"/>
  <c r="IN34" i="13" s="1"/>
  <c r="IQ34" i="13" s="1"/>
  <c r="U216" i="9" s="1"/>
  <c r="CZ28" i="13"/>
  <c r="CZ34" i="13" s="1"/>
  <c r="DC34" i="13" s="1"/>
  <c r="I210" i="9" s="1"/>
  <c r="CB28" i="13"/>
  <c r="CB34" i="13" s="1"/>
  <c r="CE34" i="13" s="1"/>
  <c r="U207" i="9" s="1"/>
  <c r="DP27" i="13"/>
  <c r="DP33" i="13" s="1"/>
  <c r="DS33" i="13" s="1"/>
  <c r="FP28" i="13"/>
  <c r="FP34" i="13" s="1"/>
  <c r="FS34" i="13" s="1"/>
  <c r="G213" i="9" s="1"/>
  <c r="BN27" i="13"/>
  <c r="BN33" i="13" s="1"/>
  <c r="BQ33" i="13" s="1"/>
  <c r="DH28" i="13"/>
  <c r="DH34" i="13" s="1"/>
  <c r="DK34" i="13" s="1"/>
  <c r="K210" i="9" s="1"/>
  <c r="IJ27" i="13"/>
  <c r="IJ33" i="13" s="1"/>
  <c r="IM33" i="13" s="1"/>
  <c r="BJ27" i="13"/>
  <c r="BJ33" i="13" s="1"/>
  <c r="BM33" i="13" s="1"/>
  <c r="A46" i="1"/>
  <c r="F27" i="1"/>
  <c r="F46" i="1"/>
  <c r="O12" i="13"/>
  <c r="N28" i="13"/>
  <c r="N34" i="13" s="1"/>
  <c r="Q34" i="13" s="1"/>
  <c r="E207" i="9" s="1"/>
  <c r="E28" i="13"/>
  <c r="F44" i="1"/>
  <c r="E34" i="13" l="1"/>
  <c r="I34" i="13" s="1"/>
  <c r="V207" i="9" s="1"/>
  <c r="GN34" i="13"/>
  <c r="GQ34" i="13" s="1"/>
  <c r="L93" i="22"/>
  <c r="M93" i="22" s="1"/>
  <c r="G94" i="22" s="1"/>
  <c r="J27" i="13"/>
  <c r="I33" i="13"/>
  <c r="J34" i="13"/>
  <c r="M34" i="13" s="1"/>
  <c r="D207" i="9" s="1"/>
  <c r="V28" i="13"/>
  <c r="V34" i="13" s="1"/>
  <c r="Y34" i="13" s="1"/>
  <c r="G207" i="9" s="1"/>
  <c r="M296" i="9"/>
  <c r="M298" i="9" s="1"/>
  <c r="F220" i="1"/>
  <c r="A50" i="1"/>
  <c r="N285" i="9"/>
  <c r="J286" i="9" s="1"/>
  <c r="N286" i="9" s="1"/>
  <c r="J287" i="9" s="1"/>
  <c r="N287" i="9" s="1"/>
  <c r="J288" i="9" s="1"/>
  <c r="N288" i="9" s="1"/>
  <c r="J289" i="9" s="1"/>
  <c r="N289" i="9" s="1"/>
  <c r="J290" i="9" s="1"/>
  <c r="N290" i="9" s="1"/>
  <c r="J291" i="9" s="1"/>
  <c r="N291" i="9" s="1"/>
  <c r="J292" i="9" s="1"/>
  <c r="N292" i="9" s="1"/>
  <c r="J293" i="9" s="1"/>
  <c r="N293" i="9" s="1"/>
  <c r="J294" i="9" s="1"/>
  <c r="N294" i="9" s="1"/>
  <c r="J295" i="9" s="1"/>
  <c r="N295" i="9" s="1"/>
  <c r="IR34" i="13" l="1"/>
  <c r="IS34" i="13" s="1"/>
  <c r="U210" i="9"/>
  <c r="D216" i="9" s="1"/>
  <c r="H251" i="1"/>
  <c r="V27" i="13"/>
  <c r="V33" i="13" s="1"/>
  <c r="Y33" i="13" s="1"/>
  <c r="J33" i="13"/>
  <c r="M33" i="13" s="1"/>
  <c r="N27" i="13"/>
  <c r="L94" i="22"/>
  <c r="M94" i="22" s="1"/>
  <c r="G95" i="22" s="1"/>
  <c r="A52" i="1"/>
  <c r="A157" i="7"/>
  <c r="M299" i="9" l="1"/>
  <c r="M300" i="9" s="1"/>
  <c r="E316" i="9" s="1"/>
  <c r="E320" i="9" s="1"/>
  <c r="L95" i="22"/>
  <c r="M95" i="22" s="1"/>
  <c r="G96" i="22" s="1"/>
  <c r="A53" i="1"/>
  <c r="A54" i="1" s="1"/>
  <c r="Z27" i="13"/>
  <c r="Z33" i="13" s="1"/>
  <c r="AC33" i="13" s="1"/>
  <c r="N33" i="13"/>
  <c r="Q33" i="13" s="1"/>
  <c r="F54" i="1" l="1"/>
  <c r="IR33" i="13"/>
  <c r="L96" i="22"/>
  <c r="M96" i="22" s="1"/>
  <c r="G97" i="22" s="1"/>
  <c r="A55" i="1"/>
  <c r="A56" i="1" s="1"/>
  <c r="IT33" i="13" l="1"/>
  <c r="IU32" i="13" s="1"/>
  <c r="H252" i="1" s="1"/>
  <c r="H254" i="1" s="1"/>
  <c r="L97" i="22"/>
  <c r="M97" i="22" s="1"/>
  <c r="G98" i="22" s="1"/>
  <c r="A58" i="1"/>
  <c r="F58" i="1"/>
  <c r="F56" i="1"/>
  <c r="L98" i="22" l="1"/>
  <c r="M98" i="22" s="1"/>
  <c r="G99" i="22" s="1"/>
  <c r="A60" i="1"/>
  <c r="F30" i="1"/>
  <c r="F60" i="1"/>
  <c r="L99" i="22" l="1"/>
  <c r="M99" i="22" s="1"/>
  <c r="G100" i="22"/>
  <c r="F207" i="1"/>
  <c r="A65" i="1"/>
  <c r="L100" i="22" l="1"/>
  <c r="M100" i="22" s="1"/>
  <c r="G101" i="22" s="1"/>
  <c r="A66" i="1"/>
  <c r="F66" i="1"/>
  <c r="L101" i="22" l="1"/>
  <c r="M101" i="22" s="1"/>
  <c r="G102" i="22" s="1"/>
  <c r="A68" i="1"/>
  <c r="L102" i="22" l="1"/>
  <c r="M102" i="22" s="1"/>
  <c r="G103" i="22" s="1"/>
  <c r="A70" i="1"/>
  <c r="F245" i="1"/>
  <c r="F234" i="1"/>
  <c r="L103" i="22" l="1"/>
  <c r="M103" i="22" s="1"/>
  <c r="G104" i="22" s="1"/>
  <c r="A73" i="1"/>
  <c r="A145" i="7"/>
  <c r="L104" i="22" l="1"/>
  <c r="M104" i="22" s="1"/>
  <c r="G105" i="22" s="1"/>
  <c r="A162" i="7"/>
  <c r="A76" i="1"/>
  <c r="L105" i="22" l="1"/>
  <c r="M105" i="22" s="1"/>
  <c r="G106" i="22" s="1"/>
  <c r="A210" i="7"/>
  <c r="A79" i="1"/>
  <c r="L106" i="22" l="1"/>
  <c r="M106" i="22" s="1"/>
  <c r="G107" i="22" s="1"/>
  <c r="A80" i="1"/>
  <c r="A81" i="1" s="1"/>
  <c r="A138" i="7"/>
  <c r="L107" i="22" l="1"/>
  <c r="M107" i="22" s="1"/>
  <c r="G108" i="22" s="1"/>
  <c r="F81" i="1"/>
  <c r="A82" i="1"/>
  <c r="F83" i="1" s="1"/>
  <c r="L108" i="22" l="1"/>
  <c r="M108" i="22" s="1"/>
  <c r="G109" i="22" s="1"/>
  <c r="A137" i="7"/>
  <c r="A83" i="1"/>
  <c r="A86" i="1" l="1"/>
  <c r="L109" i="22"/>
  <c r="M109" i="22" s="1"/>
  <c r="G110" i="22" s="1"/>
  <c r="L110" i="22" l="1"/>
  <c r="M110" i="22" s="1"/>
  <c r="G111" i="22" s="1"/>
  <c r="A87" i="1"/>
  <c r="A88" i="1" s="1"/>
  <c r="F88" i="1" l="1"/>
  <c r="L111" i="22"/>
  <c r="M111" i="22" s="1"/>
  <c r="G112" i="22" s="1"/>
  <c r="A90" i="1"/>
  <c r="F90" i="1"/>
  <c r="L112" i="22" l="1"/>
  <c r="M112" i="22" s="1"/>
  <c r="G113" i="22"/>
  <c r="F208" i="1"/>
  <c r="A92" i="1"/>
  <c r="F92" i="1"/>
  <c r="F209" i="1" l="1"/>
  <c r="G16" i="6"/>
  <c r="A97" i="1"/>
  <c r="L113" i="22"/>
  <c r="M113" i="22" s="1"/>
  <c r="G114" i="22" s="1"/>
  <c r="L114" i="22" l="1"/>
  <c r="M114" i="22" s="1"/>
  <c r="G115" i="22" s="1"/>
  <c r="C291" i="1"/>
  <c r="A98" i="1"/>
  <c r="A99" i="1" s="1"/>
  <c r="A100" i="1" s="1"/>
  <c r="L115" i="22" l="1"/>
  <c r="M115" i="22" s="1"/>
  <c r="G116" i="22" s="1"/>
  <c r="A101" i="1"/>
  <c r="C292" i="1"/>
  <c r="F102" i="1"/>
  <c r="L116" i="22" l="1"/>
  <c r="M116" i="22" s="1"/>
  <c r="G117" i="22" s="1"/>
  <c r="A102" i="1"/>
  <c r="A140" i="7"/>
  <c r="L117" i="22" l="1"/>
  <c r="M117" i="22" s="1"/>
  <c r="G118" i="22" s="1"/>
  <c r="A105" i="1"/>
  <c r="L118" i="22" l="1"/>
  <c r="M118" i="22" s="1"/>
  <c r="G119" i="22" s="1"/>
  <c r="A106" i="1"/>
  <c r="A107" i="1" s="1"/>
  <c r="A108" i="1" s="1"/>
  <c r="A109" i="1" s="1"/>
  <c r="A110" i="1" s="1"/>
  <c r="L119" i="22" l="1"/>
  <c r="M119" i="22" s="1"/>
  <c r="G120" i="22" s="1"/>
  <c r="A168" i="7"/>
  <c r="A111" i="1"/>
  <c r="F111" i="1"/>
  <c r="L120" i="22" l="1"/>
  <c r="M120" i="22" s="1"/>
  <c r="G121" i="22" s="1"/>
  <c r="A112" i="1"/>
  <c r="A113" i="1" s="1"/>
  <c r="F113" i="1" l="1"/>
  <c r="L121" i="22"/>
  <c r="M121" i="22" s="1"/>
  <c r="G122" i="22" s="1"/>
  <c r="A116" i="1"/>
  <c r="L122" i="22" l="1"/>
  <c r="M122" i="22" s="1"/>
  <c r="G123" i="22" s="1"/>
  <c r="A117" i="1"/>
  <c r="F118" i="1"/>
  <c r="A173" i="7"/>
  <c r="L123" i="22" l="1"/>
  <c r="M123" i="22" s="1"/>
  <c r="G124" i="22" s="1"/>
  <c r="A118" i="1"/>
  <c r="A189" i="7"/>
  <c r="L124" i="22" l="1"/>
  <c r="M124" i="22" s="1"/>
  <c r="G125" i="22" s="1"/>
  <c r="A120" i="1"/>
  <c r="L125" i="22" l="1"/>
  <c r="M125" i="22" s="1"/>
  <c r="G126" i="22" s="1"/>
  <c r="A121" i="1"/>
  <c r="F122" i="1" s="1"/>
  <c r="L126" i="22" l="1"/>
  <c r="M126" i="22" s="1"/>
  <c r="G127" i="22" s="1"/>
  <c r="A122" i="1"/>
  <c r="A178" i="7"/>
  <c r="L127" i="22" l="1"/>
  <c r="M127" i="22" s="1"/>
  <c r="G128" i="22" s="1"/>
  <c r="A123" i="1"/>
  <c r="A124" i="1" s="1"/>
  <c r="F124" i="1"/>
  <c r="L128" i="22" l="1"/>
  <c r="M128" i="22" s="1"/>
  <c r="G129" i="22" s="1"/>
  <c r="A127" i="1"/>
  <c r="L129" i="22" l="1"/>
  <c r="M129" i="22" s="1"/>
  <c r="G130" i="22" s="1"/>
  <c r="A128" i="1"/>
  <c r="A219" i="7"/>
  <c r="L130" i="22" l="1"/>
  <c r="M130" i="22" s="1"/>
  <c r="G131" i="22" s="1"/>
  <c r="A220" i="7"/>
  <c r="A129" i="1"/>
  <c r="L131" i="22" l="1"/>
  <c r="M131" i="22" s="1"/>
  <c r="G132" i="22" s="1"/>
  <c r="A130" i="1"/>
  <c r="A221" i="7"/>
  <c r="F130" i="1"/>
  <c r="L132" i="22" l="1"/>
  <c r="M132" i="22" s="1"/>
  <c r="G133" i="22"/>
  <c r="F98" i="1"/>
  <c r="A133" i="1"/>
  <c r="C98" i="1"/>
  <c r="F133" i="1"/>
  <c r="F211" i="1" l="1"/>
  <c r="F86" i="1"/>
  <c r="A138" i="1"/>
  <c r="L133" i="22"/>
  <c r="M133" i="22" s="1"/>
  <c r="G134" i="22" s="1"/>
  <c r="L134" i="22" l="1"/>
  <c r="M134" i="22" s="1"/>
  <c r="G135" i="22" s="1"/>
  <c r="A140" i="1"/>
  <c r="L135" i="22" l="1"/>
  <c r="M135" i="22" s="1"/>
  <c r="G136" i="22" s="1"/>
  <c r="A141" i="1"/>
  <c r="A142" i="1" s="1"/>
  <c r="F142" i="1"/>
  <c r="L136" i="22" l="1"/>
  <c r="M136" i="22" s="1"/>
  <c r="G137" i="22" s="1"/>
  <c r="A143" i="1"/>
  <c r="A144" i="1" s="1"/>
  <c r="F144" i="1"/>
  <c r="L137" i="22" l="1"/>
  <c r="M137" i="22" s="1"/>
  <c r="G138" i="22" s="1"/>
  <c r="A146" i="1"/>
  <c r="F146" i="1"/>
  <c r="L138" i="22" l="1"/>
  <c r="M138" i="22" s="1"/>
  <c r="G139" i="22" s="1"/>
  <c r="F212" i="1"/>
  <c r="A150" i="1"/>
  <c r="L139" i="22" l="1"/>
  <c r="M139" i="22" s="1"/>
  <c r="G140" i="22" s="1"/>
  <c r="A152" i="1"/>
  <c r="F152" i="1"/>
  <c r="H54" i="3"/>
  <c r="L140" i="22" l="1"/>
  <c r="M140" i="22" s="1"/>
  <c r="G141" i="22" s="1"/>
  <c r="A157" i="1"/>
  <c r="F213" i="1"/>
  <c r="L141" i="22" l="1"/>
  <c r="M141" i="22" s="1"/>
  <c r="G142" i="22" s="1"/>
  <c r="A160" i="1"/>
  <c r="G19" i="6"/>
  <c r="L142" i="22" l="1"/>
  <c r="M142" i="22" s="1"/>
  <c r="G143" i="22" s="1"/>
  <c r="G22" i="6"/>
  <c r="A161" i="1"/>
  <c r="L143" i="22" l="1"/>
  <c r="M143" i="22" s="1"/>
  <c r="G144" i="22" s="1"/>
  <c r="A162" i="1"/>
  <c r="G23" i="6"/>
  <c r="L144" i="22" l="1"/>
  <c r="M144" i="22" s="1"/>
  <c r="G145" i="22" s="1"/>
  <c r="A163" i="1"/>
  <c r="G24" i="6"/>
  <c r="L145" i="22" l="1"/>
  <c r="M145" i="22" s="1"/>
  <c r="G146" i="22" s="1"/>
  <c r="A164" i="1"/>
  <c r="G25" i="6"/>
  <c r="F164" i="1"/>
  <c r="L146" i="22" l="1"/>
  <c r="M146" i="22" s="1"/>
  <c r="G147" i="22" s="1"/>
  <c r="A167" i="1"/>
  <c r="G26" i="6"/>
  <c r="F173" i="1"/>
  <c r="L147" i="22" l="1"/>
  <c r="M147" i="22" s="1"/>
  <c r="G148" i="22" s="1"/>
  <c r="A168" i="1"/>
  <c r="G30" i="6"/>
  <c r="L148" i="22" l="1"/>
  <c r="M148" i="22" s="1"/>
  <c r="G149" i="22" s="1"/>
  <c r="A169" i="1"/>
  <c r="G31" i="6"/>
  <c r="L149" i="22" l="1"/>
  <c r="M149" i="22" s="1"/>
  <c r="G150" i="22" s="1"/>
  <c r="A170" i="1"/>
  <c r="F171" i="1" s="1"/>
  <c r="G32" i="6"/>
  <c r="G151" i="22" l="1"/>
  <c r="L150" i="22"/>
  <c r="M150" i="22" s="1"/>
  <c r="G33" i="6"/>
  <c r="A171" i="1"/>
  <c r="L151" i="22" l="1"/>
  <c r="M151" i="22" s="1"/>
  <c r="G152" i="22" s="1"/>
  <c r="A172" i="1"/>
  <c r="G34" i="6"/>
  <c r="L152" i="22" l="1"/>
  <c r="M152" i="22" s="1"/>
  <c r="G153" i="22" s="1"/>
  <c r="A173" i="1"/>
  <c r="G35" i="6"/>
  <c r="F162" i="1"/>
  <c r="F181" i="1"/>
  <c r="L153" i="22" l="1"/>
  <c r="M153" i="22" s="1"/>
  <c r="G154" i="22" s="1"/>
  <c r="A174" i="1"/>
  <c r="G36" i="6"/>
  <c r="F178" i="1"/>
  <c r="F174" i="1"/>
  <c r="L154" i="22" l="1"/>
  <c r="M154" i="22" s="1"/>
  <c r="G155" i="22" s="1"/>
  <c r="A176" i="1"/>
  <c r="G37" i="6"/>
  <c r="F176" i="1"/>
  <c r="F177" i="1"/>
  <c r="L155" i="22" l="1"/>
  <c r="M155" i="22" s="1"/>
  <c r="G156" i="22" s="1"/>
  <c r="G39" i="6"/>
  <c r="A177" i="1"/>
  <c r="L156" i="22" l="1"/>
  <c r="M156" i="22" s="1"/>
  <c r="G157" i="22" s="1"/>
  <c r="A178" i="1"/>
  <c r="G40" i="6"/>
  <c r="L157" i="22" l="1"/>
  <c r="M157" i="22" s="1"/>
  <c r="G158" i="22" s="1"/>
  <c r="A180" i="1"/>
  <c r="G41" i="6"/>
  <c r="L158" i="22" l="1"/>
  <c r="M158" i="22" s="1"/>
  <c r="G159" i="22" s="1"/>
  <c r="A181" i="1"/>
  <c r="G43" i="6"/>
  <c r="F184" i="1"/>
  <c r="L159" i="22" l="1"/>
  <c r="M159" i="22" s="1"/>
  <c r="G160" i="22" s="1"/>
  <c r="A182" i="1"/>
  <c r="G44" i="6"/>
  <c r="F185" i="1"/>
  <c r="L160" i="22" l="1"/>
  <c r="M160" i="22" s="1"/>
  <c r="G161" i="22" s="1"/>
  <c r="A184" i="1"/>
  <c r="F186" i="1"/>
  <c r="L161" i="22" l="1"/>
  <c r="M161" i="22" s="1"/>
  <c r="G162" i="22" s="1"/>
  <c r="A185" i="1"/>
  <c r="A186" i="1" s="1"/>
  <c r="A187" i="1" s="1"/>
  <c r="F187" i="1"/>
  <c r="L162" i="22" l="1"/>
  <c r="M162" i="22" s="1"/>
  <c r="G163" i="22" s="1"/>
  <c r="A189" i="1"/>
  <c r="F189" i="1"/>
  <c r="L163" i="22" l="1"/>
  <c r="M163" i="22" s="1"/>
  <c r="G164" i="22" s="1"/>
  <c r="F214" i="1"/>
  <c r="A194" i="1"/>
  <c r="L164" i="22" l="1"/>
  <c r="M164" i="22" s="1"/>
  <c r="G165" i="22" s="1"/>
  <c r="G57" i="6"/>
  <c r="A195" i="1"/>
  <c r="L165" i="22" l="1"/>
  <c r="M165" i="22" s="1"/>
  <c r="G166" i="22" s="1"/>
  <c r="G58" i="6"/>
  <c r="A196" i="1"/>
  <c r="A184" i="7"/>
  <c r="L166" i="22" l="1"/>
  <c r="M166" i="22" s="1"/>
  <c r="G167" i="22" s="1"/>
  <c r="A197" i="1"/>
  <c r="G59" i="6"/>
  <c r="L167" i="22" l="1"/>
  <c r="M167" i="22" s="1"/>
  <c r="G168" i="22" s="1"/>
  <c r="G60" i="6"/>
  <c r="A198" i="1"/>
  <c r="L168" i="22" l="1"/>
  <c r="M168" i="22" s="1"/>
  <c r="G169" i="22" s="1"/>
  <c r="F200" i="1"/>
  <c r="A200" i="1"/>
  <c r="G61" i="6"/>
  <c r="L169" i="22" l="1"/>
  <c r="M169" i="22" s="1"/>
  <c r="G170" i="22" s="1"/>
  <c r="A202" i="1"/>
  <c r="F202" i="1"/>
  <c r="L170" i="22" l="1"/>
  <c r="M170" i="22" s="1"/>
  <c r="G171" i="22" s="1"/>
  <c r="A207" i="1"/>
  <c r="A208" i="1" s="1"/>
  <c r="A209" i="1" s="1"/>
  <c r="A211" i="1" s="1"/>
  <c r="F215" i="1"/>
  <c r="L171" i="22" l="1"/>
  <c r="M171" i="22" s="1"/>
  <c r="G172" i="22" s="1"/>
  <c r="A212" i="1"/>
  <c r="A213" i="1" s="1"/>
  <c r="A214" i="1" s="1"/>
  <c r="A215" i="1" s="1"/>
  <c r="A217" i="1" s="1"/>
  <c r="F224" i="1" l="1"/>
  <c r="A220" i="1"/>
  <c r="F217" i="1"/>
  <c r="L172" i="22"/>
  <c r="M172" i="22" s="1"/>
  <c r="G173" i="22" s="1"/>
  <c r="L173" i="22" l="1"/>
  <c r="M173" i="22" s="1"/>
  <c r="G174" i="22" s="1"/>
  <c r="A221" i="1"/>
  <c r="A222" i="1" l="1"/>
  <c r="A194" i="7"/>
  <c r="F222" i="1"/>
  <c r="L174" i="22"/>
  <c r="M174" i="22" s="1"/>
  <c r="G175" i="22" s="1"/>
  <c r="L175" i="22" l="1"/>
  <c r="M175" i="22" s="1"/>
  <c r="G176" i="22" s="1"/>
  <c r="F223" i="1"/>
  <c r="A223" i="1"/>
  <c r="L176" i="22" l="1"/>
  <c r="M176" i="22" s="1"/>
  <c r="G177" i="22" s="1"/>
  <c r="A224" i="1"/>
  <c r="A225" i="1" s="1"/>
  <c r="F225" i="1"/>
  <c r="L177" i="22" l="1"/>
  <c r="M177" i="22" s="1"/>
  <c r="G178" i="22" s="1"/>
  <c r="A228" i="1"/>
  <c r="F230" i="1" s="1"/>
  <c r="L178" i="22" l="1"/>
  <c r="M178" i="22" s="1"/>
  <c r="G179" i="22" s="1"/>
  <c r="A230" i="1"/>
  <c r="E23" i="5"/>
  <c r="L179" i="22" l="1"/>
  <c r="M179" i="22" s="1"/>
  <c r="G180" i="22" s="1"/>
  <c r="A233" i="1"/>
  <c r="F233" i="1"/>
  <c r="F250" i="1"/>
  <c r="F242" i="1"/>
  <c r="A234" i="1" l="1"/>
  <c r="A235" i="1" s="1"/>
  <c r="A236" i="1" s="1"/>
  <c r="A237" i="1" s="1"/>
  <c r="L180" i="22"/>
  <c r="M180" i="22" s="1"/>
  <c r="G181" i="22" s="1"/>
  <c r="F238" i="1" l="1"/>
  <c r="F236" i="1"/>
  <c r="F237" i="1"/>
  <c r="L181" i="22"/>
  <c r="M181" i="22" s="1"/>
  <c r="G182" i="22" s="1"/>
  <c r="F10" i="13"/>
  <c r="A238" i="1"/>
  <c r="F235" i="1"/>
  <c r="L182" i="22" l="1"/>
  <c r="M182" i="22" s="1"/>
  <c r="G183" i="22" s="1"/>
  <c r="A242" i="1"/>
  <c r="F16" i="13"/>
  <c r="L183" i="22" l="1"/>
  <c r="M183" i="22" s="1"/>
  <c r="G184" i="22" s="1"/>
  <c r="A243" i="1"/>
  <c r="F244" i="1" s="1"/>
  <c r="L184" i="22" l="1"/>
  <c r="M184" i="22" s="1"/>
  <c r="G185" i="22" s="1"/>
  <c r="I9" i="6"/>
  <c r="A244" i="1"/>
  <c r="L185" i="22" l="1"/>
  <c r="M185" i="22" s="1"/>
  <c r="G186" i="22" s="1"/>
  <c r="F247" i="1"/>
  <c r="F248" i="1"/>
  <c r="F246" i="1"/>
  <c r="A245" i="1"/>
  <c r="A246" i="1" s="1"/>
  <c r="A247" i="1" s="1"/>
  <c r="A248" i="1" s="1"/>
  <c r="L186" i="22" l="1"/>
  <c r="M186" i="22" s="1"/>
  <c r="G187" i="22" s="1"/>
  <c r="F11" i="13"/>
  <c r="A250" i="1"/>
  <c r="L187" i="22" l="1"/>
  <c r="M187" i="22" s="1"/>
  <c r="G188" i="22" s="1"/>
  <c r="A251" i="1"/>
  <c r="A252" i="1" s="1"/>
  <c r="A253" i="1" s="1"/>
  <c r="F254" i="1" l="1"/>
  <c r="L188" i="22"/>
  <c r="M188" i="22" s="1"/>
  <c r="G189" i="22" s="1"/>
  <c r="A246" i="7"/>
  <c r="A254" i="1"/>
  <c r="L189" i="22" l="1"/>
  <c r="M189" i="22" s="1"/>
  <c r="G190" i="22" s="1"/>
  <c r="A257" i="1"/>
  <c r="A258" i="1" s="1"/>
  <c r="F258" i="1" l="1"/>
  <c r="L190" i="22"/>
  <c r="M190" i="22" s="1"/>
  <c r="G191" i="22" s="1"/>
  <c r="A260" i="1"/>
  <c r="F260" i="1"/>
  <c r="L191" i="22" l="1"/>
  <c r="M191" i="22" s="1"/>
  <c r="G192" i="22" s="1"/>
  <c r="L192" i="22" l="1"/>
  <c r="M192" i="22" s="1"/>
  <c r="G193" i="22" s="1"/>
  <c r="L193" i="22" l="1"/>
  <c r="M193" i="22" s="1"/>
  <c r="G194" i="22" s="1"/>
  <c r="L194" i="22" l="1"/>
  <c r="M194" i="22" s="1"/>
  <c r="G195" i="22" s="1"/>
  <c r="L195" i="22" l="1"/>
  <c r="M195" i="22" s="1"/>
  <c r="G196" i="22" s="1"/>
  <c r="L196" i="22" l="1"/>
  <c r="M196" i="22" s="1"/>
  <c r="G197" i="22" s="1"/>
  <c r="L197" i="22" l="1"/>
  <c r="M197" i="22" s="1"/>
  <c r="G198" i="22" s="1"/>
  <c r="L198" i="22" l="1"/>
  <c r="M198" i="22" s="1"/>
  <c r="G199" i="22" s="1"/>
  <c r="L199" i="22" l="1"/>
  <c r="M199" i="22" s="1"/>
  <c r="G200" i="22" s="1"/>
  <c r="L200" i="22" l="1"/>
  <c r="M200" i="22" s="1"/>
  <c r="G201" i="22" s="1"/>
  <c r="L201" i="22" l="1"/>
  <c r="M201" i="22" s="1"/>
  <c r="G202" i="22" s="1"/>
  <c r="L202" i="22" l="1"/>
  <c r="M202" i="22" s="1"/>
  <c r="G203" i="22" s="1"/>
  <c r="L203" i="22" l="1"/>
  <c r="M203" i="22" s="1"/>
  <c r="G204" i="22" s="1"/>
  <c r="L204" i="22" l="1"/>
  <c r="M204" i="22" s="1"/>
  <c r="G205" i="22" s="1"/>
  <c r="L205" i="22" l="1"/>
  <c r="M205" i="22" s="1"/>
  <c r="G206" i="22" s="1"/>
  <c r="L206" i="22" l="1"/>
  <c r="M206" i="22" s="1"/>
  <c r="G207" i="22" s="1"/>
  <c r="L207" i="22" l="1"/>
  <c r="M207" i="22" s="1"/>
  <c r="G208" i="22" s="1"/>
  <c r="L208" i="22" l="1"/>
  <c r="M208" i="22" s="1"/>
  <c r="G209" i="22" s="1"/>
  <c r="L209" i="22" l="1"/>
  <c r="M209" i="22" s="1"/>
  <c r="G210" i="22" s="1"/>
  <c r="L210" i="22" l="1"/>
  <c r="M210" i="22" s="1"/>
  <c r="G211" i="22" s="1"/>
  <c r="L211" i="22" l="1"/>
  <c r="M211" i="22" s="1"/>
  <c r="G212" i="22" s="1"/>
  <c r="L212" i="22" l="1"/>
  <c r="M212" i="22" s="1"/>
  <c r="G213" i="22" s="1"/>
  <c r="L213" i="22" l="1"/>
  <c r="M213" i="22" s="1"/>
  <c r="G214" i="22" s="1"/>
  <c r="L214" i="22" l="1"/>
  <c r="M214" i="22" s="1"/>
  <c r="G215" i="22" s="1"/>
  <c r="L215" i="22" l="1"/>
  <c r="M215" i="22" s="1"/>
  <c r="G216" i="22" s="1"/>
  <c r="L216" i="22" l="1"/>
  <c r="M216" i="22" s="1"/>
  <c r="G217" i="22" s="1"/>
  <c r="L217" i="22" l="1"/>
  <c r="M217" i="22" s="1"/>
  <c r="G218" i="22" s="1"/>
  <c r="L218" i="22" l="1"/>
  <c r="M218" i="22" s="1"/>
  <c r="G219" i="22" s="1"/>
  <c r="L219" i="22" l="1"/>
  <c r="M219" i="22" s="1"/>
  <c r="G220" i="22" s="1"/>
  <c r="G221" i="22" l="1"/>
  <c r="L220" i="22"/>
  <c r="M220" i="22" s="1"/>
  <c r="L221" i="22" l="1"/>
  <c r="M221" i="22" s="1"/>
  <c r="G222" i="22" s="1"/>
  <c r="L222" i="22" l="1"/>
  <c r="M222" i="22" s="1"/>
  <c r="G223" i="22" s="1"/>
  <c r="L223" i="22" l="1"/>
  <c r="M223" i="22" s="1"/>
  <c r="G224" i="22" s="1"/>
  <c r="L224" i="22" l="1"/>
  <c r="M224" i="22" s="1"/>
  <c r="G225" i="22" s="1"/>
  <c r="L225" i="22" l="1"/>
  <c r="M225" i="22" s="1"/>
  <c r="G226" i="22" s="1"/>
  <c r="L226" i="22" l="1"/>
  <c r="M226" i="22" s="1"/>
  <c r="G227" i="22" s="1"/>
  <c r="L227" i="22" l="1"/>
  <c r="M227" i="22" s="1"/>
  <c r="G228" i="22" s="1"/>
  <c r="L228" i="22" l="1"/>
  <c r="M228" i="22" s="1"/>
  <c r="G229" i="22" s="1"/>
  <c r="L229" i="22" l="1"/>
  <c r="M229" i="22" s="1"/>
  <c r="G230" i="22" s="1"/>
  <c r="L230" i="22" s="1"/>
  <c r="M230"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30081</author>
  </authors>
  <commentList>
    <comment ref="B116" authorId="0" shapeId="0" xr:uid="{00000000-0006-0000-0A00-000001000000}">
      <text>
        <r>
          <rPr>
            <b/>
            <sz val="9"/>
            <color indexed="81"/>
            <rFont val="Tahoma"/>
            <family val="2"/>
          </rPr>
          <t>30081:</t>
        </r>
        <r>
          <rPr>
            <sz val="9"/>
            <color indexed="81"/>
            <rFont val="Tahoma"/>
            <family val="2"/>
          </rPr>
          <t xml:space="preserve">
Changed from April 6, 2009 to April 8, 2009 on April 5, 2012.</t>
        </r>
      </text>
    </comment>
  </commentList>
</comments>
</file>

<file path=xl/sharedStrings.xml><?xml version="1.0" encoding="utf-8"?>
<sst xmlns="http://schemas.openxmlformats.org/spreadsheetml/2006/main" count="3440" uniqueCount="1330">
  <si>
    <t>Accumulated Depreciation Worksheet</t>
  </si>
  <si>
    <t>Calculation of Transmission Accumulated Depreciation</t>
  </si>
  <si>
    <t>Calculation of Distribution Accumulated Depreciation</t>
  </si>
  <si>
    <t>Distribution Accumulated Depreciation</t>
  </si>
  <si>
    <t>Calculation of Intangible Accumulated Depreciation</t>
  </si>
  <si>
    <t>Accumulated Intangible Depreciation</t>
  </si>
  <si>
    <t>Calculation of General Accumulated Depreciation</t>
  </si>
  <si>
    <t>Calculation of Production Accumulated Depreciation</t>
  </si>
  <si>
    <t>Production Accumulated Depreciation</t>
  </si>
  <si>
    <t>Beg of year</t>
  </si>
  <si>
    <t>End of Year</t>
  </si>
  <si>
    <t>Accrual</t>
  </si>
  <si>
    <t xml:space="preserve">Survivor </t>
  </si>
  <si>
    <t>Salvage</t>
  </si>
  <si>
    <t>Rate (Annual)</t>
  </si>
  <si>
    <t>TRANSMISSION PLANT</t>
  </si>
  <si>
    <t>Curve</t>
  </si>
  <si>
    <t>Percent</t>
  </si>
  <si>
    <t>Land &amp; Land Rights - Easements</t>
  </si>
  <si>
    <t>-</t>
  </si>
  <si>
    <t xml:space="preserve">R4   </t>
  </si>
  <si>
    <t>Structures &amp; Improvements</t>
  </si>
  <si>
    <t>R3</t>
  </si>
  <si>
    <t>Station Equipment</t>
  </si>
  <si>
    <t xml:space="preserve">  Other</t>
  </si>
  <si>
    <t xml:space="preserve">R2   </t>
  </si>
  <si>
    <t xml:space="preserve">  SCADA</t>
  </si>
  <si>
    <t>S3</t>
  </si>
  <si>
    <t>Towers &amp; Fixtures</t>
  </si>
  <si>
    <t>Poles &amp; Fixtures</t>
  </si>
  <si>
    <t>R2.5</t>
  </si>
  <si>
    <t xml:space="preserve">  502 Junction - Territorial Line            </t>
  </si>
  <si>
    <t>502 Junction - Territorial Line               (CWIP)</t>
  </si>
  <si>
    <t>VA 6.0%</t>
  </si>
  <si>
    <t>Doubs Replace Transformer #3</t>
  </si>
  <si>
    <t>PJM Upgrade ID:  b0704</t>
  </si>
  <si>
    <t xml:space="preserve">Cabot SS - Install Autotransformer </t>
  </si>
  <si>
    <t>Overhead Conductors &amp; Devices</t>
  </si>
  <si>
    <t xml:space="preserve">  Clearing</t>
  </si>
  <si>
    <t>Underground conduit</t>
  </si>
  <si>
    <t>Underground conductor and devices</t>
  </si>
  <si>
    <t xml:space="preserve">R3   </t>
  </si>
  <si>
    <t>EOY Balance for Estimate</t>
  </si>
  <si>
    <t xml:space="preserve">    Less PBOP Adjustment</t>
  </si>
  <si>
    <t>Detail of Account 566 Miscellaneous Transmission Expenses</t>
  </si>
  <si>
    <t>Summary of Pre-Commercial Expenses</t>
  </si>
  <si>
    <t xml:space="preserve">Miscellaneous Transmission Expense </t>
  </si>
  <si>
    <t>Cost Element Name</t>
  </si>
  <si>
    <t>Total Account 566 Miscellaneous Transmission Expenses</t>
  </si>
  <si>
    <t>Labor &amp; Overhead  (1)</t>
  </si>
  <si>
    <t>Miscellaneous  (2)</t>
  </si>
  <si>
    <t>Outside Services Legal  (3)</t>
  </si>
  <si>
    <t>Outside Services Other  (4)</t>
  </si>
  <si>
    <t>Outside Services Rates (5)</t>
  </si>
  <si>
    <t>Advertising  (6)</t>
  </si>
  <si>
    <t>Travel, Lodging and  Meals  (7)</t>
  </si>
  <si>
    <t>(1)     Labor &amp; overhead amount includes costs allocated to preparation of the preliminary survey and investigation.</t>
  </si>
  <si>
    <t xml:space="preserve">(2)    Miscellaneous amount includes rental of volunteer fire department facilities for open houses, Fed EX </t>
  </si>
  <si>
    <t xml:space="preserve">         fees for various mailings from Legal, Procurement, Transmission &amp; Finance, fees for various  </t>
  </si>
  <si>
    <t xml:space="preserve">         conference calls and PJM application fee.</t>
  </si>
  <si>
    <t>(3)    Outside legal services includes the cost for research and preparation of the filing to determine incentive</t>
  </si>
  <si>
    <t xml:space="preserve">          rate availability.</t>
  </si>
  <si>
    <t>(4)    Other services other includes fees for website development, media relations services, campaign</t>
  </si>
  <si>
    <t xml:space="preserve">         management, open houses and research services.</t>
  </si>
  <si>
    <t>(5)    Outside services rates includes the advice of a rate consultant regarding rate design.</t>
  </si>
  <si>
    <t xml:space="preserve"> Enter Details Here</t>
  </si>
  <si>
    <t>PBOP Expenses</t>
  </si>
  <si>
    <t xml:space="preserve">Transmission plant in service will show the end of year balance and is linked to Attachment 5 which shows detail support by project.  </t>
  </si>
  <si>
    <t xml:space="preserve">     new transmission plant added to plant-in-service</t>
  </si>
  <si>
    <t xml:space="preserve">  Attachment 5 the name of each state and how the blended or composite SIT was developed.   </t>
  </si>
  <si>
    <t>Note: ADIT associated with Gain or Loss on Reacquired Debt is included in Column A here and included in Cost of Debt on Appendix A, Line 93.</t>
  </si>
  <si>
    <t>In filling out this attachment, a full and complete description of each item and justification for the allocation to Columns C-F and each separate ADIT item will be listed,</t>
  </si>
  <si>
    <t>Dissimilar items with amounts exceeding $100,000 will be listed separately.</t>
  </si>
  <si>
    <t>3.  ADIT items related only to Transmission are directly assigned to Column E.</t>
  </si>
  <si>
    <t>Doubs Replacement Transformer #3</t>
  </si>
  <si>
    <t>5.  ADIT items related to labor and not in Columns C, D, E &amp; F are directly assigned to Column G.</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</si>
  <si>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</si>
  <si>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 YTM at issuance calculated from an acceptable bond table or from YTM = Internal Rate of Return (IRR) calculation</t>
  </si>
  <si>
    <t>TOTALS</t>
  </si>
  <si>
    <t>(1)</t>
  </si>
  <si>
    <t>at Issuance, t = 0)</t>
  </si>
  <si>
    <t>Affiliate</t>
  </si>
  <si>
    <t>(Yield to Maturity</t>
  </si>
  <si>
    <t>(kk)</t>
  </si>
  <si>
    <t>(jj)</t>
  </si>
  <si>
    <t>(ii)</t>
  </si>
  <si>
    <t>(hh)</t>
  </si>
  <si>
    <t>(gg)</t>
  </si>
  <si>
    <t>(ff)</t>
  </si>
  <si>
    <t>(ee)</t>
  </si>
  <si>
    <t>(dd)</t>
  </si>
  <si>
    <t>(cc)</t>
  </si>
  <si>
    <t>(bb)</t>
  </si>
  <si>
    <t>(aa)</t>
  </si>
  <si>
    <t>PJM Upgrade ID: b0328.1 b0328.2; b0347.1; b0347.2; b0347.3; b0347.4</t>
  </si>
  <si>
    <t>Interim (individual debenture) debt cost calculations shall be taken to four decimals in percentages (7.2300%, 5.2582%); Final Total Weighted Average Debt Cost for the Formula Rate shall be rounded to two decimals of a percent (7.03%).</t>
  </si>
  <si>
    <t>The current portion of long term debt is included in the Net Amount Outstanding at t = N in these calculations.</t>
  </si>
  <si>
    <t>t = time</t>
  </si>
  <si>
    <t>**</t>
  </si>
  <si>
    <t>Long Term Debt Cost at Year Ended:</t>
  </si>
  <si>
    <t>(h) * (i)</t>
  </si>
  <si>
    <t>Ratios</t>
  </si>
  <si>
    <t>at t=N</t>
  </si>
  <si>
    <t>At Issuance</t>
  </si>
  <si>
    <t>ISSUANCE</t>
  </si>
  <si>
    <t>Maturity Date</t>
  </si>
  <si>
    <t>Issue Date</t>
  </si>
  <si>
    <t>t=N</t>
  </si>
  <si>
    <t>at t = N</t>
  </si>
  <si>
    <t>Net Proceeds</t>
  </si>
  <si>
    <t>ORIGINAL</t>
  </si>
  <si>
    <t>Weighted</t>
  </si>
  <si>
    <t>(j)</t>
  </si>
  <si>
    <t>(i)</t>
  </si>
  <si>
    <t>(h)</t>
  </si>
  <si>
    <t>(g)</t>
  </si>
  <si>
    <t>(f)</t>
  </si>
  <si>
    <t>(e)</t>
  </si>
  <si>
    <t>(d)</t>
  </si>
  <si>
    <t>(c)</t>
  </si>
  <si>
    <t>(b)</t>
  </si>
  <si>
    <t>(a)</t>
  </si>
  <si>
    <t>Transmission Related CWIP  (Current Year 13 Month weighted average balances)</t>
  </si>
  <si>
    <t>Dec (Prior Year CWIP ) p216.b.43</t>
  </si>
  <si>
    <t xml:space="preserve">     Plus Property Under Capital Leases</t>
  </si>
  <si>
    <t>A&amp;G Expenses</t>
  </si>
  <si>
    <t>Transmission Related A&amp;G Expenses</t>
  </si>
  <si>
    <t>Total General &amp; Intangible</t>
  </si>
  <si>
    <t xml:space="preserve">ROE will be established in the Commission order accepting the settlement in Docket No. ER07-562 and no change in ROE will be made absent a Section 205 or Section 206 filing at FERC. </t>
  </si>
  <si>
    <t>Therefore:  Weighted Equity = [50%*260+60%*(365-260)]/365</t>
  </si>
  <si>
    <t>Transmission Related General Depreciation and Intangible Amortization</t>
  </si>
  <si>
    <t xml:space="preserve">      Less Unamortized Loss on Reacquired Debt </t>
  </si>
  <si>
    <t xml:space="preserve">      Plus Unamortized Gain on Reacquired Debt</t>
  </si>
  <si>
    <t>The most recent FERC approved ROE</t>
  </si>
  <si>
    <t>p204.5.b</t>
  </si>
  <si>
    <t>p205.5.g</t>
  </si>
  <si>
    <t xml:space="preserve">Transmission Related Land Held for Future Use </t>
  </si>
  <si>
    <t>Note  1</t>
  </si>
  <si>
    <t>13 Month Plant Balance For reconciliation</t>
  </si>
  <si>
    <t>Average of Beginning and Ending Balances (for estimate and reconciliation)</t>
  </si>
  <si>
    <t>"Reconciliation Amount" is created in the reconciliation in Attachment 6 and included in the forecasted revenue requirement.</t>
  </si>
  <si>
    <t>Meadowbrook Transformer</t>
  </si>
  <si>
    <t>Meadowbrook Transformer (Plant In Service)</t>
  </si>
  <si>
    <t>Reconciliation Amount</t>
  </si>
  <si>
    <t>For the Reconciliation, the total additions to plant in service for that year will be summarized by project to demonstrate no Pre-Commercial costs  expensed were included in the additions to plant in service and AFUDC on projects where CWIP was recovered in rate base was included in the additions to plant in service.  The Pre-commercial expenses are actual expenses incurred for the reconciliation year. Total deferred and amortized Pre-commercial costs will be the actual amount agreeing to FERC Form 1 and Attachment 5.</t>
  </si>
  <si>
    <t>TrAILCo anticipates its financing will be a 7 year loan, where by TrAILCo pays Origination Fees of $5.2 million and a Commitments Fee of 0.3% on the undrawn principle.</t>
  </si>
  <si>
    <t>Consistent with GAAP, TrAILCo will amortize the Origination Fees and Commitments Fees using the standard Internal Rate of Return formula below.</t>
  </si>
  <si>
    <t>Each year, TrAILCo will true up the amounts withdrawn, the interest paid in the year, Origination Fees, Commitments Fees, and total loan amount on this attachment.</t>
  </si>
  <si>
    <t>Addition Origination Fees</t>
  </si>
  <si>
    <t>DONE</t>
  </si>
  <si>
    <t xml:space="preserve">DONE  - Roll over Draw 1 and 4 </t>
  </si>
  <si>
    <t>Draw 7</t>
  </si>
  <si>
    <t>Draw 8</t>
  </si>
  <si>
    <t>DONE - Roll over Draw 2, 3 and 5</t>
  </si>
  <si>
    <t>Draw 9</t>
  </si>
  <si>
    <t>Draw 10</t>
  </si>
  <si>
    <t>Draw 11</t>
  </si>
  <si>
    <t>DONE - Roll over Draw 6 and 9</t>
  </si>
  <si>
    <t>Draw 12</t>
  </si>
  <si>
    <t>DONE - Roll over Draw 10</t>
  </si>
  <si>
    <t>Draw 13</t>
  </si>
  <si>
    <t>DONE - Roll over Draw 7 and 8</t>
  </si>
  <si>
    <t>Draw 14</t>
  </si>
  <si>
    <t>Draw 15</t>
  </si>
  <si>
    <t>Draw 16</t>
  </si>
  <si>
    <t>DONE - Roll over Draw 11</t>
  </si>
  <si>
    <t>Draw 17</t>
  </si>
  <si>
    <t>Draw 17A</t>
  </si>
  <si>
    <t>DONE - Roll over Draw 12, 14 and 15</t>
  </si>
  <si>
    <t>Draw 18</t>
  </si>
  <si>
    <t>DONE - Roll over Draw 13 and 17</t>
  </si>
  <si>
    <t>Draw 19</t>
  </si>
  <si>
    <t>Draw 20</t>
  </si>
  <si>
    <t>DONE - Roll over Draw 16</t>
  </si>
  <si>
    <t>Draw 21</t>
  </si>
  <si>
    <t>DONE - Roll over Draw 17A and 19</t>
  </si>
  <si>
    <t>Draw 22</t>
  </si>
  <si>
    <t>DONE - Roll over Draw 18</t>
  </si>
  <si>
    <t>Draw 23</t>
  </si>
  <si>
    <t>Draw 24</t>
  </si>
  <si>
    <t>Draw 25</t>
  </si>
  <si>
    <t>GL '224100</t>
  </si>
  <si>
    <t>GL '820204</t>
  </si>
  <si>
    <t>GL '181100/654106</t>
  </si>
  <si>
    <t>GL '820202</t>
  </si>
  <si>
    <t>Outstanding Debt Balance</t>
  </si>
  <si>
    <t>Interest at effective rate</t>
  </si>
  <si>
    <t>Amortization of origination fees and commitment fees</t>
  </si>
  <si>
    <t>p328-330                                              Footnote Data Schedule Page: 328 Line: 1 Column: m</t>
  </si>
  <si>
    <t>Bedington Transformer (Plant In Service)</t>
  </si>
  <si>
    <t>Meadowbrook Capacitor (Plant In Service)</t>
  </si>
  <si>
    <t>Kammer Transformers (Plant In Service)</t>
  </si>
  <si>
    <t>Taxable CIAC</t>
  </si>
  <si>
    <t>PJM Upgrade ID:  b0559</t>
  </si>
  <si>
    <t>PJM Upgrade ID:  b0229</t>
  </si>
  <si>
    <t>PJM Upgrade ID:  b0495</t>
  </si>
  <si>
    <t>Forecast – End of prior year net plant plus current year forecast of CWIP or Cap Adds.                                                       reconciliation – Average of 13 month prior year net plant balances plus prior year 13-mo CWIP balances.</t>
  </si>
  <si>
    <t>Less FASB 109 included above</t>
  </si>
  <si>
    <t>p321.112.b</t>
  </si>
  <si>
    <t>p321.96.b</t>
  </si>
  <si>
    <t>p323.197.b</t>
  </si>
  <si>
    <t>p323.185.b</t>
  </si>
  <si>
    <t>p323.189.b</t>
  </si>
  <si>
    <t>p323.191.b</t>
  </si>
  <si>
    <t>p234.18.b</t>
  </si>
  <si>
    <t>p234.18.c</t>
  </si>
  <si>
    <t>p274.9.b</t>
  </si>
  <si>
    <t>p275.9.k</t>
  </si>
  <si>
    <t>p276.19.b</t>
  </si>
  <si>
    <t>p277.19.k</t>
  </si>
  <si>
    <t>p206.99.b</t>
  </si>
  <si>
    <t>p207.99.g</t>
  </si>
  <si>
    <t>p204.46b</t>
  </si>
  <si>
    <t>p205.46.g</t>
  </si>
  <si>
    <t>Prior year FERC Form 1 p219.25.b</t>
  </si>
  <si>
    <t>p219.25.b</t>
  </si>
  <si>
    <t>Prior year FERC Form 1 p219.26.b</t>
  </si>
  <si>
    <t>p219.26.b</t>
  </si>
  <si>
    <t>Prior year FERC Form 1 p200.21.b</t>
  </si>
  <si>
    <t>p200.21b</t>
  </si>
  <si>
    <t>Prior year FERC Form 1 p219.28b</t>
  </si>
  <si>
    <t>p219.28.b</t>
  </si>
  <si>
    <t>Prior year FERC Form 1 p219.20.b-24.b</t>
  </si>
  <si>
    <t>p219.20.b thru 219.24.b</t>
  </si>
  <si>
    <t>p227.8</t>
  </si>
  <si>
    <t>p227.16</t>
  </si>
  <si>
    <t>Must run Appendix A to get this number (without any cap adds in Appendix A line 16 and without CWIP in Appendix A line 33)</t>
  </si>
  <si>
    <t>(Appendix A, Line 33)</t>
  </si>
  <si>
    <t>TrAILCo PBOP Expense for base year</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</si>
  <si>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</si>
  <si>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 xml:space="preserve">End of Year  </t>
  </si>
  <si>
    <t>Link to Appendix A, line 18</t>
  </si>
  <si>
    <t>Link to Appendix A, line 24</t>
  </si>
  <si>
    <t xml:space="preserve">                                                                                           Enter Details Here</t>
  </si>
  <si>
    <t>Prexy - 502 Junction 500 Kv  (CWIP)</t>
  </si>
  <si>
    <t>Prexy - 502 Junction 138 kV  (CWIP)</t>
  </si>
  <si>
    <t>Reconciliation - TO calculates Reconciliation by populating the 13 monthly plant balances and beginning and end of year  balances for the other rate base items and the 13 monthly averages for CWIP in Reconciliation (adjusted to include any Reconciliation amount from prior year).</t>
  </si>
  <si>
    <t>(6)    Advertising includes newspaper and other media announcements of public scoping meetings related to the</t>
  </si>
  <si>
    <t xml:space="preserve">         proposed project.</t>
  </si>
  <si>
    <t>(7)  Travel, lodging and meals are the direct expenses for Allegheny staff to attend the scoping meetings.</t>
  </si>
  <si>
    <t>Account 566  Miscellaneous Transmission Expense</t>
  </si>
  <si>
    <t>Account 566</t>
  </si>
  <si>
    <t>Miscellaneous Transmission Expense</t>
  </si>
  <si>
    <t>Total Account 566</t>
  </si>
  <si>
    <t xml:space="preserve">Total PBOP expenses </t>
  </si>
  <si>
    <t xml:space="preserve">Amount relating to retired personnel </t>
  </si>
  <si>
    <t xml:space="preserve">Amount allocated on FTEs </t>
  </si>
  <si>
    <t>Cost per FTE</t>
  </si>
  <si>
    <t>TrAILCo FTEs (labor not capitalized) current year</t>
  </si>
  <si>
    <t>Number of FTEs for Allegheny</t>
  </si>
  <si>
    <t>Return</t>
  </si>
  <si>
    <t>New Trans. Plant Adds. for Current Calendar Year  (13 average balance)</t>
  </si>
  <si>
    <t>TrAILCo PBOP Expense in Account 926 for current year</t>
  </si>
  <si>
    <t>Revenue Requirement By Project</t>
  </si>
  <si>
    <t>From line 3 above if "No" on line 12 and From line 7 above if "Yes" on line 12</t>
  </si>
  <si>
    <t>If line 13 equals 12.7%, then line 4, if line 13 equals 11.7% then line 3, and if line 12 is "Yes" then line 7</t>
  </si>
  <si>
    <t>Revenue is equal to the "Return" ("Investment" times FCR)  plus "Depreciation"  plus "Pre-Commercial Exp" plus prior year "Reconciliation amount"</t>
  </si>
  <si>
    <t xml:space="preserve">Lines 1-5 cannot change absent approval or acceptance by FERC in a separate proceeding. </t>
  </si>
  <si>
    <t xml:space="preserve">  based on: the number of days the last project was in service and 365 day minus the numbers of days the last project was in service divided by 365 days.</t>
  </si>
  <si>
    <t>Reconciliation amount</t>
  </si>
  <si>
    <t xml:space="preserve">  SVC</t>
  </si>
  <si>
    <t xml:space="preserve">  year that these projects are in service the formula will be run based on the 50/50 capital structure and on the actual year end capital structure.  The two results will be weighted </t>
  </si>
  <si>
    <t xml:space="preserve">p216.b.43 as shown on Attachment 6 </t>
  </si>
  <si>
    <t>Total Accumulated General and Intangible Depreciation</t>
  </si>
  <si>
    <t>Allocated General Expenses</t>
  </si>
  <si>
    <t>Retail</t>
  </si>
  <si>
    <t xml:space="preserve">  in the filing whenever the cost of the land is proposed to be included in rates.</t>
  </si>
  <si>
    <t xml:space="preserve">Includes Transmission portion only and (i) only land that has an estimated in-service date within 10 years may be included and (ii) a plan for the land’s use is required to be included </t>
  </si>
  <si>
    <t>Transmission Related General and Intangible Plant</t>
  </si>
  <si>
    <t>Transmission Related Plant</t>
  </si>
  <si>
    <t>Transmission Related General &amp; Intangible Accumulated Depreciation</t>
  </si>
  <si>
    <t>Transmission Related Accumulated Deferred Income Taxes</t>
  </si>
  <si>
    <t>Transmission Related Pre-Commercial Costs Capitalized</t>
  </si>
  <si>
    <t>Transmission Related Prepayments</t>
  </si>
  <si>
    <t>Transmission Related Materials &amp; Supplies</t>
  </si>
  <si>
    <t>Transmission Related Cash Working Capital</t>
  </si>
  <si>
    <t>Transmission Related Taxes Other than Income</t>
  </si>
  <si>
    <t>FERC Form No.1</t>
  </si>
  <si>
    <t>page, line &amp; Col</t>
  </si>
  <si>
    <t xml:space="preserve"> Note 4: If the facilities associated with the revenues are not included in the formula, the revenue is shown here, but not included in the total above and explained in the Cost Support. For example revenues associated with distribution facilities.  In addition Revenues from Schedule 12 of the PJM OATT are not included in the total above to the extent they are credited under Schedule 12 of the PJM OATT. </t>
  </si>
  <si>
    <t>Enter Details Here</t>
  </si>
  <si>
    <t>Source  Reference</t>
  </si>
  <si>
    <t>FCR without Incentive ROE</t>
  </si>
  <si>
    <t>Allowed ROE</t>
  </si>
  <si>
    <t>Input the allowed ROE</t>
  </si>
  <si>
    <t>Year 2</t>
  </si>
  <si>
    <t>Rev Req based on Year 2 data with estimated Cap Adds for Year 3 (Step 8)</t>
  </si>
  <si>
    <t>Revenue Requirement for Year 3</t>
  </si>
  <si>
    <t>Year 3</t>
  </si>
  <si>
    <t xml:space="preserve">Composite Income Taxes                                                                                                       </t>
  </si>
  <si>
    <t>Step</t>
  </si>
  <si>
    <t>Month</t>
  </si>
  <si>
    <t>Year</t>
  </si>
  <si>
    <t>Action</t>
  </si>
  <si>
    <t>Exec Summary</t>
  </si>
  <si>
    <t>April</t>
  </si>
  <si>
    <t>May</t>
  </si>
  <si>
    <t>Actual amount of tax interest capitalized</t>
  </si>
  <si>
    <t xml:space="preserve">Temporary difference arising for removal of plant/property  </t>
  </si>
  <si>
    <t xml:space="preserve">p112.16.c </t>
  </si>
  <si>
    <t xml:space="preserve">p111.81.c  </t>
  </si>
  <si>
    <t>Corporate Net Income Tax MD</t>
  </si>
  <si>
    <t>Corporate Net Income Tax PA</t>
  </si>
  <si>
    <t>Corporate Net Income Tax VA</t>
  </si>
  <si>
    <t xml:space="preserve">Corporate Net Income Tax WV </t>
  </si>
  <si>
    <t>Actual</t>
  </si>
  <si>
    <t>Budget</t>
  </si>
  <si>
    <t>Revolving Credit Commitment Fee</t>
  </si>
  <si>
    <t>LIBOR Rate</t>
  </si>
  <si>
    <t>Spread</t>
  </si>
  <si>
    <t xml:space="preserve">Capital Expenditures   </t>
  </si>
  <si>
    <t>Principle Drawn In Quarter ($000's)</t>
  </si>
  <si>
    <t xml:space="preserve">Principle Drawn To Date  </t>
  </si>
  <si>
    <t xml:space="preserve">Interest Expense  </t>
  </si>
  <si>
    <t xml:space="preserve">Origination Fees </t>
  </si>
  <si>
    <t xml:space="preserve">Commitment </t>
  </si>
  <si>
    <t xml:space="preserve">Net Cash Flows  </t>
  </si>
  <si>
    <t>2008</t>
  </si>
  <si>
    <t>12/24/2007</t>
  </si>
  <si>
    <t>3/24/2008</t>
  </si>
  <si>
    <t>6/23/2008</t>
  </si>
  <si>
    <t>Commitment fees for 4th quarter 2008</t>
  </si>
  <si>
    <t>Reconciliation Amount by Project</t>
  </si>
  <si>
    <t xml:space="preserve"> p207.58.g </t>
  </si>
  <si>
    <t>13 Month Balance for Reconciliation</t>
  </si>
  <si>
    <t>June</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</si>
  <si>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</si>
  <si>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</si>
  <si>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</si>
  <si>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</si>
  <si>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</si>
  <si>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</si>
  <si>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</si>
  <si>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</si>
  <si>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</si>
  <si>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</si>
  <si>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</si>
  <si>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</si>
  <si>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</si>
  <si>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</si>
  <si>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</si>
  <si>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</si>
  <si>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</si>
  <si>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</si>
  <si>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</si>
  <si>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Amort</t>
  </si>
  <si>
    <t xml:space="preserve">NPV = 0 = </t>
  </si>
  <si>
    <t>(I)</t>
  </si>
  <si>
    <t>(D-F-G-H)</t>
  </si>
  <si>
    <r>
      <t>Based on following Financial Formula</t>
    </r>
    <r>
      <rPr>
        <b/>
        <vertAlign val="superscript"/>
        <sz val="11"/>
        <rFont val="Arial"/>
        <family val="2"/>
      </rPr>
      <t>2</t>
    </r>
    <r>
      <rPr>
        <b/>
        <sz val="11"/>
        <rFont val="Arial"/>
        <family val="2"/>
      </rPr>
      <t>:</t>
    </r>
  </si>
  <si>
    <t xml:space="preserve">                                                                     Attachment 9 - Financing Costs  for Long Term Debt using the Internal Rate of Return Methodology</t>
  </si>
  <si>
    <t>New Borrowing</t>
  </si>
  <si>
    <t>Old Borrowing</t>
  </si>
  <si>
    <t>Revolver Interest Rate</t>
  </si>
  <si>
    <t>Draw 1</t>
  </si>
  <si>
    <t xml:space="preserve">Draw 2, 3, 4                      </t>
  </si>
  <si>
    <t>Draw 5</t>
  </si>
  <si>
    <t>Draw 6</t>
  </si>
  <si>
    <t>01/31/2008</t>
  </si>
  <si>
    <t>02/4/2008</t>
  </si>
  <si>
    <t>02/6/2008</t>
  </si>
  <si>
    <t>02/29/2008</t>
  </si>
  <si>
    <t>03/5/2008</t>
  </si>
  <si>
    <t>03/31/2008</t>
  </si>
  <si>
    <t>04/30/2008</t>
  </si>
  <si>
    <t>05/19/2008</t>
  </si>
  <si>
    <t>06/26/2008</t>
  </si>
  <si>
    <t>06/30/2008</t>
  </si>
  <si>
    <t>08/8/2008</t>
  </si>
  <si>
    <t>08/13/2008</t>
  </si>
  <si>
    <r>
      <t>Internal Rate of Return</t>
    </r>
    <r>
      <rPr>
        <b/>
        <vertAlign val="superscript"/>
        <sz val="11"/>
        <rFont val="Arial"/>
        <family val="2"/>
      </rPr>
      <t>1</t>
    </r>
  </si>
  <si>
    <t>Non-transmission Related</t>
  </si>
  <si>
    <t>CWIP In Form 1 Amount</t>
  </si>
  <si>
    <t>Non-safety Related</t>
  </si>
  <si>
    <t>Electric / Non-electric Cost Support</t>
  </si>
  <si>
    <t xml:space="preserve">   Total Issuance Expense</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</si>
  <si>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</si>
  <si>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</si>
  <si>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</si>
  <si>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</si>
  <si>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</si>
  <si>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</si>
  <si>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CWIP &amp; Expensed Lease Worksheet</t>
  </si>
  <si>
    <t>Return Calculation</t>
  </si>
  <si>
    <t>Beg of Year</t>
  </si>
  <si>
    <t>Only Transmission</t>
  </si>
  <si>
    <t xml:space="preserve">ADIT </t>
  </si>
  <si>
    <t>B1</t>
  </si>
  <si>
    <t>B2</t>
  </si>
  <si>
    <t>B3</t>
  </si>
  <si>
    <t>For Plant in Service</t>
  </si>
  <si>
    <t>Average of Beginning and Ending Balances</t>
  </si>
  <si>
    <t>This can be illustrated using the following example:</t>
  </si>
  <si>
    <t>Total Transmission Related Accumulated Depreciation</t>
  </si>
  <si>
    <t>Total Transmission Related Net Property, Plant &amp; Equipment</t>
  </si>
  <si>
    <t>North Shenandoah</t>
  </si>
  <si>
    <t>North Shenandoah  (Monthly additions)</t>
  </si>
  <si>
    <t>The capital structure will remain 50% equity and 50% debt until construction of all of the segments of the TrAIL Project is completed and the entire TrAIL Project is placed in service.  The first</t>
  </si>
  <si>
    <t>Therefore actual revenues collected in a year do not change based on cost data for subsequent years</t>
  </si>
  <si>
    <t>Interest 35.19a for March Current Yr</t>
  </si>
  <si>
    <t>The forecast in Prior Year</t>
  </si>
  <si>
    <t>Total with interest</t>
  </si>
  <si>
    <t xml:space="preserve">Taxes Other than Income                                                    </t>
  </si>
  <si>
    <t>Account 454 - Rent from Electric Property</t>
  </si>
  <si>
    <t>Total Rent Revenues</t>
  </si>
  <si>
    <t>Revenue Adjustment to determine Revenue Credit</t>
  </si>
  <si>
    <t>Shaded cells are input cells</t>
  </si>
  <si>
    <t>Attachment 1 - Accumulated Deferred Income Taxes (ADIT) Worksheet</t>
  </si>
  <si>
    <t>Attachment 2 - Taxes Other Than Income Worksheet</t>
  </si>
  <si>
    <t>Attachment 3 - Revenue Credit Workpaper</t>
  </si>
  <si>
    <t>A&amp;G Expenses Capitalized</t>
  </si>
  <si>
    <t>Attachment 7 - Transmission Enhancement Charge Worksheet</t>
  </si>
  <si>
    <t>Attachment 6</t>
  </si>
  <si>
    <t>Attachment 1</t>
  </si>
  <si>
    <t>Cabot SS</t>
  </si>
  <si>
    <t>Attachment 8</t>
  </si>
  <si>
    <t>Attachment 5</t>
  </si>
  <si>
    <t>Attachment 3</t>
  </si>
  <si>
    <t>Attachment 4</t>
  </si>
  <si>
    <t>Fixed Charge Rate (FCR) if not a CIAC</t>
  </si>
  <si>
    <t>p354.21.b</t>
  </si>
  <si>
    <t>p354.28.b</t>
  </si>
  <si>
    <t>p354.27.b</t>
  </si>
  <si>
    <t>Less FASB 106 included above</t>
  </si>
  <si>
    <t>Federal Income Tax</t>
  </si>
  <si>
    <t xml:space="preserve">  p263.2(i)</t>
  </si>
  <si>
    <t xml:space="preserve">March </t>
  </si>
  <si>
    <t>Post results of Step 3 on PJM web site</t>
  </si>
  <si>
    <t>Results of Step 3 go into effect</t>
  </si>
  <si>
    <t>Attachment 2</t>
  </si>
  <si>
    <t>The FCR resulting from Formula in a given year is used for that year only.</t>
  </si>
  <si>
    <t>(Sum Lines 2-10)</t>
  </si>
  <si>
    <t>(A)</t>
  </si>
  <si>
    <t>(B)</t>
  </si>
  <si>
    <t>(C)</t>
  </si>
  <si>
    <t>(D)</t>
  </si>
  <si>
    <t xml:space="preserve">Facility Credits under Section 30.9 of the PJM OATT </t>
  </si>
  <si>
    <t>Total Revenue Credits</t>
  </si>
  <si>
    <t>Enter Negative</t>
  </si>
  <si>
    <t xml:space="preserve">Prepayments </t>
  </si>
  <si>
    <t xml:space="preserve">      Less ADIT associated with Gain or Loss</t>
  </si>
  <si>
    <t xml:space="preserve">Attachment 5 </t>
  </si>
  <si>
    <t xml:space="preserve">Amount </t>
  </si>
  <si>
    <t xml:space="preserve">Notes:  </t>
  </si>
  <si>
    <t>ATTACHMENT H-18A</t>
  </si>
  <si>
    <t>Trans-Allegheny Interstate Line Company</t>
  </si>
  <si>
    <t>Column A</t>
  </si>
  <si>
    <t>Column B</t>
  </si>
  <si>
    <t>Column C</t>
  </si>
  <si>
    <t>Column D</t>
  </si>
  <si>
    <t>Column E</t>
  </si>
  <si>
    <t>Column F</t>
  </si>
  <si>
    <t>if CWIP were not recovered in rate base.</t>
  </si>
  <si>
    <t>Total Additions to Plant In Service (sum of the above for each project)</t>
  </si>
  <si>
    <t xml:space="preserve">Totals reported below are by  project with the amounts to be expensed reported separately from those to be deferred and amortized (note, deferred costs related to 2006 include AFUDC).  </t>
  </si>
  <si>
    <t xml:space="preserve"> For Forecasting purposes, Pre-Commercial expenses will be estimated.  Total deferred and amortized Pre-commercial costs will be the actual amount agreeing to FERC Form 1 and Attachment 5.</t>
  </si>
  <si>
    <t>Expensed (Estimated)</t>
  </si>
  <si>
    <t>Estimate   Step 2</t>
  </si>
  <si>
    <t xml:space="preserve"> Average of 13 Monthly Balances</t>
  </si>
  <si>
    <t>Prexy - 502 Junction 500 kV (CWIP)</t>
  </si>
  <si>
    <t>Step 3</t>
  </si>
  <si>
    <t>Meadow Brook SS Capacitor (Monthly additions)</t>
  </si>
  <si>
    <t>Bedington Transformer (Monthly additions)</t>
  </si>
  <si>
    <t>Kammer Transformers (Monthly additions)</t>
  </si>
  <si>
    <t xml:space="preserve">  502 Junction - Territorial Line               ( Monthly additions)</t>
  </si>
  <si>
    <t>For Reconciliation Step 2</t>
  </si>
  <si>
    <t>AFUDC In CWIP</t>
  </si>
  <si>
    <t>AFUDC (If CWIP was not in Rate Base)</t>
  </si>
  <si>
    <t>Expensed (Actual)</t>
  </si>
  <si>
    <t xml:space="preserve">Small projects may be combined into larger projects where rate treatment is consistent.  Pre-Commercial costs benefiting multiple projects will be allocated to projects based </t>
  </si>
  <si>
    <t>Allocation of Pre-Commercial Costs</t>
  </si>
  <si>
    <t>Plant in Service</t>
  </si>
  <si>
    <t>(Estimated 2/12/2008)</t>
  </si>
  <si>
    <t>Column D is the total CWIP balance including any AFUDC, Column E is the AFUDC if any in Column D, and Column F is the AFUDC that would have been in Column E</t>
  </si>
  <si>
    <t>Deferred</t>
  </si>
  <si>
    <t xml:space="preserve">Wylie Ridge  </t>
  </si>
  <si>
    <t>Link to Appendix A, line 23</t>
  </si>
  <si>
    <t>Annual Depreciation Expense</t>
  </si>
  <si>
    <t>Reconciliation - TO adds the difference between the Reconciliation in Step 7 and the forecast in Step 5 with interest to the result of Step 7 (this difference is also added to Step 7 in the subsequent year)</t>
  </si>
  <si>
    <t>Post results of Step 8 on PJM web site</t>
  </si>
  <si>
    <t>Results of Step 8 go into effect</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</si>
  <si>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</si>
  <si>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</si>
  <si>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Cabot SS Transformer</t>
  </si>
  <si>
    <t>Doubs Transformer #3 (Monthly additions)</t>
  </si>
  <si>
    <t>Gross Revenue Credits</t>
  </si>
  <si>
    <t>Instructions:</t>
  </si>
  <si>
    <t>Attachment 5a - Pre-Commercial Costs and CWIP</t>
  </si>
  <si>
    <t>If unable to determine the investment below 69kV in a substation with investment of 69 kV and higher as well as below 69 kV,</t>
  </si>
  <si>
    <t>Or</t>
  </si>
  <si>
    <r>
      <t xml:space="preserve">p200.4.c  </t>
    </r>
    <r>
      <rPr>
        <b/>
        <sz val="12"/>
        <color indexed="10"/>
        <rFont val="Arial"/>
        <family val="2"/>
      </rPr>
      <t xml:space="preserve"> </t>
    </r>
  </si>
  <si>
    <t xml:space="preserve">Accrued Federal FICA  </t>
  </si>
  <si>
    <t>Link to Appendix A, line 62</t>
  </si>
  <si>
    <t>Link to Appendix A, line 66</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</si>
  <si>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</si>
  <si>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</si>
  <si>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</si>
  <si>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</si>
  <si>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</si>
  <si>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</si>
  <si>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Attachment A Line #s, Descriptions, Notes, Form 1 Page #s and Instructions</t>
  </si>
  <si>
    <t>Total Account 454 and 456</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</si>
  <si>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</si>
  <si>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</si>
  <si>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</si>
  <si>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</si>
  <si>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</si>
  <si>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</si>
  <si>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</si>
  <si>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</si>
  <si>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</si>
  <si>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</si>
  <si>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</si>
  <si>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</si>
  <si>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</si>
  <si>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REVENUE REQUIREMENT</t>
  </si>
  <si>
    <t>Total Taxes Other than Income</t>
  </si>
  <si>
    <t>J</t>
  </si>
  <si>
    <t>Long Term Debt</t>
  </si>
  <si>
    <t>Depreciation Expense</t>
  </si>
  <si>
    <t>Accumulated Depreciation (Total Electric Plant)</t>
  </si>
  <si>
    <t>(Yes or No)</t>
  </si>
  <si>
    <t>Transmission Depreciation Expense</t>
  </si>
  <si>
    <t>Transmission Wages Expense</t>
  </si>
  <si>
    <t>Total Wages Expense</t>
  </si>
  <si>
    <t xml:space="preserve"> </t>
  </si>
  <si>
    <t>E</t>
  </si>
  <si>
    <t>A</t>
  </si>
  <si>
    <t>D</t>
  </si>
  <si>
    <t>G</t>
  </si>
  <si>
    <t>Preferred Stock</t>
  </si>
  <si>
    <t>K</t>
  </si>
  <si>
    <t>Schedule 1A</t>
  </si>
  <si>
    <t>Other Taxes</t>
  </si>
  <si>
    <t>Page 300 Line: 19 Column: b</t>
  </si>
  <si>
    <t>Transmission Materials &amp; Supplies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</si>
  <si>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</si>
  <si>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</si>
  <si>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</si>
  <si>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</si>
  <si>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</si>
  <si>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</si>
  <si>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</si>
  <si>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 C)</t>
  </si>
  <si>
    <t>(G)</t>
  </si>
  <si>
    <t>(H)</t>
  </si>
  <si>
    <t>Adjusted Gross Revenue Requirement</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</si>
  <si>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</si>
  <si>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</si>
  <si>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</si>
  <si>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</si>
  <si>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</si>
  <si>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</si>
  <si>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</si>
  <si>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</si>
  <si>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</si>
  <si>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</si>
  <si>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</si>
  <si>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Adjustment To Rate Base</t>
  </si>
  <si>
    <t>Plant In Service</t>
  </si>
  <si>
    <t>Intangible Amortization</t>
  </si>
  <si>
    <t>Return / Capitalization Calculations</t>
  </si>
  <si>
    <t xml:space="preserve">    Less Account 216.1</t>
  </si>
  <si>
    <t xml:space="preserve">    Less Preferred Stock</t>
  </si>
  <si>
    <t>TO adds Cap Adds and CWIP to plant in service in Formula (Appendix A, Lines 16 and 33)</t>
  </si>
  <si>
    <t>Capitalization</t>
  </si>
  <si>
    <t>Subtotal, Excluded</t>
  </si>
  <si>
    <t xml:space="preserve">  502 Junction - Territorial Line  (monthly additions)</t>
  </si>
  <si>
    <t>North Shenandoah Transformer (Plant In Service)</t>
  </si>
  <si>
    <t>Black Oak (SVC) Dynamic Reactive Device (Plant In Service)</t>
  </si>
  <si>
    <t xml:space="preserve">  502 Junction - Territorial Line  (CWIP + Plant In Service)</t>
  </si>
  <si>
    <t>Total Other Taxes from p114.14.c</t>
  </si>
  <si>
    <t>p118.29.c</t>
  </si>
  <si>
    <t>p112.12.c</t>
  </si>
  <si>
    <t>p113.61.c</t>
  </si>
  <si>
    <t>p112.3.c</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</si>
  <si>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</si>
  <si>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</si>
  <si>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</si>
  <si>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</si>
  <si>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</si>
  <si>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</si>
  <si>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</si>
  <si>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</si>
  <si>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</si>
  <si>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</si>
  <si>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</si>
  <si>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</si>
  <si>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</si>
  <si>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</si>
  <si>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</si>
  <si>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</si>
  <si>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</si>
  <si>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</si>
  <si>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</si>
  <si>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</si>
  <si>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</si>
  <si>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</si>
  <si>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</si>
  <si>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</si>
  <si>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</si>
  <si>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</si>
  <si>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General Depreciation</t>
  </si>
  <si>
    <t>Total</t>
  </si>
  <si>
    <t>B</t>
  </si>
  <si>
    <t>Proprietary Capital</t>
  </si>
  <si>
    <t>Operation &amp; Maintenance Expense</t>
  </si>
  <si>
    <t>Transmission Accumulated Depreciation</t>
  </si>
  <si>
    <t>Electric Plant in Service</t>
  </si>
  <si>
    <t>Investment Return</t>
  </si>
  <si>
    <t>Income Taxes</t>
  </si>
  <si>
    <t>Criteria for Allocation:</t>
  </si>
  <si>
    <t xml:space="preserve">Wages &amp; Salary Allocator </t>
  </si>
  <si>
    <t>Attachment 5 - Cost Support</t>
  </si>
  <si>
    <t>Allocation</t>
  </si>
  <si>
    <t>.</t>
  </si>
  <si>
    <t>Attachment 6 - Estimate and Reconciliation Worksheet</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</si>
  <si>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178 of Appendix A.</t>
  </si>
  <si>
    <t>Result of Formula for Reconciliation</t>
  </si>
  <si>
    <t>The Reconciliation in Step 8</t>
  </si>
  <si>
    <t>The difference between the Reconciliation in Step 8 and the forecast in Prior Year with interest</t>
  </si>
  <si>
    <t>Gross Revenue Requirement</t>
  </si>
  <si>
    <t xml:space="preserve">    Less EPRI Dues</t>
  </si>
  <si>
    <t>T/ (1-T)</t>
  </si>
  <si>
    <t>p</t>
  </si>
  <si>
    <t>(percent of federal income tax deductible for state purposes)</t>
  </si>
  <si>
    <t>Notes</t>
  </si>
  <si>
    <t>Accumulated Intangible Amortization</t>
  </si>
  <si>
    <t>Allocator</t>
  </si>
  <si>
    <t>T</t>
  </si>
  <si>
    <t>Net Revenue Requirement</t>
  </si>
  <si>
    <t>O&amp;M</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</si>
  <si>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</si>
  <si>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</si>
  <si>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</si>
  <si>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</si>
  <si>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</si>
  <si>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</si>
  <si>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</si>
  <si>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</si>
  <si>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</si>
  <si>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</si>
  <si>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</si>
  <si>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</si>
  <si>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</si>
  <si>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</si>
  <si>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</si>
  <si>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</si>
  <si>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</si>
  <si>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</si>
  <si>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</si>
  <si>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</si>
  <si>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</si>
  <si>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</si>
  <si>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</si>
  <si>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80 R2 - 35-yr truncation</t>
  </si>
  <si>
    <t>Note 1:  Depreciation rate is based on an 80 R2 survivor curve with a 35-year truncation.</t>
  </si>
  <si>
    <t>** This Total Weighted Average Debt Cost will be shown on Line 101 of formula rate Appendix A.</t>
  </si>
  <si>
    <t>Attachment 8, page 1, Table 1 and 2</t>
  </si>
  <si>
    <t>Other Projects PIS (Monthly additions)</t>
  </si>
  <si>
    <t>Month End Balances</t>
  </si>
  <si>
    <t>(Appendix A, Line 16)</t>
  </si>
  <si>
    <t>are not a result of the RTEP Process</t>
  </si>
  <si>
    <t>on the estimated plant in service of each project.</t>
  </si>
  <si>
    <t>Origination Fees</t>
  </si>
  <si>
    <t xml:space="preserve">Total Loan Amount </t>
  </si>
  <si>
    <t>…</t>
  </si>
  <si>
    <t xml:space="preserve">For each project, where CWIP is to be recovered in rate base, CWIP will be estimated and the totals reported below by project.    For the Reconciliation, for each project where CWIP is to be recovered in rate base the CWIP will be itemized by project below.  Additionally, the amount of AFUDC that would have been capitalized for projects where CWIP is included in rate base will be reported in the FERC Form No. 1. </t>
  </si>
  <si>
    <t>For Estimate:</t>
  </si>
  <si>
    <t>For Reconciliation:</t>
  </si>
  <si>
    <t>Pre-Commercial Costs</t>
  </si>
  <si>
    <t>Difference (must be zero)</t>
  </si>
  <si>
    <t>Prepaid Pensions if not included in Prepayments</t>
  </si>
  <si>
    <t>Amount of transmission plant excluded from rates per Attachment 5.</t>
  </si>
  <si>
    <t>Rate of Return on Rate Base ( ROR )</t>
  </si>
  <si>
    <t>Undistributed Stores Expense</t>
  </si>
  <si>
    <t>Total Additions to Plant in Service reported on pages 204-207 of the Form No. 1</t>
  </si>
  <si>
    <t>Refer to Attachment 5 - Cost Support                          Plant in Service Worksheet</t>
  </si>
  <si>
    <t xml:space="preserve">Includes Regulatory Commission Expenses directly related to transmission service, RTO filings, or transmission siting itemized in Form 1 at 351.h. </t>
  </si>
  <si>
    <t xml:space="preserve">Includes Safety related advertising included in Account 930.1  </t>
  </si>
  <si>
    <t>The currently effective income tax rate where FIT is the Federal income tax rate; SIT is the State income tax rate, and p =</t>
  </si>
  <si>
    <t xml:space="preserve">  the percentage of federal income tax deductible for state income taxes.  If the utility includes taxes in more than one state, it must explain in</t>
  </si>
  <si>
    <t>Excludes all EPRI Annual Membership Dues</t>
  </si>
  <si>
    <t xml:space="preserve">overheads shall be treated as in footnote B above. </t>
  </si>
  <si>
    <t>Potter SS</t>
  </si>
  <si>
    <t xml:space="preserve">p112.15.c  </t>
  </si>
  <si>
    <t>Reclass of the tax portion (gross-up) for property items included in account 282</t>
  </si>
  <si>
    <t>Additional State Depreciation MD</t>
  </si>
  <si>
    <t>Additional State Depreciation VA</t>
  </si>
  <si>
    <t>Cost of Removal</t>
  </si>
  <si>
    <t>Excludes prior period adjustments in the first year of the formula's operation and reconciliation for the first year.</t>
  </si>
  <si>
    <t>As provided for in Section 34.1 of the PJM OATT; the PJM established billing determinants will not be revised or updated in the annual rate reconciliations.</t>
  </si>
  <si>
    <t xml:space="preserve">    Less Accumulated Other Comprehensive Income Account 219</t>
  </si>
  <si>
    <t>Total Adjustment to Rate Base</t>
  </si>
  <si>
    <t>Total Wages Less A&amp;G Wages Expense</t>
  </si>
  <si>
    <t>Wage &amp; Salary Allocator</t>
  </si>
  <si>
    <t>Total Undistributed Stores Expense Allocated to Transmission</t>
  </si>
  <si>
    <t xml:space="preserve">  1/8</t>
  </si>
  <si>
    <t>Subtotal - Accounts 928 and 930.1 - Transmission Related</t>
  </si>
  <si>
    <t>Total Accounts 928 and 930.1 - General</t>
  </si>
  <si>
    <t>Interest Rate</t>
  </si>
  <si>
    <t>Q1</t>
  </si>
  <si>
    <t>Q2</t>
  </si>
  <si>
    <t>Q3</t>
  </si>
  <si>
    <t>Q4</t>
  </si>
  <si>
    <t>14a</t>
  </si>
  <si>
    <t>14b</t>
  </si>
  <si>
    <t>14c</t>
  </si>
  <si>
    <t>14d</t>
  </si>
  <si>
    <t>14e</t>
  </si>
  <si>
    <t>14f</t>
  </si>
  <si>
    <t>14g</t>
  </si>
  <si>
    <t>Revenues associated with lines 14b-g are to be included in lines 2-10 and total of those revenues entered here</t>
  </si>
  <si>
    <t>Costs associated with revenues in line 14a</t>
  </si>
  <si>
    <t>Net Revenues  (14a - 14b)</t>
  </si>
  <si>
    <t>PJM TRANSMISSION OWNER</t>
  </si>
  <si>
    <t>JUSTIFICATION</t>
  </si>
  <si>
    <t>ADIT- 282  From Account Total Below</t>
  </si>
  <si>
    <t>ADIT-283 From Account Total Below</t>
  </si>
  <si>
    <t>ADIT-190 From Account Total Below</t>
  </si>
  <si>
    <t>Pre-Commercial Costs Capitalized</t>
  </si>
  <si>
    <t>(in service)</t>
  </si>
  <si>
    <t>(E)</t>
  </si>
  <si>
    <t>Unamortized Capitalized Pre-Commercial Costs</t>
  </si>
  <si>
    <t>Amortization Amount (Over 4 Years)</t>
  </si>
  <si>
    <t>Return and Taxes at High End of the range of Reasonableness</t>
  </si>
  <si>
    <t>Pre-Commercial Exp.</t>
  </si>
  <si>
    <t>Total Transmission Plant</t>
  </si>
  <si>
    <t>(F)</t>
  </si>
  <si>
    <t>"Pre-Commercial Exp" is equal to the amount of pre-commercial expense on Attachment 5a for each project expensed in year and amortized in year.</t>
  </si>
  <si>
    <t>"Yes" if a project under PJM OATT Schedule 12, otherwise "No"</t>
  </si>
  <si>
    <t>Net Plant Carrying Charge Calculation with Incentive ROE</t>
  </si>
  <si>
    <t>Net Revenue Requirement with Incentive ROE</t>
  </si>
  <si>
    <t>Attachment 4 - Calculation with Incentive ROE</t>
  </si>
  <si>
    <t>Difference between Base ROE and Incentive ROE</t>
  </si>
  <si>
    <t>W Incentive ROE</t>
  </si>
  <si>
    <t>Transmission Plant</t>
  </si>
  <si>
    <t>Amortization Expense on Pre-Commercial Cost</t>
  </si>
  <si>
    <t>"Yes" if the customer has paid a lump sum payment in the amount of the investment on line 29, Otherwise "No"</t>
  </si>
  <si>
    <t>TrAILCo</t>
  </si>
  <si>
    <t>Step 1</t>
  </si>
  <si>
    <t>Step 2</t>
  </si>
  <si>
    <t>See Calculations for each item below</t>
  </si>
  <si>
    <t>Doubs Transformer #4 (Monthly additions)</t>
  </si>
  <si>
    <t>Doubs Replace Transformer #2</t>
  </si>
  <si>
    <t>Doubs Replace Transformer #4</t>
  </si>
  <si>
    <t>PJM Upgrade ID:  b0343</t>
  </si>
  <si>
    <t>PJM Upgrade ID:  b0345</t>
  </si>
  <si>
    <t>Doubs Transformer #2 (Monthly additions)</t>
  </si>
  <si>
    <t>Trans-Allegheny Interstate Company</t>
  </si>
  <si>
    <t>CWIP</t>
  </si>
  <si>
    <t>Composite</t>
  </si>
  <si>
    <t>N/A</t>
  </si>
  <si>
    <t>Black Oak</t>
  </si>
  <si>
    <t>TO estimates all transmission Cap Adds and CWIP for Year 2 based on each project's cost using the average of 13 monthly balances.  Cap Adds are the projects expected to be in service in Year 2.</t>
  </si>
  <si>
    <t>p206.58.b</t>
  </si>
  <si>
    <t>TO estimates all transmission Cap Adds and CWIP during Year 3 based each project's cost using the average of 13 monthly balances.  Cap Adds  are expected be in service in Year 3.</t>
  </si>
  <si>
    <t>Line</t>
  </si>
  <si>
    <t xml:space="preserve"> 1.  ADIT items related only to Retail Related Operations are directly assigned to Column C.</t>
  </si>
  <si>
    <t xml:space="preserve"> 2.  ADIT items related only to Non-Electric Operations (e.g., Gas, Water, Sewer) or Production are directly assigned to Column D.</t>
  </si>
  <si>
    <t xml:space="preserve">For both the estimate and the reconciliation, Construction Work In Progress ("CWIP") and leases that are expensed as O&amp;M (rather than amortized) are excluded.   </t>
  </si>
  <si>
    <t>For the Estimate Process:</t>
  </si>
  <si>
    <t xml:space="preserve"> The transmission plant will agree to or be reconciled to the FERC Form 1 balance for the transmission plant. </t>
  </si>
  <si>
    <t xml:space="preserve">Result of bonus depreciation </t>
  </si>
  <si>
    <t xml:space="preserve"> New Transmission Plant expected to be placed in service in the current calendar year will be based on the average of 13  monthly investment costs  </t>
  </si>
  <si>
    <t xml:space="preserve">     and shown separately detailed by project on Attachment 6.</t>
  </si>
  <si>
    <t xml:space="preserve">Accumulated depreciation will show the end of year balance and is linked to Attachment 5 which shows detail support by project.  </t>
  </si>
  <si>
    <t xml:space="preserve">CWIP will be linked to Attachment 6 which shows detail support by project (incentive and non-incentive).  </t>
  </si>
  <si>
    <t>For the Reconciliation Process:</t>
  </si>
  <si>
    <t xml:space="preserve">Transmission plant in service will be calculated using a 13 month average balance and will be detailed on Attachment 5.  This includes  </t>
  </si>
  <si>
    <t xml:space="preserve">Accumulated depreciation will be calculated using a 13 month average balance and will be detailed on Attachment 5.  This includes  </t>
  </si>
  <si>
    <t xml:space="preserve">     accumulated depreciation associated with current year transmission plant.  </t>
  </si>
  <si>
    <t xml:space="preserve">Excludes all Regulatory Commission Expenses </t>
  </si>
  <si>
    <t>Source: Northwest Pipeline Corporation 87 FERC ¶61,266 (1999)</t>
  </si>
  <si>
    <t xml:space="preserve">       Step-Up Facilities</t>
  </si>
  <si>
    <t>Net Transmission Plant  + CWIP</t>
  </si>
  <si>
    <t>FCR</t>
  </si>
  <si>
    <t>FCR  without Depreciation</t>
  </si>
  <si>
    <t>FCR without Depreciation and Pre-Commercial Costs</t>
  </si>
  <si>
    <t>FCR without Depreciation, Return, nor Income Taxes</t>
  </si>
  <si>
    <t>FCR with Incentive ROE</t>
  </si>
  <si>
    <t>FCR with Incentive ROE without Depreciation</t>
  </si>
  <si>
    <t>MD  8.25%</t>
  </si>
  <si>
    <t>PA   9.99%</t>
  </si>
  <si>
    <t>Composite is calculated based on sales, payroll and property for each jurisdiction</t>
  </si>
  <si>
    <t>FCR with Incentive ROE without Depreciation and Pre-Commercial</t>
  </si>
  <si>
    <t>CIT=(T/1-T) * Investment Return * (1-(WCLTD/R)) =</t>
  </si>
  <si>
    <t>Plus any increased ROE calculated on Attach 7 other than PJM Sch. 12 projects not paid by other PJM trans zones</t>
  </si>
  <si>
    <t>Costs associated with revenues in line 14a that are included in FERC accounts recovered through the formula times the allocator used to functionalize the amounts in the FERC account to the transmission service at issue.</t>
  </si>
  <si>
    <t>Net Revenue Credit (14d + 14e)</t>
  </si>
  <si>
    <t>Less line 14g</t>
  </si>
  <si>
    <t>Reconciliation Details</t>
  </si>
  <si>
    <t>Pre-Commercial Expense</t>
  </si>
  <si>
    <t>Column G</t>
  </si>
  <si>
    <t>Total Transmission Plant Depreciation</t>
  </si>
  <si>
    <t>Total Transmission Depreciation Expense  (must tie to p336.7.f)</t>
  </si>
  <si>
    <t>GENERAL PLANT</t>
  </si>
  <si>
    <t>Survivor                        Curve</t>
  </si>
  <si>
    <t>Net Revenue Requirement Less Return and Taxes</t>
  </si>
  <si>
    <t>Net Salvage Percent</t>
  </si>
  <si>
    <t>Accrual Rate (Annual)                      Percent</t>
  </si>
  <si>
    <t>R1</t>
  </si>
  <si>
    <t>Office Furniture &amp; Equipment</t>
  </si>
  <si>
    <t>SQ</t>
  </si>
  <si>
    <t xml:space="preserve">   Information Systems</t>
  </si>
  <si>
    <t xml:space="preserve">   Data Handling</t>
  </si>
  <si>
    <t>Transportation Equipment</t>
  </si>
  <si>
    <t xml:space="preserve">   Other</t>
  </si>
  <si>
    <t xml:space="preserve">   Autos</t>
  </si>
  <si>
    <t xml:space="preserve">   Light Trucks</t>
  </si>
  <si>
    <t>L4</t>
  </si>
  <si>
    <t xml:space="preserve">   Medium Truck</t>
  </si>
  <si>
    <t xml:space="preserve">   Trailers</t>
  </si>
  <si>
    <t>L1</t>
  </si>
  <si>
    <t xml:space="preserve">   ATV</t>
  </si>
  <si>
    <t>Stores Equipment</t>
  </si>
  <si>
    <t>Tools, Shop &amp; Garage Equipment</t>
  </si>
  <si>
    <t>Power Operated Equipment</t>
  </si>
  <si>
    <t>Communication Equipment</t>
  </si>
  <si>
    <t>Miscellaneous Equipment</t>
  </si>
  <si>
    <t>Total General Plant</t>
  </si>
  <si>
    <t>Total General Plant Depreciation Expense  (must tie to p336.10.b &amp; c)</t>
  </si>
  <si>
    <t>INTANGIBLE PLANT</t>
  </si>
  <si>
    <t>Accrual Rate (Annual) Percent</t>
  </si>
  <si>
    <t>Miscellaneous Intangible Plant</t>
  </si>
  <si>
    <t>Total Intangible Plant</t>
  </si>
  <si>
    <t>Total Intangible Plant Amoritization (must tie to p336.1 d &amp; e)</t>
  </si>
  <si>
    <t>These depreciation rates will not change absent the appropriate filing at FERC.</t>
  </si>
  <si>
    <t>Amount of Deferred Amortized in Year</t>
  </si>
  <si>
    <t xml:space="preserve"> &lt;Note:  for the first rate year, divide this</t>
  </si>
  <si>
    <t>reconciliation amount by 12 and multiply</t>
  </si>
  <si>
    <t>by the number of months and fractional</t>
  </si>
  <si>
    <t xml:space="preserve">Long Term Debt Issuances </t>
  </si>
  <si>
    <t>Effective Cost Rate*</t>
  </si>
  <si>
    <t xml:space="preserve">Loss/Gain on </t>
  </si>
  <si>
    <t>TABLE 2:  Effective Cost Rates For Traditional Front-Loaded Debt Issuances:</t>
  </si>
  <si>
    <t>*  z = Average of monthly balances for months outstanding during the year (averge of the balances for the 12 months of the year, with zero in months that the issuance is not outstanding in a month.).</t>
  </si>
  <si>
    <t>The outstanding amount (column (e)) for debt retired during the year is the outstanding amount at the last month it was outstanding.</t>
  </si>
  <si>
    <t>(Tables 2 and 3)</t>
  </si>
  <si>
    <t>z*</t>
  </si>
  <si>
    <t>in Year*</t>
  </si>
  <si>
    <t>Average Net</t>
  </si>
  <si>
    <t xml:space="preserve">TABLE 1:  Summary Cost of Long Term Debt  </t>
  </si>
  <si>
    <t>(ll)</t>
  </si>
  <si>
    <t>Less Related</t>
  </si>
  <si>
    <t>(Attachment 1)</t>
  </si>
  <si>
    <t>Template for Annual Information Filings with Formula Rate Debt Cost Disclosure and True-Up</t>
  </si>
  <si>
    <t xml:space="preserve">Revenue Credits </t>
  </si>
  <si>
    <t>502 Junction - Territorial Line   (CWIP)</t>
  </si>
  <si>
    <t>months the rate was in effect.</t>
  </si>
  <si>
    <t>(Line 11 - Line 12)</t>
  </si>
  <si>
    <t>PBOP Adjustment for Appendix A, Line 57</t>
  </si>
  <si>
    <t>50% Share of Net Revenues  (14c / 2)</t>
  </si>
  <si>
    <t>Line 14a less line 14f</t>
  </si>
  <si>
    <t>After borrowing is at the midpoint ($275,000)</t>
  </si>
  <si>
    <t>Bond $450M Interest Rate</t>
  </si>
  <si>
    <t>DONE Roll over Draw 20</t>
  </si>
  <si>
    <t>DONE Roll over Draw 21, 22 and 23</t>
  </si>
  <si>
    <t>Draw 26</t>
  </si>
  <si>
    <t>DONE Roll over Draw 25</t>
  </si>
  <si>
    <t>Draw 27</t>
  </si>
  <si>
    <t xml:space="preserve">DONE  - Pay off Draw 26 </t>
  </si>
  <si>
    <t>Draw 28</t>
  </si>
  <si>
    <t>xxx</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</si>
  <si>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14a - 14g, the utility must track in separate subaccounts the revenues and costs associated with each secondary use (except for the cost of the associated income taxes).</t>
  </si>
  <si>
    <t>PJM Upgrade ID:  b0344</t>
  </si>
  <si>
    <t>Formula Rate -- Appendix A</t>
  </si>
  <si>
    <t>H</t>
  </si>
  <si>
    <t xml:space="preserve"> &lt; From Acct 283, below</t>
  </si>
  <si>
    <t>Other taxes that are assessed based on labor will be allocated based on the Wages and Salary Allocator.</t>
  </si>
  <si>
    <t>Allocator.  If the taxes are 100% recovered at retail they shall not be included.</t>
  </si>
  <si>
    <t>(Line 1)</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</si>
  <si>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</si>
  <si>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</si>
  <si>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</si>
  <si>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Weighted Cost of Preferred</t>
  </si>
  <si>
    <t>Transmission</t>
  </si>
  <si>
    <t>ADIT-190</t>
  </si>
  <si>
    <t>ADIT- 282</t>
  </si>
  <si>
    <t>ADIT-283</t>
  </si>
  <si>
    <t>Accumulated Deferred Income Taxes</t>
  </si>
  <si>
    <t>13 Month Balance For Reconciliation</t>
  </si>
  <si>
    <t>Black Oak (Monthly additions)</t>
  </si>
  <si>
    <t>Wylie Ridge  (Monthly additions)</t>
  </si>
  <si>
    <t>Meadowbrook Transformer (Monthly additions)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</si>
  <si>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</si>
  <si>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</si>
  <si>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</si>
  <si>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</si>
  <si>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</si>
  <si>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</si>
  <si>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</si>
  <si>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</si>
  <si>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</si>
  <si>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</si>
  <si>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</si>
  <si>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</si>
  <si>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Labor Related</t>
  </si>
  <si>
    <t>Other Included</t>
  </si>
  <si>
    <t>Total Plant Related</t>
  </si>
  <si>
    <t>Total Labor Related</t>
  </si>
  <si>
    <t>Total Other Included</t>
  </si>
  <si>
    <t>Allocated</t>
  </si>
  <si>
    <t>Amount</t>
  </si>
  <si>
    <t>Life</t>
  </si>
  <si>
    <t>CIAC</t>
  </si>
  <si>
    <t>Details</t>
  </si>
  <si>
    <t>Invest Yr</t>
  </si>
  <si>
    <t>No</t>
  </si>
  <si>
    <t>Yes</t>
  </si>
  <si>
    <t>FCR if a CIAC</t>
  </si>
  <si>
    <t>FCR for This Project</t>
  </si>
  <si>
    <t xml:space="preserve">Line B less Line A </t>
  </si>
  <si>
    <t>Investment</t>
  </si>
  <si>
    <t>Revenue</t>
  </si>
  <si>
    <t>Depreciation</t>
  </si>
  <si>
    <t>Incentive Charged</t>
  </si>
  <si>
    <t>Revenue Credit</t>
  </si>
  <si>
    <t>Formula Line</t>
  </si>
  <si>
    <t>Per State Tax Code</t>
  </si>
  <si>
    <t>PJM Data</t>
  </si>
  <si>
    <t>ADIT net of FASB 106 and 109</t>
  </si>
  <si>
    <t>Calculated End of Year Balance</t>
  </si>
  <si>
    <t>EOY for Estimate and BOY for Final</t>
  </si>
  <si>
    <t>Retail Related Other Taxes to be Excluded</t>
  </si>
  <si>
    <t>Link to Appendix A, line 15</t>
  </si>
  <si>
    <t>Link to Appendix A, line 6</t>
  </si>
  <si>
    <t>Link to Appendix A, line 25</t>
  </si>
  <si>
    <t>Link to Appendix A, line 8</t>
  </si>
  <si>
    <t>Link to Appendix A, line #s, Descriptions, Notes, Form 1 Page #s and Instructions</t>
  </si>
  <si>
    <t>Allocated portion of total liabilities relating to captive insurance</t>
  </si>
  <si>
    <t>Doubs Replacement Transformer #2</t>
  </si>
  <si>
    <t>Doubs Replacement Transformer #4</t>
  </si>
  <si>
    <t>Annual Depreciation Exp from Attachment 5</t>
  </si>
  <si>
    <t>Example:</t>
  </si>
  <si>
    <t>Assume Last Project goes into service on day 260.</t>
  </si>
  <si>
    <t>Hypothetical Capital Structure until the last project goes into service is 50/50.</t>
  </si>
  <si>
    <t xml:space="preserve">p352 &amp; 353   </t>
  </si>
  <si>
    <t>Assume Year End actual capital structure is 60% equity and 40% debt.</t>
  </si>
  <si>
    <t>End of Year (for estimate)</t>
  </si>
  <si>
    <t>4.  ADIT items related to Plant and not in Columns C, D &amp; E are directly assigned to Column F.</t>
  </si>
  <si>
    <t>Total Prepayments</t>
  </si>
  <si>
    <t>Prepaid Insurance</t>
  </si>
  <si>
    <t>Prexy - 502 Junction 138 kV (CWIP)</t>
  </si>
  <si>
    <t>p = percent of federal income tax deductible for state purposes</t>
  </si>
  <si>
    <t>Network Zonal Service Rate</t>
  </si>
  <si>
    <t>Net Zonal Revenue Requirement</t>
  </si>
  <si>
    <t>FERC Form 1  Page # or Instruction</t>
  </si>
  <si>
    <t>Electric Portion</t>
  </si>
  <si>
    <t>EPRI Dues</t>
  </si>
  <si>
    <t>I</t>
  </si>
  <si>
    <t>MultiState Workpaper</t>
  </si>
  <si>
    <t>Total Revenue Requirement</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</si>
  <si>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</si>
  <si>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</si>
  <si>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</si>
  <si>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</si>
  <si>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</si>
  <si>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</si>
  <si>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</si>
  <si>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</si>
  <si>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</si>
  <si>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</si>
  <si>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</si>
  <si>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</si>
  <si>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</si>
  <si>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</si>
  <si>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</si>
  <si>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</si>
  <si>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F</t>
  </si>
  <si>
    <t>N</t>
  </si>
  <si>
    <t>Surcharge (Refund) Owed</t>
  </si>
  <si>
    <t>Attachment 7</t>
  </si>
  <si>
    <t>Schedule 12</t>
  </si>
  <si>
    <t>Rev Req based on Year 1 data</t>
  </si>
  <si>
    <t>Year 1</t>
  </si>
  <si>
    <t>TO populates the formula with Year 1 data</t>
  </si>
  <si>
    <t xml:space="preserve">     Plus Schedule 12 Charges billed to Transmission Owner and booked to Account 565</t>
  </si>
  <si>
    <t>Increased Return and Taxes</t>
  </si>
  <si>
    <t>Rent from Electric Property - Transmission Related (Note 3)</t>
  </si>
  <si>
    <t>FASB 109 Gross-Up</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</si>
  <si>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</si>
  <si>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</si>
  <si>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</si>
  <si>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</si>
  <si>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</si>
  <si>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</si>
  <si>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Composite Income Taxes</t>
  </si>
  <si>
    <t>Rent or Attachment Fees associated with Transmission Facilities (Note 3)</t>
  </si>
  <si>
    <t>YEAR ENDED</t>
  </si>
  <si>
    <t>Net</t>
  </si>
  <si>
    <t>Effective</t>
  </si>
  <si>
    <t>Outstanding</t>
  </si>
  <si>
    <t>Expense</t>
  </si>
  <si>
    <t>(Discount)</t>
  </si>
  <si>
    <t>Cost Rate</t>
  </si>
  <si>
    <t>First Mortgage Bonds:</t>
  </si>
  <si>
    <t>Check with FERC Form 1 B/S pgs 110-113</t>
  </si>
  <si>
    <t>Issue</t>
  </si>
  <si>
    <t>Maturity</t>
  </si>
  <si>
    <t>Premium</t>
  </si>
  <si>
    <t>Issuance</t>
  </si>
  <si>
    <t>Reacquired</t>
  </si>
  <si>
    <t>Proceeds</t>
  </si>
  <si>
    <t>Coupon</t>
  </si>
  <si>
    <t xml:space="preserve">Annual </t>
  </si>
  <si>
    <t>Date</t>
  </si>
  <si>
    <t>Issued</t>
  </si>
  <si>
    <t>at Issuance</t>
  </si>
  <si>
    <t>Debt</t>
  </si>
  <si>
    <t>Ratio</t>
  </si>
  <si>
    <t>Rate</t>
  </si>
  <si>
    <t>Bedington Transformer</t>
  </si>
  <si>
    <t>Kammer Transformers</t>
  </si>
  <si>
    <t>PJM Upgrade ID:  b0216</t>
  </si>
  <si>
    <t>PJM Upgrade ID:  b0323</t>
  </si>
  <si>
    <t>PJM Upgrade ID:  b0230</t>
  </si>
  <si>
    <t>Wylie Ridge Transformer (Plant In Service)</t>
  </si>
  <si>
    <t>Ax A Line 148</t>
  </si>
  <si>
    <t>Depreciation Rates</t>
  </si>
  <si>
    <t>Plant in Service Worksheet</t>
  </si>
  <si>
    <t>Calculation of Transmission  Plant In Service</t>
  </si>
  <si>
    <t>Source</t>
  </si>
  <si>
    <t>December</t>
  </si>
  <si>
    <t>January</t>
  </si>
  <si>
    <t>company records</t>
  </si>
  <si>
    <t>February</t>
  </si>
  <si>
    <t xml:space="preserve">June </t>
  </si>
  <si>
    <t>July</t>
  </si>
  <si>
    <t>August</t>
  </si>
  <si>
    <t>September</t>
  </si>
  <si>
    <t xml:space="preserve">October </t>
  </si>
  <si>
    <t>November</t>
  </si>
  <si>
    <t>Calculation of Distribution Plant In Service</t>
  </si>
  <si>
    <t>p206.75.b</t>
  </si>
  <si>
    <t>October</t>
  </si>
  <si>
    <t>p207.75.g</t>
  </si>
  <si>
    <t>Distribution Plant In Service</t>
  </si>
  <si>
    <t>Calculation of Intangible Plant In Service</t>
  </si>
  <si>
    <t>Intangible Plant In Service</t>
  </si>
  <si>
    <t>Calculation of General Plant In Service</t>
  </si>
  <si>
    <t>General Plant In Service</t>
  </si>
  <si>
    <t>Calculation of Production Plant In Service</t>
  </si>
  <si>
    <t>Production Plant In Service</t>
  </si>
  <si>
    <t>Sum of averages above</t>
  </si>
  <si>
    <t>Vegetation Management - Transmission</t>
  </si>
  <si>
    <t>OsageWhiteley</t>
  </si>
  <si>
    <t>Meadowbrook Capacitor</t>
  </si>
  <si>
    <t>Kammer</t>
  </si>
  <si>
    <t>Doubs #2 Trans</t>
  </si>
  <si>
    <t>Doubs #3 Trans</t>
  </si>
  <si>
    <t>Doubs #4 Trans</t>
  </si>
  <si>
    <t>Osage Whiteley</t>
  </si>
  <si>
    <t>Bedington Transformers</t>
  </si>
  <si>
    <t>Farmers Valley</t>
  </si>
  <si>
    <t>Harvey Run</t>
  </si>
  <si>
    <t>p.321.97.b</t>
  </si>
  <si>
    <t>Additional State Depreciation PA</t>
  </si>
  <si>
    <t>Capitalized Vertical Tree Trimming</t>
  </si>
  <si>
    <t>T&amp;D Repairs</t>
  </si>
  <si>
    <t>Temporary difference that is capitalized for book purposes but deductible for tax purposes</t>
  </si>
  <si>
    <t>Vegetation management transmission corridor capital cost and depreciation expenses required for the regulatory financial statement schedules</t>
  </si>
  <si>
    <t>Repair deduction on capitalized book asset deductible for tax purposes under Rev. Proc. 2011-43</t>
  </si>
  <si>
    <t xml:space="preserve">PJM Upgrade ID:  b0563 </t>
  </si>
  <si>
    <t>PJM Upgrade ID:  b0564</t>
  </si>
  <si>
    <t>PJM Upgrade ID:  b1243</t>
  </si>
  <si>
    <t xml:space="preserve">PJM Upgrade ID: b0674, b1023, b1023.3  </t>
  </si>
  <si>
    <t>Potter</t>
  </si>
  <si>
    <t>Osage Whitely</t>
  </si>
  <si>
    <t>Disallowance in current year for charitable deduction due to tax loss, tax attribute carries forward five years</t>
  </si>
  <si>
    <t>Costs incurred as a result of Allegheny merging with FirstEnergy which are not to be included within the revenue requirement</t>
  </si>
  <si>
    <t>Hunterstown</t>
  </si>
  <si>
    <t>PJM Upgrade ID: b1800</t>
  </si>
  <si>
    <t>Waldo Run SS</t>
  </si>
  <si>
    <t>PJM Upgrade ID: b2433.1, b2433.2, b2433.3</t>
  </si>
  <si>
    <t>Blairsville SS</t>
  </si>
  <si>
    <t>PJM Upgrade ID: b1967</t>
  </si>
  <si>
    <t>Four Mile Jct</t>
  </si>
  <si>
    <t>PJM Upgrade ID: b1609, b1769</t>
  </si>
  <si>
    <t>Johnstown SS (2nd xfmr)</t>
  </si>
  <si>
    <t>PJM Upgrade ID: b1945</t>
  </si>
  <si>
    <t>Yeagertown</t>
  </si>
  <si>
    <t>PJM Upgrade ID: b1610</t>
  </si>
  <si>
    <t>Grandview Capacitor</t>
  </si>
  <si>
    <t xml:space="preserve">PJM Upgrade ID: b1990 </t>
  </si>
  <si>
    <t>Altoona SVC</t>
  </si>
  <si>
    <t>PJM Upgrade ID: b1801</t>
  </si>
  <si>
    <t>Luxor</t>
  </si>
  <si>
    <t>PJM Upgrade ID: b1965</t>
  </si>
  <si>
    <t>Armstrong</t>
  </si>
  <si>
    <t>Grand Point &amp; Guilford</t>
  </si>
  <si>
    <t>PJM Upgrade ID: b1839</t>
  </si>
  <si>
    <t>Moshannon</t>
  </si>
  <si>
    <t>PJM Upgrade ID: b1964</t>
  </si>
  <si>
    <t>Carbon Center</t>
  </si>
  <si>
    <t>PJM Upgrade ID: b1672</t>
  </si>
  <si>
    <t>Shawville</t>
  </si>
  <si>
    <t>PJM Upgrade ID: b1998</t>
  </si>
  <si>
    <t>Northwood</t>
  </si>
  <si>
    <t>PJM Upgrade ID: b1999, b2002</t>
  </si>
  <si>
    <t>Shuman Hill Sub</t>
  </si>
  <si>
    <t>PJM Upgrade ID: b2342</t>
  </si>
  <si>
    <t>Buffalo Road</t>
  </si>
  <si>
    <t>PJM Upgrade ID: b1770</t>
  </si>
  <si>
    <t>Pleasureville Capacitor</t>
  </si>
  <si>
    <t>Farmers Valley Capacitor</t>
  </si>
  <si>
    <t>Harvey Run Capacitor</t>
  </si>
  <si>
    <t>Buffalo Road Capacitor</t>
  </si>
  <si>
    <t>Luxor Capacitor</t>
  </si>
  <si>
    <t>Grand Point &amp; Guilford SS</t>
  </si>
  <si>
    <t>Conemaugh Transformer</t>
  </si>
  <si>
    <t>502 Junction  Substation</t>
  </si>
  <si>
    <t>Doubs SS</t>
  </si>
  <si>
    <t>Meadowbrook SS</t>
  </si>
  <si>
    <t>Conemaugh</t>
  </si>
  <si>
    <t>Cabot SS (Monthly Additions)</t>
  </si>
  <si>
    <t>Potter SS (Monthly Additions)</t>
  </si>
  <si>
    <t>Osage Whiteley (Monthly Additions)</t>
  </si>
  <si>
    <t>New Transmission Plant Additions for Year 3  (13 month average balance)</t>
  </si>
  <si>
    <t>PJM Upgrade ID:  b1941</t>
  </si>
  <si>
    <t>PJM Upgrade ID:  b1803</t>
  </si>
  <si>
    <t>PJM Upgrade ID: b1153</t>
  </si>
  <si>
    <t>PJM Upgrade ID: b2148</t>
  </si>
  <si>
    <t>Grover SS Capacitor</t>
  </si>
  <si>
    <t>PJM Upgrade ID: b0556</t>
  </si>
  <si>
    <t>502 Junction Substation</t>
  </si>
  <si>
    <t>PJM Upgrade ID: b1023.1</t>
  </si>
  <si>
    <t>Charitable Contribution Carryforward</t>
  </si>
  <si>
    <t>NOL Deferred Tax Asset - LT PA</t>
  </si>
  <si>
    <t>Purch Acct-LTD FMV</t>
  </si>
  <si>
    <t>State Income Tax Deductible</t>
  </si>
  <si>
    <t>PAA - LT Regulatory Asset Amort</t>
  </si>
  <si>
    <t>SC01 Timing Allocation</t>
  </si>
  <si>
    <t>Grandview  Capacitor</t>
  </si>
  <si>
    <t>502 Jct Substation</t>
  </si>
  <si>
    <t>Conemaugh-Seward</t>
  </si>
  <si>
    <t>Grandpoint &amp; Guilford</t>
  </si>
  <si>
    <t>Handsome Lake - Homer City</t>
  </si>
  <si>
    <t>Altoona</t>
  </si>
  <si>
    <t>Blairsville</t>
  </si>
  <si>
    <t>Johnstown</t>
  </si>
  <si>
    <t>Waldo Run</t>
  </si>
  <si>
    <t>Four Mile Junction</t>
  </si>
  <si>
    <t>West Union SS</t>
  </si>
  <si>
    <t>Shuman Hill/Mobley</t>
  </si>
  <si>
    <t>WV  6.5%</t>
  </si>
  <si>
    <t>Handsome Lake-Homer City</t>
  </si>
  <si>
    <t>Cabron Center</t>
  </si>
  <si>
    <t>Result of bonus depreciation</t>
  </si>
  <si>
    <t>Reflects the adjustments and subsequent amortization of the regulatory asset associated with the adjusted debt balances resulting from the FE/AYE merger (Offset is PAA - LT Regulatory Asset Amort below in 283)</t>
  </si>
  <si>
    <t>Deductions related to state income taxes</t>
  </si>
  <si>
    <t>Accelerated Tax Depreciation</t>
  </si>
  <si>
    <t>Other Basis Differences</t>
  </si>
  <si>
    <t>Additional tax deprecation over book</t>
  </si>
  <si>
    <t>Other property related temporary differences</t>
  </si>
  <si>
    <t>PJM Receivable</t>
  </si>
  <si>
    <t>Reflects the adjustments and subsequent amortization of adjusted debt balances associated with the FE/AYE merger</t>
  </si>
  <si>
    <t>West Union</t>
  </si>
  <si>
    <t>PJM Upgrade ID:  b2343</t>
  </si>
  <si>
    <t>Rider Sub (West Milford)</t>
  </si>
  <si>
    <t>Monocacy SS</t>
  </si>
  <si>
    <t>Bartonville SS Capacitor</t>
  </si>
  <si>
    <t>Mainsburg SS</t>
  </si>
  <si>
    <t>Johnstown Sub Capacitor</t>
  </si>
  <si>
    <t>Grover SS</t>
  </si>
  <si>
    <t>Claysburg Ring Bus</t>
  </si>
  <si>
    <t>Conemaugh Capacitor</t>
  </si>
  <si>
    <t>Squab Hollow SS</t>
  </si>
  <si>
    <t>Squab Hollow SVC</t>
  </si>
  <si>
    <t>Shingletown Capacitor</t>
  </si>
  <si>
    <t>Nyswaner</t>
  </si>
  <si>
    <t>PJM Upgrade ID:  b1840</t>
  </si>
  <si>
    <t>PJM Upgrade ID:  b2235</t>
  </si>
  <si>
    <t>PJM Upgrade ID:  b2260</t>
  </si>
  <si>
    <t>PJM Upgrade ID:  b0555</t>
  </si>
  <si>
    <t>PJM Upgrade ID:  b1943</t>
  </si>
  <si>
    <t>PJM Upgrade ID:  b0376</t>
  </si>
  <si>
    <t>PJM Upgrade ID:  b2364 &amp; b2364.1</t>
  </si>
  <si>
    <t>PJM Upgrade ID:  b2156</t>
  </si>
  <si>
    <t>PJM Upgrade ID:  b2546</t>
  </si>
  <si>
    <t>Shuman Hill</t>
  </si>
  <si>
    <t>PJM Upgrade ID: b1941</t>
  </si>
  <si>
    <t>3.85%, Senior Unsecured Notes</t>
  </si>
  <si>
    <t>CALCULATION OF COST OF DEBT</t>
  </si>
  <si>
    <t>End of Year Est. for Final</t>
  </si>
  <si>
    <t>Federal NOL</t>
  </si>
  <si>
    <t>AMT Carryforward</t>
  </si>
  <si>
    <t>CIAC-VA-Norm</t>
  </si>
  <si>
    <t>CIAC-WV-Norm</t>
  </si>
  <si>
    <t>NOL Deferred Tax Asset - LT WV</t>
  </si>
  <si>
    <t>Tax Interest Capitalized-Fed-Norm</t>
  </si>
  <si>
    <t>Tax Interest Capitalized-Fed-Norm-Incurred-CWIP</t>
  </si>
  <si>
    <t>Tax Interest Capitalized-MD-Norm</t>
  </si>
  <si>
    <t>Tax Interest Capitalized-MD-Norm-Incurred-CWIP</t>
  </si>
  <si>
    <t>Tax Interest Capitalized-PA-Norm</t>
  </si>
  <si>
    <t>Tax Interest Capitalized-PA-Norm-Incurred-CWIP</t>
  </si>
  <si>
    <t>Tax Interest Capitalized-VA-Norm</t>
  </si>
  <si>
    <t>Tax Interest Capitalized-VA-Norm-Incurred-CWIP</t>
  </si>
  <si>
    <t>Tax Interest Capitalized-WV-Norm</t>
  </si>
  <si>
    <t>Tax Interest Capitalized-WV-Norm-Incurred-CWIP</t>
  </si>
  <si>
    <t>CIAC-Fed-Norm</t>
  </si>
  <si>
    <t>CIAC-Fed-Norm-Incurred-CWIP</t>
  </si>
  <si>
    <t>CIAC-MD-Norm</t>
  </si>
  <si>
    <t>CIAC-MD-Norm-Incurred-CWIP</t>
  </si>
  <si>
    <t>CIAC-PA-Norm</t>
  </si>
  <si>
    <t>CIAC-PA-Norm-Incurred-CWIP</t>
  </si>
  <si>
    <t>CIAC-VA-Norm-Incurred-CWIP</t>
  </si>
  <si>
    <t>CIAC-WV-Norm-Incurred-CWIP</t>
  </si>
  <si>
    <t>State Sales/Use Tax PA</t>
  </si>
  <si>
    <t>Total Included  (Lines 4 + 8 + 12)</t>
  </si>
  <si>
    <t>Total, Included and Excluded (Line 13 + Line 19)</t>
  </si>
  <si>
    <t>Bartonville</t>
  </si>
  <si>
    <t>Shingletown</t>
  </si>
  <si>
    <t xml:space="preserve">Johnstown SS Capacitor </t>
  </si>
  <si>
    <t>Grover Sub</t>
  </si>
  <si>
    <t>Rider Sub</t>
  </si>
  <si>
    <t xml:space="preserve">  502 Junction - Territorial Line               (Monthly additions)</t>
  </si>
  <si>
    <t>Rider</t>
  </si>
  <si>
    <t>Johnstwon Sub Capcitor</t>
  </si>
  <si>
    <t>Richwood Hill</t>
  </si>
  <si>
    <t>Erie South</t>
  </si>
  <si>
    <t>PJM Upgrade ID:  b2441</t>
  </si>
  <si>
    <t>Mainsburg</t>
  </si>
  <si>
    <t>PJM Upgrade ID:  b2545</t>
  </si>
  <si>
    <t>Oak Mound</t>
  </si>
  <si>
    <t>PJM Upgrade ID:  b2475</t>
  </si>
  <si>
    <t>Johnstown Sub Capcitor</t>
  </si>
  <si>
    <t>Paid AMT tax which generates a credit</t>
  </si>
  <si>
    <t>Additional State Depreciation WV</t>
  </si>
  <si>
    <t>Sale of Property - Book Gain or (Loss)</t>
  </si>
  <si>
    <t>AFUDC Debt</t>
  </si>
  <si>
    <t>Temporary difference for additional state depreciation allowed for WV tax return</t>
  </si>
  <si>
    <t>Portion of AFUDC Debt that relates to property and booked to account 282</t>
  </si>
  <si>
    <t>Reclass of the tax portion (gross-up) for property items included in account 190</t>
  </si>
  <si>
    <t>(2)</t>
  </si>
  <si>
    <t>3.76%, Senior Unsecured Notes</t>
  </si>
  <si>
    <t>PJM Upgrade ID:  b2362 &amp; b2632.1</t>
  </si>
  <si>
    <t>PJM Upgrade ID:  b1802 &amp; b1608</t>
  </si>
  <si>
    <t>Input to Appendix A, Line 147</t>
  </si>
  <si>
    <t>Joffre Sub</t>
  </si>
  <si>
    <t>Farmers Valley Substation</t>
  </si>
  <si>
    <t>PJM Upgrade ID:  b1991</t>
  </si>
  <si>
    <t>Joffre SS</t>
  </si>
  <si>
    <t>Charitable Contribution State &amp; Local RTA</t>
  </si>
  <si>
    <t>Valuation Allowance NOL WV</t>
  </si>
  <si>
    <t>Valuation allowances recorded against state NOL carryforwards not expected to be realized</t>
  </si>
  <si>
    <t>Reclass of the tax portion (gross-up) for property items included in account 283</t>
  </si>
  <si>
    <t>PJM Upgrade ID:  b2547, b2547.1, b2547.2</t>
  </si>
  <si>
    <t>PJM Upgrade ID:  b2261</t>
  </si>
  <si>
    <t>Damascus Substation</t>
  </si>
  <si>
    <t>PJM Upgrade ID:  b2494</t>
  </si>
  <si>
    <t>Warren Substation</t>
  </si>
  <si>
    <t>PJM Upgrade ID:  s1041</t>
  </si>
  <si>
    <t>Joffre Substation S1041</t>
  </si>
  <si>
    <t>PJM Upgrade ID: b1800, b1804</t>
  </si>
  <si>
    <t xml:space="preserve">  p263.21(i)</t>
  </si>
  <si>
    <t>Damascus SS</t>
  </si>
  <si>
    <t>Damascas SS</t>
  </si>
  <si>
    <t>Charitable Contribution  - WV RTA</t>
  </si>
  <si>
    <t>CIAC-Fed-Norm-Reversal-CWIP</t>
  </si>
  <si>
    <t>CIAC-MD-Norm-Reversal-CWIP</t>
  </si>
  <si>
    <t>CIAC-PA-Norm-Reversal-CWIP</t>
  </si>
  <si>
    <t>CIAC-VA-Norm-Reversal-CWIP</t>
  </si>
  <si>
    <t>CIAC-WV-Norm-Reversal-CWIP</t>
  </si>
  <si>
    <t>FASB 109 Gross-UP</t>
  </si>
  <si>
    <t>Merger Costs: D&amp;O Insurance</t>
  </si>
  <si>
    <t>Merger Costs: Licenses</t>
  </si>
  <si>
    <t>Pension/OPEB : Other Def Cr. or Dr.</t>
  </si>
  <si>
    <t>Deferred Charge-EIB</t>
  </si>
  <si>
    <t>Tax Interest Capitalized-Fed-Norm-Reversal-CWIP</t>
  </si>
  <si>
    <t>Tax Interest Capitalized-MD-Norm-Reversal-CWIP</t>
  </si>
  <si>
    <t>Tax Interest Capitalized-PA-Norm-Reversal-CWIP</t>
  </si>
  <si>
    <t>Tax Interest Capitalized-VA-Norm-Reversal-CWIP</t>
  </si>
  <si>
    <t>Tax Interest Capitalized-WV-Norm-Reversal-CWIP</t>
  </si>
  <si>
    <t>Vegetation Management</t>
  </si>
  <si>
    <t>PJM Upgrade ID:  b2587</t>
  </si>
  <si>
    <t>Piercebrook Substation</t>
  </si>
  <si>
    <t>Piercebrook SS</t>
  </si>
  <si>
    <t>For 2018</t>
  </si>
  <si>
    <t>Accelerated Tax Depr-FED-Norm</t>
  </si>
  <si>
    <t>Charitable Contribution  - VA RTA</t>
  </si>
  <si>
    <t>Deferral Amortization of Excess Def Income Taxes</t>
  </si>
  <si>
    <t>Resulting from deferral of refund of excess ADIT due to customers</t>
  </si>
  <si>
    <t>Pension related temporary difference associated with Service Company allocations</t>
  </si>
  <si>
    <t xml:space="preserve">Basis difference relating to A&amp;G expense  </t>
  </si>
  <si>
    <t>Temporary difference for additional state depreciation allowed for MD tax return</t>
  </si>
  <si>
    <t>Temporary difference for additional state depreciation allowed for PA tax return</t>
  </si>
  <si>
    <t>Temporary difference for additional state depreciation allowed for VA tax return</t>
  </si>
  <si>
    <t>Comparison of actual to forecast revenues - non-property related</t>
  </si>
  <si>
    <t>Timing differences related to service company allocations</t>
  </si>
  <si>
    <t>2018 State Property WV</t>
  </si>
  <si>
    <t>2018 Local Property WV</t>
  </si>
  <si>
    <t>p263.1.2(i)</t>
  </si>
  <si>
    <t>p263.1.5(i)</t>
  </si>
  <si>
    <t>Federal - Other</t>
  </si>
  <si>
    <t>Jan 2019</t>
  </si>
  <si>
    <t>Meadowbrook SS Capacitor</t>
  </si>
  <si>
    <t>Wylie Ridge</t>
  </si>
  <si>
    <t>Cabot Substation</t>
  </si>
  <si>
    <t>Warren SS</t>
  </si>
  <si>
    <t>Kammer SS</t>
  </si>
  <si>
    <t>PJM Upgrade ID:  b0218; b0220; b1166</t>
  </si>
  <si>
    <t>Farmers Valley SS</t>
  </si>
  <si>
    <t>2020 Forecast</t>
  </si>
  <si>
    <t xml:space="preserve">  p263.32(i)</t>
  </si>
  <si>
    <t>2019 State Property WV</t>
  </si>
  <si>
    <t xml:space="preserve">  p263.33(i)</t>
  </si>
  <si>
    <t>2018 State Property PA (PURTA)</t>
  </si>
  <si>
    <t>2019 State Property PA (PURTA)</t>
  </si>
  <si>
    <t xml:space="preserve">  p263.22(i)</t>
  </si>
  <si>
    <t>p263.1.1(i)</t>
  </si>
  <si>
    <t>2019 Local Property WV</t>
  </si>
  <si>
    <t>2019 Local Property VA</t>
  </si>
  <si>
    <t>2019 Local Property PA</t>
  </si>
  <si>
    <t>p263.1.8(i)</t>
  </si>
  <si>
    <t>2018 Local Property MD</t>
  </si>
  <si>
    <t>p263.1.11(i)</t>
  </si>
  <si>
    <t>2019 Local Property MD</t>
  </si>
  <si>
    <t>p263.1.12(i)</t>
  </si>
  <si>
    <t xml:space="preserve">  p263.18(i)</t>
  </si>
  <si>
    <t>MD Filing Fee</t>
  </si>
  <si>
    <t>Federal - Excise</t>
  </si>
  <si>
    <t xml:space="preserve">  p263.10(i)</t>
  </si>
  <si>
    <t xml:space="preserve">  p263.16(i)</t>
  </si>
  <si>
    <t xml:space="preserve">  p263.26(i)</t>
  </si>
  <si>
    <t xml:space="preserve">  p263.30(i)</t>
  </si>
  <si>
    <t>For 2019</t>
  </si>
  <si>
    <t>Jan 2020</t>
  </si>
  <si>
    <t>AFUDC Debt-FED-Norm-Reversal-CWIP</t>
  </si>
  <si>
    <t>Temporary difference reversing book costs for selling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</si>
</sst>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0.000000%"/>
    <numFmt numFmtId="175" formatCode="_(* #,##0.0_);_(* \(#,##0.0\);_(* &quot;-&quot;??_);_(@_)"/>
    <numFmt numFmtId="176" formatCode="_(&quot;$&quot;* #,##0.0_);_(&quot;$&quot;* \(#,##0.0\);_(&quot;$&quot;* &quot;-&quot;?_);_(@_)"/>
    <numFmt numFmtId="177" formatCode="_(* #,##0.000_);_(* \(#,##0.000\);_(* &quot;-&quot;??_);_(@_)"/>
    <numFmt numFmtId="178" formatCode="_(* #,##0.00000_);_(* \(#,##0.00000\);_(* &quot;-&quot;??_);_(@_)"/>
    <numFmt numFmtId="179" formatCode="_(* #,##0.000_);_(* \(#,##0.000\);_(* &quot;-&quot;???_);_(@_)"/>
    <numFmt numFmtId="180" formatCode="0.0000000"/>
    <numFmt numFmtId="181" formatCode="#,##0.0"/>
    <numFmt numFmtId="182" formatCode="0.000"/>
    <numFmt numFmtId="183" formatCode="0.000000"/>
    <numFmt numFmtId="184" formatCode="#,##0.000"/>
    <numFmt numFmtId="185" formatCode="#,##0.0000"/>
    <numFmt numFmtId="186" formatCode="0.0"/>
    <numFmt numFmtId="187" formatCode="_(* #,##0.00_);_(* \(#,##0.00\);_(* &quot;-&quot;_);_(@_)"/>
    <numFmt numFmtId="188" formatCode="0.000000000%"/>
    <numFmt numFmtId="189" formatCode="_(&quot;$&quot;* #,##0.00_);_(&quot;$&quot;* \(#,##0.00\);_(&quot;$&quot;* &quot;-&quot;_);_(@_)"/>
  </numFmts>
  <fonts count="127">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b/>
      <sz val="12"/>
      <color indexed="13"/>
      <name val="Helv"/>
    </font>
    <font>
      <sz val="14"/>
      <name val="Arial"/>
      <family val="2"/>
    </font>
    <font>
      <b/>
      <sz val="14"/>
      <name val="Arial"/>
      <family val="2"/>
    </font>
    <font>
      <sz val="12"/>
      <name val="Arial Narrow"/>
      <family val="2"/>
    </font>
    <font>
      <b/>
      <sz val="12"/>
      <color indexed="10"/>
      <name val="Arial Narrow"/>
      <family val="2"/>
    </font>
    <font>
      <b/>
      <sz val="18"/>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b/>
      <sz val="9"/>
      <color indexed="10"/>
      <name val="Helv"/>
    </font>
    <font>
      <sz val="9"/>
      <name val="Arial Narrow"/>
      <family val="2"/>
    </font>
    <font>
      <sz val="9"/>
      <name val="Arial"/>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2"/>
      <color indexed="14"/>
      <name val="Arial Narrow"/>
      <family val="2"/>
    </font>
    <font>
      <sz val="10"/>
      <color indexed="14"/>
      <name val="Arial"/>
      <family val="2"/>
    </font>
    <font>
      <b/>
      <i/>
      <sz val="14"/>
      <name val="Arial Narrow"/>
      <family val="2"/>
    </font>
    <font>
      <b/>
      <i/>
      <sz val="11"/>
      <name val="Arial Narrow"/>
      <family val="2"/>
    </font>
    <font>
      <sz val="9"/>
      <color indexed="10"/>
      <name val="Arial Narrow"/>
      <family val="2"/>
    </font>
    <font>
      <sz val="10"/>
      <name val="Arial"/>
      <family val="2"/>
    </font>
    <font>
      <b/>
      <u/>
      <sz val="12"/>
      <name val="Arial"/>
      <family val="2"/>
    </font>
    <font>
      <sz val="10"/>
      <name val="Arial Narrow"/>
      <family val="2"/>
    </font>
    <font>
      <b/>
      <sz val="16"/>
      <name val="Arial"/>
      <family val="2"/>
    </font>
    <font>
      <sz val="10"/>
      <color indexed="14"/>
      <name val="Arial Narrow"/>
      <family val="2"/>
    </font>
    <font>
      <sz val="10"/>
      <color indexed="48"/>
      <name val="Arial"/>
      <family val="2"/>
    </font>
    <font>
      <b/>
      <sz val="20"/>
      <color indexed="12"/>
      <name val="Arial"/>
      <family val="2"/>
    </font>
    <font>
      <b/>
      <sz val="10"/>
      <color indexed="8"/>
      <name val="Arial"/>
      <family val="2"/>
    </font>
    <font>
      <b/>
      <sz val="9"/>
      <color indexed="10"/>
      <name val="Arial Narrow"/>
      <family val="2"/>
    </font>
    <font>
      <sz val="8"/>
      <name val="Arial Narrow"/>
      <family val="2"/>
    </font>
    <font>
      <sz val="10"/>
      <name val="MS Sans Serif"/>
      <family val="2"/>
    </font>
    <font>
      <b/>
      <sz val="10"/>
      <name val="MS Sans Serif"/>
      <family val="2"/>
    </font>
    <font>
      <sz val="8"/>
      <color indexed="10"/>
      <name val="Arial Narrow"/>
      <family val="2"/>
    </font>
    <font>
      <b/>
      <sz val="9"/>
      <name val="Arial"/>
      <family val="2"/>
    </font>
    <font>
      <b/>
      <sz val="11"/>
      <name val="Arial"/>
      <family val="2"/>
    </font>
    <font>
      <sz val="16"/>
      <name val="Arial"/>
      <family val="2"/>
    </font>
    <font>
      <sz val="18"/>
      <name val="Arial"/>
      <family val="2"/>
    </font>
    <font>
      <b/>
      <vertAlign val="superscript"/>
      <sz val="11"/>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1"/>
      <name val="Arial"/>
      <family val="2"/>
    </font>
    <font>
      <u/>
      <sz val="11"/>
      <name val="Arial"/>
      <family val="2"/>
    </font>
    <font>
      <sz val="11"/>
      <color indexed="8"/>
      <name val="Arial"/>
      <family val="2"/>
    </font>
    <font>
      <sz val="11"/>
      <color indexed="56"/>
      <name val="Arial"/>
      <family val="2"/>
    </font>
    <font>
      <u/>
      <sz val="9"/>
      <name val="Arial"/>
      <family val="2"/>
    </font>
    <font>
      <sz val="8"/>
      <name val="Arial"/>
      <family val="2"/>
    </font>
    <font>
      <sz val="10"/>
      <color indexed="8"/>
      <name val="Arial"/>
      <family val="2"/>
    </font>
    <font>
      <b/>
      <sz val="10"/>
      <name val="Arial"/>
      <family val="2"/>
    </font>
    <font>
      <b/>
      <sz val="11"/>
      <color indexed="9"/>
      <name val="Arial Narrow"/>
      <family val="2"/>
    </font>
    <font>
      <sz val="7"/>
      <name val="Arial"/>
      <family val="2"/>
    </font>
    <font>
      <b/>
      <sz val="16"/>
      <name val="Arial"/>
      <family val="2"/>
    </font>
    <font>
      <sz val="12"/>
      <name val="Arial"/>
      <family val="2"/>
    </font>
    <font>
      <b/>
      <i/>
      <sz val="10"/>
      <name val="Arial"/>
      <family val="2"/>
    </font>
    <font>
      <sz val="10"/>
      <name val="Arial"/>
      <family val="2"/>
    </font>
    <font>
      <strike/>
      <vertAlign val="superscript"/>
      <sz val="10"/>
      <name val="Arial"/>
      <family val="2"/>
    </font>
    <font>
      <vertAlign val="subscript"/>
      <sz val="9"/>
      <name val="Arial"/>
      <family val="2"/>
    </font>
    <font>
      <sz val="10"/>
      <color indexed="10"/>
      <name val="Arial"/>
      <family val="2"/>
    </font>
    <font>
      <sz val="11"/>
      <color indexed="10"/>
      <name val="Arial"/>
      <family val="2"/>
    </font>
    <font>
      <sz val="12"/>
      <color indexed="9"/>
      <name val="Arial"/>
      <family val="2"/>
    </font>
    <font>
      <b/>
      <sz val="10"/>
      <name val="Arial"/>
      <family val="2"/>
    </font>
    <font>
      <b/>
      <sz val="10"/>
      <color indexed="12"/>
      <name val="Arial Narrow"/>
      <family val="2"/>
    </font>
    <font>
      <sz val="8"/>
      <name val="Arial"/>
      <family val="2"/>
    </font>
    <font>
      <b/>
      <sz val="11"/>
      <name val="Arial Narrow"/>
      <family val="2"/>
    </font>
    <font>
      <sz val="12"/>
      <color indexed="57"/>
      <name val="Arial"/>
      <family val="2"/>
    </font>
    <font>
      <strike/>
      <sz val="12"/>
      <name val="Arial"/>
      <family val="2"/>
    </font>
    <font>
      <sz val="10"/>
      <color indexed="47"/>
      <name val="Arial"/>
      <family val="2"/>
    </font>
    <font>
      <b/>
      <sz val="11"/>
      <color indexed="12"/>
      <name val="Arial"/>
      <family val="2"/>
    </font>
    <font>
      <sz val="12"/>
      <color indexed="10"/>
      <name val="Arial"/>
      <family val="2"/>
    </font>
    <font>
      <sz val="12"/>
      <color indexed="10"/>
      <name val="Arial MT"/>
    </font>
    <font>
      <sz val="12"/>
      <color indexed="12"/>
      <name val="Arial MT"/>
    </font>
    <font>
      <sz val="12"/>
      <color indexed="8"/>
      <name val="Arial"/>
      <family val="2"/>
    </font>
    <font>
      <sz val="12"/>
      <color indexed="8"/>
      <name val="Arial MT"/>
    </font>
    <font>
      <sz val="12"/>
      <color indexed="8"/>
      <name val="Arial"/>
      <family val="2"/>
    </font>
    <font>
      <b/>
      <sz val="12"/>
      <color indexed="12"/>
      <name val="Arial"/>
      <family val="2"/>
    </font>
    <font>
      <b/>
      <sz val="12"/>
      <color indexed="10"/>
      <name val="Arial MT"/>
    </font>
    <font>
      <b/>
      <sz val="9"/>
      <color indexed="81"/>
      <name val="Tahoma"/>
      <family val="2"/>
    </font>
    <font>
      <sz val="9"/>
      <color indexed="81"/>
      <name val="Tahoma"/>
      <family val="2"/>
    </font>
    <font>
      <sz val="8"/>
      <color indexed="10"/>
      <name val="Arial"/>
      <family val="2"/>
    </font>
    <font>
      <sz val="11"/>
      <name val="Calibri"/>
      <family val="2"/>
    </font>
    <font>
      <b/>
      <sz val="20"/>
      <name val="Arial"/>
      <family val="2"/>
    </font>
    <font>
      <sz val="10"/>
      <name val="Arial"/>
      <family val="2"/>
    </font>
    <font>
      <sz val="10"/>
      <name val="Arial"/>
      <family val="2"/>
    </font>
    <font>
      <sz val="11"/>
      <color theme="1"/>
      <name val="Calibri"/>
      <family val="2"/>
      <scheme val="minor"/>
    </font>
    <font>
      <sz val="12"/>
      <color rgb="FFC00000"/>
      <name val="Arial"/>
      <family val="2"/>
    </font>
    <font>
      <sz val="10"/>
      <color rgb="FFFF0000"/>
      <name val="Arial"/>
      <family val="2"/>
    </font>
    <font>
      <sz val="24"/>
      <color rgb="FFFF0000"/>
      <name val="Arial"/>
      <family val="2"/>
    </font>
  </fonts>
  <fills count="12">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rgb="FFFFFF00"/>
        <bgColor indexed="64"/>
      </patternFill>
    </fill>
  </fills>
  <borders count="56">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7">
    <xf numFmtId="0" fontId="0" fillId="0" borderId="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4" fillId="0" borderId="0" applyFont="0" applyFill="0" applyBorder="0" applyAlignment="0" applyProtection="0"/>
    <xf numFmtId="43" fontId="12"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44" fontId="12"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169" fontId="13" fillId="0" borderId="0" applyProtection="0"/>
    <xf numFmtId="9" fontId="1" fillId="0" borderId="0" applyFont="0" applyFill="0" applyBorder="0" applyAlignment="0" applyProtection="0"/>
    <xf numFmtId="9" fontId="94" fillId="0" borderId="0" applyFont="0" applyFill="0" applyBorder="0" applyAlignment="0" applyProtection="0"/>
    <xf numFmtId="9" fontId="12" fillId="0" borderId="0" applyFont="0" applyFill="0" applyBorder="0" applyAlignment="0" applyProtection="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1">
      <alignment horizontal="center"/>
    </xf>
    <xf numFmtId="3" fontId="68" fillId="0" borderId="0" applyFont="0" applyFill="0" applyBorder="0" applyAlignment="0" applyProtection="0"/>
    <xf numFmtId="0" fontId="68" fillId="2" borderId="0" applyNumberFormat="0" applyFont="0" applyBorder="0" applyAlignment="0" applyProtection="0"/>
  </cellStyleXfs>
  <cellXfs count="2107">
    <xf numFmtId="0" fontId="0" fillId="0" borderId="0" xfId="0"/>
    <xf numFmtId="0" fontId="3" fillId="0" borderId="0" xfId="0" applyFont="1"/>
    <xf numFmtId="0" fontId="0" fillId="0" borderId="0" xfId="0" applyFill="1"/>
    <xf numFmtId="0" fontId="6" fillId="0" borderId="0" xfId="0" applyNumberFormat="1" applyFont="1" applyAlignment="1"/>
    <xf numFmtId="0" fontId="6" fillId="0" borderId="0" xfId="0" applyNumberFormat="1" applyFont="1" applyAlignment="1">
      <alignment horizontal="left"/>
    </xf>
    <xf numFmtId="3" fontId="6" fillId="0" borderId="0" xfId="0" applyNumberFormat="1" applyFont="1" applyAlignment="1"/>
    <xf numFmtId="0" fontId="6" fillId="0" borderId="0" xfId="0" applyNumberFormat="1" applyFont="1" applyAlignment="1">
      <alignment horizontal="center"/>
    </xf>
    <xf numFmtId="168" fontId="6" fillId="0" borderId="0" xfId="0" applyNumberFormat="1" applyFont="1" applyAlignment="1"/>
    <xf numFmtId="3" fontId="6" fillId="0" borderId="0" xfId="0" applyNumberFormat="1" applyFont="1" applyFill="1" applyBorder="1"/>
    <xf numFmtId="0" fontId="6" fillId="0" borderId="0" xfId="0" applyFont="1" applyAlignment="1"/>
    <xf numFmtId="3" fontId="6" fillId="0" borderId="0" xfId="0" applyNumberFormat="1" applyFont="1" applyFill="1" applyAlignment="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167" fontId="6" fillId="0" borderId="0" xfId="0" applyNumberFormat="1" applyFont="1" applyAlignment="1">
      <alignment horizontal="center"/>
    </xf>
    <xf numFmtId="167" fontId="6" fillId="0" borderId="0" xfId="0" applyNumberFormat="1" applyFont="1" applyAlignment="1">
      <alignment horizontal="left"/>
    </xf>
    <xf numFmtId="168"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165" fontId="6" fillId="0" borderId="0" xfId="0" applyNumberFormat="1" applyFont="1" applyAlignment="1"/>
    <xf numFmtId="169" fontId="6"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3" fontId="6" fillId="0" borderId="0" xfId="0" applyNumberFormat="1" applyFont="1" applyBorder="1" applyAlignment="1"/>
    <xf numFmtId="0"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3" fillId="0" borderId="0" xfId="0" applyNumberFormat="1" applyFont="1" applyFill="1"/>
    <xf numFmtId="0" fontId="9" fillId="0" borderId="0" xfId="0" applyNumberFormat="1" applyFont="1" applyFill="1" applyAlignment="1"/>
    <xf numFmtId="3" fontId="6" fillId="0" borderId="2" xfId="0" applyNumberFormat="1" applyFont="1" applyBorder="1" applyAlignment="1"/>
    <xf numFmtId="0" fontId="6" fillId="0" borderId="0" xfId="0" applyFont="1"/>
    <xf numFmtId="0" fontId="6" fillId="0" borderId="0" xfId="0" applyFont="1" applyFill="1" applyBorder="1" applyAlignment="1"/>
    <xf numFmtId="0" fontId="6" fillId="0" borderId="0" xfId="0" applyFont="1" applyBorder="1" applyAlignment="1"/>
    <xf numFmtId="172" fontId="3" fillId="0" borderId="0" xfId="18" applyNumberFormat="1" applyFont="1" applyAlignment="1"/>
    <xf numFmtId="0" fontId="3" fillId="0" borderId="2" xfId="0" applyNumberFormat="1" applyFont="1" applyFill="1" applyBorder="1" applyAlignment="1"/>
    <xf numFmtId="0" fontId="3" fillId="0" borderId="3" xfId="0" applyNumberFormat="1" applyFont="1" applyFill="1" applyBorder="1" applyAlignment="1"/>
    <xf numFmtId="3" fontId="3" fillId="0" borderId="3" xfId="0" applyNumberFormat="1" applyFont="1" applyBorder="1" applyAlignment="1"/>
    <xf numFmtId="3" fontId="6" fillId="0" borderId="0" xfId="0" applyNumberFormat="1" applyFont="1" applyFill="1" applyBorder="1" applyAlignment="1"/>
    <xf numFmtId="0" fontId="3" fillId="0" borderId="3" xfId="0" applyFont="1" applyBorder="1"/>
    <xf numFmtId="3" fontId="3" fillId="0" borderId="3" xfId="0" applyNumberFormat="1" applyFont="1" applyBorder="1"/>
    <xf numFmtId="0" fontId="3" fillId="0" borderId="0" xfId="0" applyNumberFormat="1" applyFont="1" applyFill="1" applyAlignment="1">
      <alignment horizontal="center"/>
    </xf>
    <xf numFmtId="0" fontId="6" fillId="0" borderId="0" xfId="0" applyNumberFormat="1" applyFont="1" applyFill="1" applyBorder="1" applyAlignment="1"/>
    <xf numFmtId="0" fontId="6" fillId="0" borderId="2" xfId="0" applyNumberFormat="1" applyFont="1" applyFill="1" applyBorder="1" applyAlignment="1"/>
    <xf numFmtId="0" fontId="6" fillId="0" borderId="2" xfId="0" applyFont="1" applyFill="1" applyBorder="1"/>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6" fillId="0" borderId="2" xfId="0" applyNumberFormat="1" applyFont="1" applyFill="1" applyBorder="1" applyAlignment="1"/>
    <xf numFmtId="0" fontId="5" fillId="0" borderId="2" xfId="0" applyFont="1" applyBorder="1" applyAlignment="1"/>
    <xf numFmtId="0" fontId="6" fillId="0" borderId="0" xfId="0" applyFont="1" applyFill="1" applyBorder="1"/>
    <xf numFmtId="3" fontId="16" fillId="0" borderId="0" xfId="0" applyNumberFormat="1" applyFont="1" applyAlignment="1">
      <alignment horizontal="right"/>
    </xf>
    <xf numFmtId="0" fontId="5" fillId="0" borderId="0" xfId="0" applyFont="1" applyBorder="1" applyAlignment="1"/>
    <xf numFmtId="172" fontId="5" fillId="0" borderId="0" xfId="0" applyNumberFormat="1" applyFont="1" applyAlignment="1">
      <alignment horizontal="right"/>
    </xf>
    <xf numFmtId="3" fontId="17"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0" fillId="0" borderId="2" xfId="0" applyFont="1" applyBorder="1"/>
    <xf numFmtId="3" fontId="20" fillId="0" borderId="2" xfId="0" applyNumberFormat="1" applyFont="1" applyBorder="1" applyAlignment="1">
      <alignment horizontal="right"/>
    </xf>
    <xf numFmtId="0" fontId="10" fillId="0" borderId="2" xfId="0" applyFont="1" applyBorder="1" applyAlignment="1">
      <alignment horizontal="left"/>
    </xf>
    <xf numFmtId="0" fontId="10"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5"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6" fillId="0" borderId="0" xfId="0" applyNumberFormat="1" applyFont="1" applyBorder="1" applyAlignment="1">
      <alignment horizontal="right"/>
    </xf>
    <xf numFmtId="0" fontId="5" fillId="0" borderId="0" xfId="0" applyFont="1" applyBorder="1"/>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167" fontId="6" fillId="0" borderId="0" xfId="0" applyNumberFormat="1" applyFont="1" applyBorder="1" applyAlignment="1">
      <alignment horizontal="left"/>
    </xf>
    <xf numFmtId="3" fontId="5" fillId="0" borderId="0" xfId="0" applyNumberFormat="1" applyFont="1"/>
    <xf numFmtId="0" fontId="3" fillId="0" borderId="2" xfId="0" applyNumberFormat="1" applyFont="1" applyBorder="1" applyAlignment="1"/>
    <xf numFmtId="0" fontId="22" fillId="3" borderId="0" xfId="0" applyFont="1" applyFill="1" applyBorder="1" applyAlignment="1"/>
    <xf numFmtId="0" fontId="22" fillId="3" borderId="0" xfId="0" applyFont="1" applyFill="1" applyBorder="1" applyAlignment="1">
      <alignment horizontal="left"/>
    </xf>
    <xf numFmtId="0" fontId="5" fillId="0" borderId="0" xfId="0" applyFont="1" applyAlignment="1">
      <alignment horizontal="center"/>
    </xf>
    <xf numFmtId="0" fontId="6" fillId="0" borderId="0" xfId="0" applyFont="1" applyAlignment="1">
      <alignment horizontal="center"/>
    </xf>
    <xf numFmtId="0" fontId="5" fillId="0" borderId="0" xfId="0" applyFont="1" applyFill="1" applyAlignment="1">
      <alignment horizontal="center"/>
    </xf>
    <xf numFmtId="0" fontId="5" fillId="0" borderId="4" xfId="0" applyFont="1" applyFill="1" applyBorder="1" applyAlignment="1">
      <alignment horizontal="left"/>
    </xf>
    <xf numFmtId="0" fontId="5" fillId="0" borderId="4" xfId="0" applyNumberFormat="1" applyFont="1" applyBorder="1" applyAlignment="1">
      <alignment horizontal="left"/>
    </xf>
    <xf numFmtId="3" fontId="16" fillId="0" borderId="4" xfId="0" applyNumberFormat="1" applyFont="1" applyBorder="1" applyAlignment="1">
      <alignment horizontal="right"/>
    </xf>
    <xf numFmtId="0" fontId="5" fillId="0" borderId="0" xfId="0" applyFont="1" applyFill="1" applyBorder="1" applyAlignment="1">
      <alignment horizontal="left"/>
    </xf>
    <xf numFmtId="0" fontId="6" fillId="0" borderId="0" xfId="0" applyFont="1" applyFill="1" applyAlignment="1">
      <alignment horizontal="center"/>
    </xf>
    <xf numFmtId="0" fontId="5" fillId="0" borderId="4" xfId="0" applyFont="1" applyBorder="1" applyAlignment="1"/>
    <xf numFmtId="0" fontId="10" fillId="0" borderId="3" xfId="0" applyFont="1" applyBorder="1" applyAlignment="1">
      <alignment horizontal="right"/>
    </xf>
    <xf numFmtId="0" fontId="3" fillId="0" borderId="0" xfId="0" applyNumberFormat="1" applyFont="1" applyAlignment="1">
      <alignment horizontal="left"/>
    </xf>
    <xf numFmtId="0" fontId="9"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172" fontId="3" fillId="0" borderId="3" xfId="18" applyNumberFormat="1" applyFont="1" applyBorder="1" applyAlignment="1"/>
    <xf numFmtId="0" fontId="5" fillId="0" borderId="3" xfId="0" applyFont="1" applyBorder="1"/>
    <xf numFmtId="3" fontId="6" fillId="0" borderId="4" xfId="0" applyNumberFormat="1" applyFont="1" applyBorder="1" applyAlignment="1"/>
    <xf numFmtId="3" fontId="6" fillId="0" borderId="4" xfId="0" applyNumberFormat="1" applyFont="1" applyBorder="1" applyAlignment="1">
      <alignment horizontal="right"/>
    </xf>
    <xf numFmtId="3" fontId="6" fillId="0" borderId="4" xfId="0" applyNumberFormat="1" applyFont="1" applyFill="1" applyBorder="1" applyAlignment="1"/>
    <xf numFmtId="167" fontId="3" fillId="0" borderId="3" xfId="0" applyNumberFormat="1" applyFont="1" applyBorder="1" applyAlignment="1">
      <alignment horizontal="left"/>
    </xf>
    <xf numFmtId="168"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3" borderId="0" xfId="0" applyFont="1" applyFill="1" applyBorder="1" applyAlignment="1"/>
    <xf numFmtId="0" fontId="5" fillId="3" borderId="0" xfId="0" applyFont="1" applyFill="1" applyBorder="1"/>
    <xf numFmtId="0" fontId="5" fillId="0" borderId="3" xfId="0" applyFont="1" applyFill="1" applyBorder="1" applyAlignment="1"/>
    <xf numFmtId="0" fontId="5" fillId="0" borderId="3" xfId="0" applyFont="1" applyBorder="1" applyAlignment="1"/>
    <xf numFmtId="0" fontId="21" fillId="0" borderId="0" xfId="0" applyFont="1" applyFill="1" applyBorder="1" applyAlignment="1">
      <alignment horizontal="center"/>
    </xf>
    <xf numFmtId="0" fontId="22" fillId="0" borderId="0" xfId="0" applyFont="1" applyFill="1" applyBorder="1" applyAlignment="1"/>
    <xf numFmtId="0" fontId="23" fillId="3" borderId="0" xfId="0" applyFont="1" applyFill="1" applyAlignment="1">
      <alignment horizontal="left"/>
    </xf>
    <xf numFmtId="0" fontId="23" fillId="3" borderId="0" xfId="0" applyFont="1" applyFill="1" applyAlignment="1"/>
    <xf numFmtId="0" fontId="18" fillId="3" borderId="0" xfId="0" applyNumberFormat="1" applyFont="1" applyFill="1" applyAlignment="1">
      <alignment horizontal="left"/>
    </xf>
    <xf numFmtId="0" fontId="5" fillId="3" borderId="0" xfId="0" applyFont="1" applyFill="1" applyAlignment="1"/>
    <xf numFmtId="0" fontId="5" fillId="3" borderId="0" xfId="0" applyFont="1" applyFill="1"/>
    <xf numFmtId="0" fontId="5" fillId="3"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xf numFmtId="0" fontId="17" fillId="0" borderId="0" xfId="0" applyFont="1" applyAlignment="1"/>
    <xf numFmtId="3" fontId="3" fillId="0" borderId="0" xfId="0" applyNumberFormat="1" applyFont="1" applyFill="1" applyBorder="1" applyAlignment="1"/>
    <xf numFmtId="168" fontId="3" fillId="0" borderId="3" xfId="0" applyNumberFormat="1" applyFont="1" applyBorder="1" applyAlignment="1"/>
    <xf numFmtId="167" fontId="3" fillId="0" borderId="0" xfId="0" applyNumberFormat="1" applyFont="1" applyBorder="1" applyAlignment="1">
      <alignment horizontal="left"/>
    </xf>
    <xf numFmtId="173" fontId="6" fillId="0" borderId="0" xfId="18" applyNumberFormat="1" applyFont="1" applyFill="1" applyAlignment="1">
      <alignment horizontal="right"/>
    </xf>
    <xf numFmtId="0" fontId="3" fillId="0" borderId="2" xfId="0" applyFont="1" applyFill="1" applyBorder="1" applyAlignment="1"/>
    <xf numFmtId="0" fontId="3" fillId="0" borderId="2" xfId="0" applyFont="1" applyBorder="1" applyAlignment="1"/>
    <xf numFmtId="3" fontId="3" fillId="0" borderId="2" xfId="0" applyNumberFormat="1" applyFont="1" applyBorder="1"/>
    <xf numFmtId="37" fontId="17" fillId="0" borderId="0" xfId="0" applyNumberFormat="1" applyFont="1" applyBorder="1" applyAlignment="1">
      <alignment horizontal="left"/>
    </xf>
    <xf numFmtId="0" fontId="10" fillId="0" borderId="0" xfId="0" applyFont="1" applyFill="1" applyBorder="1"/>
    <xf numFmtId="0" fontId="4" fillId="0" borderId="0" xfId="0" applyFont="1"/>
    <xf numFmtId="0" fontId="24" fillId="0" borderId="5" xfId="0" applyNumberFormat="1" applyFont="1" applyBorder="1" applyAlignment="1">
      <alignment horizontal="center"/>
    </xf>
    <xf numFmtId="0" fontId="25" fillId="0" borderId="5" xfId="0" applyFont="1" applyFill="1" applyBorder="1" applyAlignment="1"/>
    <xf numFmtId="0" fontId="24" fillId="0" borderId="5" xfId="0" applyFont="1" applyBorder="1" applyAlignment="1"/>
    <xf numFmtId="0" fontId="15" fillId="0" borderId="6" xfId="0" applyNumberFormat="1" applyFont="1" applyBorder="1" applyAlignment="1">
      <alignment horizontal="center"/>
    </xf>
    <xf numFmtId="0" fontId="15" fillId="0" borderId="5" xfId="0" applyNumberFormat="1" applyFont="1" applyBorder="1" applyAlignment="1">
      <alignment horizontal="left"/>
    </xf>
    <xf numFmtId="0" fontId="15" fillId="0" borderId="5" xfId="0" applyFont="1" applyFill="1" applyBorder="1"/>
    <xf numFmtId="0" fontId="15" fillId="0" borderId="5" xfId="0" applyFont="1" applyBorder="1" applyAlignment="1"/>
    <xf numFmtId="3" fontId="16"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5" xfId="0" applyFont="1" applyBorder="1"/>
    <xf numFmtId="0" fontId="15" fillId="0" borderId="0" xfId="0" applyNumberFormat="1" applyFont="1" applyBorder="1" applyAlignment="1">
      <alignment horizontal="center"/>
    </xf>
    <xf numFmtId="0" fontId="15" fillId="0" borderId="5" xfId="0" applyNumberFormat="1" applyFont="1" applyBorder="1" applyAlignment="1">
      <alignment horizontal="center"/>
    </xf>
    <xf numFmtId="0" fontId="3" fillId="0" borderId="0" xfId="0" applyNumberFormat="1" applyFont="1" applyBorder="1" applyAlignment="1">
      <alignment horizontal="left"/>
    </xf>
    <xf numFmtId="0" fontId="6" fillId="0" borderId="0" xfId="0" applyNumberFormat="1" applyFont="1" applyFill="1" applyAlignment="1">
      <alignment horizontal="left"/>
    </xf>
    <xf numFmtId="0" fontId="6" fillId="0" borderId="4" xfId="0" applyNumberFormat="1" applyFont="1" applyFill="1" applyBorder="1" applyAlignment="1"/>
    <xf numFmtId="0" fontId="6" fillId="0" borderId="0" xfId="0" applyNumberFormat="1" applyFont="1" applyBorder="1" applyAlignment="1">
      <alignment horizontal="left"/>
    </xf>
    <xf numFmtId="3" fontId="6" fillId="0" borderId="0" xfId="0" applyNumberFormat="1" applyFont="1" applyAlignment="1">
      <alignment horizontal="left"/>
    </xf>
    <xf numFmtId="164" fontId="3" fillId="0" borderId="3" xfId="1" applyNumberFormat="1" applyFont="1" applyFill="1" applyBorder="1" applyAlignment="1">
      <alignment horizontal="right"/>
    </xf>
    <xf numFmtId="0" fontId="6" fillId="0" borderId="4" xfId="0" applyNumberFormat="1" applyFont="1" applyBorder="1" applyAlignment="1">
      <alignment horizontal="left"/>
    </xf>
    <xf numFmtId="0" fontId="6" fillId="0" borderId="4" xfId="0" applyNumberFormat="1" applyFont="1" applyBorder="1" applyAlignment="1"/>
    <xf numFmtId="165" fontId="6" fillId="0" borderId="4" xfId="0" applyNumberFormat="1" applyFont="1" applyBorder="1" applyAlignment="1"/>
    <xf numFmtId="0" fontId="9" fillId="0" borderId="0" xfId="0" applyFont="1" applyFill="1" applyAlignment="1">
      <alignment horizontal="center"/>
    </xf>
    <xf numFmtId="0" fontId="18" fillId="0" borderId="0" xfId="0" applyNumberFormat="1" applyFont="1" applyFill="1" applyBorder="1" applyAlignment="1">
      <alignment horizontal="center"/>
    </xf>
    <xf numFmtId="0" fontId="18" fillId="3" borderId="0" xfId="0" applyNumberFormat="1" applyFont="1" applyFill="1" applyBorder="1" applyAlignment="1">
      <alignment horizontal="center"/>
    </xf>
    <xf numFmtId="0" fontId="5" fillId="0" borderId="0" xfId="0" applyFont="1" applyBorder="1" applyAlignment="1">
      <alignment horizontal="center"/>
    </xf>
    <xf numFmtId="3" fontId="6" fillId="0" borderId="2" xfId="0" applyNumberFormat="1" applyFont="1" applyBorder="1" applyAlignment="1">
      <alignment horizontal="center"/>
    </xf>
    <xf numFmtId="3" fontId="6" fillId="0" borderId="3" xfId="0" applyNumberFormat="1" applyFont="1" applyFill="1" applyBorder="1" applyAlignment="1">
      <alignment horizontal="center"/>
    </xf>
    <xf numFmtId="0" fontId="7" fillId="0" borderId="0" xfId="0" applyFont="1" applyFill="1" applyAlignment="1">
      <alignment horizontal="center"/>
    </xf>
    <xf numFmtId="0" fontId="6" fillId="0" borderId="0" xfId="0" applyFont="1" applyFill="1" applyBorder="1" applyAlignment="1">
      <alignment horizontal="center"/>
    </xf>
    <xf numFmtId="0" fontId="6" fillId="0" borderId="2"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3" fontId="6" fillId="0" borderId="2" xfId="0" applyNumberFormat="1" applyFont="1" applyFill="1" applyBorder="1" applyAlignment="1">
      <alignment horizontal="center"/>
    </xf>
    <xf numFmtId="0" fontId="3" fillId="0" borderId="3" xfId="0" applyFont="1" applyBorder="1" applyAlignment="1">
      <alignment horizontal="center"/>
    </xf>
    <xf numFmtId="0" fontId="5" fillId="0" borderId="4" xfId="0" applyNumberFormat="1" applyFont="1" applyFill="1" applyBorder="1" applyAlignment="1">
      <alignment horizontal="center"/>
    </xf>
    <xf numFmtId="0" fontId="10" fillId="0" borderId="2" xfId="0" applyNumberFormat="1" applyFont="1" applyBorder="1" applyAlignment="1">
      <alignment horizontal="center"/>
    </xf>
    <xf numFmtId="0" fontId="10" fillId="0" borderId="2" xfId="0" applyFont="1" applyBorder="1" applyAlignment="1">
      <alignment horizontal="center"/>
    </xf>
    <xf numFmtId="0" fontId="18" fillId="3" borderId="0" xfId="0" applyNumberFormat="1" applyFont="1" applyFill="1" applyAlignment="1">
      <alignment horizontal="center"/>
    </xf>
    <xf numFmtId="0" fontId="18" fillId="0" borderId="0" xfId="0" applyNumberFormat="1" applyFont="1" applyFill="1" applyAlignment="1">
      <alignment horizontal="center"/>
    </xf>
    <xf numFmtId="0" fontId="6" fillId="0" borderId="0" xfId="0" applyNumberFormat="1" applyFont="1" applyFill="1" applyBorder="1" applyAlignment="1">
      <alignment horizontal="center"/>
    </xf>
    <xf numFmtId="0" fontId="5" fillId="0" borderId="2" xfId="0" applyFont="1" applyFill="1" applyBorder="1" applyAlignment="1">
      <alignment horizontal="center"/>
    </xf>
    <xf numFmtId="3" fontId="6" fillId="0" borderId="3" xfId="0" applyNumberFormat="1" applyFont="1" applyBorder="1" applyAlignment="1">
      <alignment horizontal="center"/>
    </xf>
    <xf numFmtId="0" fontId="5" fillId="0" borderId="4" xfId="0" applyFont="1" applyBorder="1" applyAlignment="1">
      <alignment horizontal="center"/>
    </xf>
    <xf numFmtId="0" fontId="10" fillId="0" borderId="3" xfId="0" applyNumberFormat="1" applyFont="1" applyBorder="1" applyAlignment="1">
      <alignment horizontal="center"/>
    </xf>
    <xf numFmtId="0" fontId="3" fillId="0" borderId="0" xfId="0" applyFont="1" applyBorder="1" applyAlignment="1">
      <alignment horizontal="center"/>
    </xf>
    <xf numFmtId="3" fontId="3" fillId="0" borderId="3" xfId="0" applyNumberFormat="1" applyFont="1" applyBorder="1" applyAlignment="1">
      <alignment horizontal="center"/>
    </xf>
    <xf numFmtId="0" fontId="5" fillId="0" borderId="0" xfId="0" applyNumberFormat="1" applyFont="1" applyFill="1" applyBorder="1" applyAlignment="1">
      <alignment horizontal="center"/>
    </xf>
    <xf numFmtId="3" fontId="3" fillId="0" borderId="2" xfId="0" applyNumberFormat="1" applyFont="1" applyBorder="1" applyAlignment="1">
      <alignment horizontal="center"/>
    </xf>
    <xf numFmtId="3" fontId="25" fillId="0" borderId="5" xfId="0" applyNumberFormat="1" applyFont="1" applyBorder="1" applyAlignment="1">
      <alignment horizontal="center"/>
    </xf>
    <xf numFmtId="0" fontId="15" fillId="0" borderId="5" xfId="0" applyFont="1" applyBorder="1" applyAlignment="1">
      <alignment horizontal="center"/>
    </xf>
    <xf numFmtId="0" fontId="19" fillId="0" borderId="0" xfId="0" applyFont="1" applyBorder="1" applyAlignment="1">
      <alignment horizontal="center"/>
    </xf>
    <xf numFmtId="0" fontId="5" fillId="0" borderId="4" xfId="0" applyFont="1" applyFill="1" applyBorder="1" applyAlignment="1"/>
    <xf numFmtId="0" fontId="7" fillId="0" borderId="0" xfId="0" applyFont="1" applyFill="1" applyBorder="1" applyAlignment="1">
      <alignment horizontal="center"/>
    </xf>
    <xf numFmtId="0" fontId="26" fillId="0" borderId="0" xfId="0" applyFont="1" applyBorder="1" applyAlignment="1"/>
    <xf numFmtId="0" fontId="27" fillId="0" borderId="0" xfId="0" applyFont="1" applyBorder="1" applyAlignment="1">
      <alignment horizontal="center"/>
    </xf>
    <xf numFmtId="37" fontId="26" fillId="0" borderId="0" xfId="0" applyNumberFormat="1" applyFont="1" applyBorder="1" applyAlignment="1">
      <alignment horizontal="left"/>
    </xf>
    <xf numFmtId="0" fontId="7" fillId="0" borderId="4" xfId="0" applyFont="1" applyFill="1" applyBorder="1" applyAlignment="1"/>
    <xf numFmtId="0" fontId="7" fillId="0" borderId="4"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Alignment="1">
      <alignment horizontal="left"/>
    </xf>
    <xf numFmtId="0" fontId="24" fillId="0" borderId="0" xfId="0" applyNumberFormat="1" applyFont="1" applyBorder="1" applyAlignment="1">
      <alignment horizontal="center"/>
    </xf>
    <xf numFmtId="0" fontId="25" fillId="0" borderId="0" xfId="0" applyFont="1" applyFill="1" applyBorder="1" applyAlignment="1"/>
    <xf numFmtId="3" fontId="25" fillId="0" borderId="0" xfId="0" applyNumberFormat="1" applyFont="1" applyBorder="1" applyAlignment="1">
      <alignment horizontal="center"/>
    </xf>
    <xf numFmtId="0" fontId="24" fillId="0" borderId="0" xfId="0" applyFont="1" applyBorder="1" applyAlignment="1"/>
    <xf numFmtId="0" fontId="25" fillId="0" borderId="4" xfId="0" applyFont="1" applyFill="1" applyBorder="1" applyAlignment="1"/>
    <xf numFmtId="3" fontId="25" fillId="0" borderId="4" xfId="0" applyNumberFormat="1" applyFont="1" applyBorder="1" applyAlignment="1">
      <alignment horizontal="center"/>
    </xf>
    <xf numFmtId="3" fontId="25" fillId="0" borderId="0" xfId="0" applyNumberFormat="1" applyFont="1" applyFill="1" applyBorder="1" applyAlignment="1">
      <alignment horizontal="center"/>
    </xf>
    <xf numFmtId="10" fontId="6" fillId="0" borderId="0" xfId="18" applyNumberFormat="1" applyFont="1" applyFill="1" applyBorder="1"/>
    <xf numFmtId="0" fontId="3" fillId="0" borderId="0" xfId="0" applyFont="1" applyFill="1"/>
    <xf numFmtId="0" fontId="3" fillId="0" borderId="0" xfId="0" applyFont="1" applyFill="1" applyBorder="1"/>
    <xf numFmtId="3" fontId="3" fillId="0" borderId="0" xfId="0" applyNumberFormat="1" applyFont="1" applyFill="1" applyBorder="1"/>
    <xf numFmtId="10" fontId="8" fillId="0" borderId="0" xfId="0" applyNumberFormat="1" applyFont="1" applyFill="1" applyAlignment="1">
      <alignment horizontal="right"/>
    </xf>
    <xf numFmtId="0" fontId="0" fillId="4" borderId="0" xfId="0" applyFill="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2" fillId="0" borderId="0" xfId="0" applyFont="1" applyFill="1"/>
    <xf numFmtId="0" fontId="0" fillId="0" borderId="0" xfId="0" applyAlignment="1">
      <alignment wrapText="1"/>
    </xf>
    <xf numFmtId="0" fontId="0" fillId="0" borderId="0" xfId="0" applyAlignment="1"/>
    <xf numFmtId="164" fontId="1" fillId="0" borderId="0" xfId="1" applyNumberFormat="1" applyAlignment="1"/>
    <xf numFmtId="0" fontId="31" fillId="0" borderId="0" xfId="0" applyFont="1" applyAlignment="1">
      <alignment horizontal="left"/>
    </xf>
    <xf numFmtId="0" fontId="31" fillId="0" borderId="0" xfId="0" applyFont="1"/>
    <xf numFmtId="0" fontId="33" fillId="0" borderId="0" xfId="0" applyFont="1"/>
    <xf numFmtId="0" fontId="33" fillId="0" borderId="0" xfId="0" applyFont="1" applyBorder="1"/>
    <xf numFmtId="0" fontId="33" fillId="0" borderId="0" xfId="0" applyFont="1" applyFill="1" applyBorder="1"/>
    <xf numFmtId="0" fontId="32" fillId="0" borderId="0" xfId="0" applyFont="1" applyBorder="1"/>
    <xf numFmtId="0" fontId="0" fillId="0" borderId="0" xfId="0" applyAlignment="1">
      <alignment horizontal="right"/>
    </xf>
    <xf numFmtId="0" fontId="12" fillId="4" borderId="0" xfId="0" applyFont="1" applyFill="1"/>
    <xf numFmtId="0" fontId="11" fillId="0" borderId="0" xfId="0" applyFont="1"/>
    <xf numFmtId="0" fontId="6" fillId="0" borderId="0" xfId="0" applyFont="1" applyAlignment="1">
      <alignment horizontal="left"/>
    </xf>
    <xf numFmtId="0" fontId="34" fillId="0" borderId="0" xfId="0" applyFont="1" applyAlignment="1">
      <alignment horizontal="center"/>
    </xf>
    <xf numFmtId="0" fontId="11" fillId="0" borderId="0" xfId="0" applyFont="1" applyFill="1"/>
    <xf numFmtId="3" fontId="5" fillId="0" borderId="0" xfId="0" applyNumberFormat="1" applyFont="1" applyFill="1" applyBorder="1" applyAlignment="1">
      <alignment horizontal="right"/>
    </xf>
    <xf numFmtId="0" fontId="6" fillId="0" borderId="4" xfId="0" applyFont="1" applyBorder="1" applyAlignment="1"/>
    <xf numFmtId="0" fontId="28" fillId="0" borderId="0" xfId="0" applyFont="1" applyFill="1" applyBorder="1" applyAlignment="1">
      <alignment horizontal="left"/>
    </xf>
    <xf numFmtId="0" fontId="18" fillId="0" borderId="0" xfId="0" applyFont="1" applyFill="1" applyBorder="1" applyAlignment="1"/>
    <xf numFmtId="0" fontId="10" fillId="0" borderId="0" xfId="0" applyFont="1" applyFill="1" applyBorder="1" applyAlignment="1"/>
    <xf numFmtId="0" fontId="3" fillId="0" borderId="0" xfId="0" applyFont="1" applyFill="1" applyBorder="1" applyAlignment="1">
      <alignment horizontal="center" wrapText="1"/>
    </xf>
    <xf numFmtId="0" fontId="10" fillId="0" borderId="0" xfId="0" applyFont="1" applyFill="1"/>
    <xf numFmtId="0" fontId="5" fillId="0" borderId="0" xfId="0" applyFont="1" applyAlignment="1">
      <alignment wrapText="1"/>
    </xf>
    <xf numFmtId="43" fontId="0" fillId="0" borderId="0" xfId="0" applyNumberFormat="1"/>
    <xf numFmtId="0" fontId="0" fillId="0" borderId="0" xfId="0" applyBorder="1"/>
    <xf numFmtId="0" fontId="0" fillId="0" borderId="7" xfId="0" applyBorder="1"/>
    <xf numFmtId="0" fontId="0" fillId="0" borderId="1" xfId="0" applyBorder="1"/>
    <xf numFmtId="0" fontId="0" fillId="0" borderId="8" xfId="0" applyBorder="1"/>
    <xf numFmtId="0" fontId="2" fillId="0" borderId="0" xfId="0" applyFont="1" applyAlignment="1">
      <alignment horizontal="left"/>
    </xf>
    <xf numFmtId="3" fontId="3" fillId="0" borderId="2" xfId="0" applyNumberFormat="1" applyFont="1" applyFill="1" applyBorder="1" applyAlignment="1">
      <alignment horizontal="right"/>
    </xf>
    <xf numFmtId="3" fontId="3" fillId="0" borderId="2" xfId="0" applyNumberFormat="1" applyFont="1" applyBorder="1" applyAlignment="1"/>
    <xf numFmtId="164" fontId="3" fillId="0" borderId="0" xfId="1" applyNumberFormat="1" applyFont="1" applyFill="1" applyAlignment="1"/>
    <xf numFmtId="10" fontId="13" fillId="0" borderId="0" xfId="0" applyNumberFormat="1" applyFont="1" applyFill="1"/>
    <xf numFmtId="0" fontId="5" fillId="0" borderId="4" xfId="0" applyFont="1" applyFill="1" applyBorder="1" applyAlignment="1">
      <alignment horizontal="center"/>
    </xf>
    <xf numFmtId="0" fontId="12" fillId="0" borderId="0" xfId="0" applyNumberFormat="1" applyFont="1" applyFill="1" applyBorder="1" applyAlignment="1">
      <alignment horizontal="left"/>
    </xf>
    <xf numFmtId="0" fontId="36" fillId="0" borderId="0" xfId="0" applyFont="1" applyBorder="1" applyAlignment="1">
      <alignment horizontal="center"/>
    </xf>
    <xf numFmtId="0" fontId="36" fillId="0" borderId="0" xfId="0" applyNumberFormat="1" applyFont="1" applyBorder="1" applyAlignment="1">
      <alignment horizontal="left"/>
    </xf>
    <xf numFmtId="0" fontId="26" fillId="0" borderId="0" xfId="0" applyFont="1" applyFill="1" applyBorder="1"/>
    <xf numFmtId="0" fontId="26" fillId="0" borderId="0" xfId="0" applyFont="1" applyBorder="1" applyAlignment="1">
      <alignment horizontal="center"/>
    </xf>
    <xf numFmtId="0" fontId="39" fillId="0" borderId="0" xfId="0" applyFont="1" applyFill="1" applyBorder="1" applyAlignment="1">
      <alignment horizontal="center"/>
    </xf>
    <xf numFmtId="0" fontId="26" fillId="0" borderId="0" xfId="0" applyFont="1" applyFill="1" applyBorder="1" applyAlignment="1"/>
    <xf numFmtId="3" fontId="26" fillId="0" borderId="0" xfId="0" applyNumberFormat="1" applyFont="1" applyBorder="1" applyAlignment="1">
      <alignment horizontal="center"/>
    </xf>
    <xf numFmtId="0" fontId="38" fillId="0" borderId="0" xfId="0" applyNumberFormat="1" applyFont="1" applyFill="1" applyBorder="1" applyAlignment="1">
      <alignment horizontal="left"/>
    </xf>
    <xf numFmtId="3" fontId="26" fillId="0" borderId="0" xfId="0" applyNumberFormat="1" applyFont="1" applyFill="1" applyBorder="1" applyAlignment="1"/>
    <xf numFmtId="0" fontId="26" fillId="0" borderId="0" xfId="0" applyNumberFormat="1" applyFont="1" applyFill="1" applyBorder="1" applyAlignment="1"/>
    <xf numFmtId="3" fontId="39" fillId="0" borderId="0" xfId="0" applyNumberFormat="1" applyFont="1" applyFill="1" applyBorder="1" applyAlignment="1">
      <alignment horizontal="center"/>
    </xf>
    <xf numFmtId="0" fontId="26" fillId="0" borderId="0" xfId="0" applyFont="1" applyFill="1" applyBorder="1" applyAlignment="1">
      <alignment horizontal="left"/>
    </xf>
    <xf numFmtId="0" fontId="26" fillId="0" borderId="0" xfId="0" applyNumberFormat="1" applyFont="1" applyBorder="1" applyAlignment="1">
      <alignment horizontal="center"/>
    </xf>
    <xf numFmtId="0" fontId="38" fillId="0" borderId="0" xfId="0" applyFont="1" applyBorder="1" applyAlignment="1">
      <alignment horizontal="left"/>
    </xf>
    <xf numFmtId="0" fontId="26" fillId="0" borderId="0" xfId="0" applyNumberFormat="1" applyFont="1" applyFill="1" applyBorder="1" applyAlignment="1">
      <alignment horizontal="left"/>
    </xf>
    <xf numFmtId="167" fontId="38" fillId="0" borderId="0" xfId="0" applyNumberFormat="1" applyFont="1" applyBorder="1" applyAlignment="1">
      <alignment horizontal="left"/>
    </xf>
    <xf numFmtId="0" fontId="26" fillId="0" borderId="0" xfId="0" applyFont="1" applyBorder="1"/>
    <xf numFmtId="0" fontId="40" fillId="0" borderId="0" xfId="0" applyNumberFormat="1" applyFont="1" applyBorder="1" applyAlignment="1">
      <alignment horizontal="center"/>
    </xf>
    <xf numFmtId="0" fontId="38" fillId="0" borderId="0" xfId="0" applyNumberFormat="1" applyFont="1" applyBorder="1" applyAlignment="1">
      <alignment horizontal="left"/>
    </xf>
    <xf numFmtId="0" fontId="40" fillId="0" borderId="0" xfId="0" applyNumberFormat="1" applyFont="1" applyFill="1" applyBorder="1" applyAlignment="1"/>
    <xf numFmtId="0" fontId="40" fillId="0" borderId="0" xfId="0" applyFont="1" applyFill="1" applyBorder="1" applyAlignment="1"/>
    <xf numFmtId="3" fontId="40" fillId="0" borderId="0" xfId="0" applyNumberFormat="1" applyFont="1" applyBorder="1" applyAlignment="1">
      <alignment horizontal="center"/>
    </xf>
    <xf numFmtId="0" fontId="26" fillId="0" borderId="0" xfId="0" applyNumberFormat="1" applyFont="1" applyFill="1" applyBorder="1" applyAlignment="1">
      <alignment horizontal="center"/>
    </xf>
    <xf numFmtId="0" fontId="38" fillId="0" borderId="0" xfId="0" applyNumberFormat="1" applyFont="1" applyFill="1" applyBorder="1" applyAlignment="1"/>
    <xf numFmtId="0" fontId="39" fillId="0" borderId="0" xfId="0" applyFont="1" applyBorder="1" applyAlignment="1">
      <alignment horizontal="center"/>
    </xf>
    <xf numFmtId="3" fontId="26" fillId="0" borderId="9" xfId="0" applyNumberFormat="1" applyFont="1" applyBorder="1" applyAlignment="1"/>
    <xf numFmtId="0" fontId="26" fillId="0" borderId="10" xfId="0" applyNumberFormat="1" applyFont="1" applyBorder="1" applyAlignment="1">
      <alignment horizontal="center"/>
    </xf>
    <xf numFmtId="0" fontId="26" fillId="0" borderId="10" xfId="0" applyFont="1" applyBorder="1" applyAlignment="1">
      <alignment horizontal="center"/>
    </xf>
    <xf numFmtId="0" fontId="26" fillId="0" borderId="9" xfId="0" applyFont="1" applyBorder="1"/>
    <xf numFmtId="0" fontId="26" fillId="0" borderId="9" xfId="0" applyFont="1" applyBorder="1" applyAlignment="1"/>
    <xf numFmtId="3" fontId="26" fillId="0" borderId="0" xfId="0" applyNumberFormat="1" applyFont="1" applyFill="1" applyBorder="1" applyAlignment="1">
      <alignment horizontal="center"/>
    </xf>
    <xf numFmtId="0" fontId="26" fillId="0" borderId="10" xfId="0" applyNumberFormat="1" applyFont="1" applyFill="1" applyBorder="1" applyAlignment="1">
      <alignment horizontal="center"/>
    </xf>
    <xf numFmtId="0" fontId="26" fillId="0" borderId="10" xfId="0" applyFont="1" applyFill="1" applyBorder="1" applyAlignment="1">
      <alignment horizontal="center"/>
    </xf>
    <xf numFmtId="0" fontId="26" fillId="0" borderId="0" xfId="0" applyNumberFormat="1" applyFont="1" applyFill="1" applyBorder="1" applyAlignment="1">
      <alignment horizontal="right"/>
    </xf>
    <xf numFmtId="0" fontId="26" fillId="0" borderId="9" xfId="0" applyNumberFormat="1" applyFont="1" applyFill="1" applyBorder="1" applyAlignment="1">
      <alignment horizontal="left"/>
    </xf>
    <xf numFmtId="0" fontId="26" fillId="0" borderId="0" xfId="0" applyFont="1" applyBorder="1" applyAlignment="1">
      <alignment horizontal="left"/>
    </xf>
    <xf numFmtId="0" fontId="38" fillId="0" borderId="0" xfId="0" applyFont="1" applyBorder="1"/>
    <xf numFmtId="3" fontId="39" fillId="0" borderId="0" xfId="0" applyNumberFormat="1" applyFont="1" applyBorder="1" applyAlignment="1">
      <alignment horizontal="center"/>
    </xf>
    <xf numFmtId="0" fontId="26" fillId="0" borderId="9" xfId="0" applyFont="1" applyFill="1" applyBorder="1" applyAlignment="1"/>
    <xf numFmtId="0" fontId="39" fillId="0" borderId="0" xfId="0" applyNumberFormat="1" applyFont="1" applyFill="1" applyBorder="1" applyAlignment="1">
      <alignment horizontal="center"/>
    </xf>
    <xf numFmtId="0" fontId="40" fillId="0" borderId="10" xfId="0" applyNumberFormat="1" applyFont="1" applyBorder="1" applyAlignment="1">
      <alignment horizontal="center"/>
    </xf>
    <xf numFmtId="0" fontId="39" fillId="0" borderId="0" xfId="0" applyFont="1" applyFill="1" applyBorder="1" applyAlignment="1"/>
    <xf numFmtId="0" fontId="26" fillId="0" borderId="7" xfId="0" applyNumberFormat="1" applyFont="1" applyFill="1" applyBorder="1" applyAlignment="1">
      <alignment horizontal="center"/>
    </xf>
    <xf numFmtId="0" fontId="26" fillId="0" borderId="1" xfId="0" applyNumberFormat="1" applyFont="1" applyBorder="1" applyAlignment="1">
      <alignment horizontal="center"/>
    </xf>
    <xf numFmtId="0" fontId="26" fillId="0" borderId="1" xfId="0" applyFont="1" applyBorder="1" applyAlignment="1"/>
    <xf numFmtId="0" fontId="26" fillId="0" borderId="1" xfId="0" applyNumberFormat="1" applyFont="1" applyFill="1" applyBorder="1" applyAlignment="1">
      <alignment horizontal="center"/>
    </xf>
    <xf numFmtId="0" fontId="26" fillId="0" borderId="1" xfId="0" applyFont="1" applyFill="1" applyBorder="1" applyAlignment="1"/>
    <xf numFmtId="0" fontId="42" fillId="0" borderId="0" xfId="0" applyFont="1" applyFill="1" applyBorder="1" applyAlignment="1">
      <alignment horizontal="left"/>
    </xf>
    <xf numFmtId="0" fontId="26" fillId="0" borderId="1" xfId="0" applyNumberFormat="1" applyFont="1" applyFill="1" applyBorder="1" applyAlignment="1">
      <alignment horizontal="right"/>
    </xf>
    <xf numFmtId="0" fontId="26" fillId="0" borderId="1" xfId="0" applyNumberFormat="1" applyFont="1" applyFill="1" applyBorder="1" applyAlignment="1">
      <alignment horizontal="left"/>
    </xf>
    <xf numFmtId="0" fontId="39" fillId="0" borderId="1" xfId="0" applyNumberFormat="1" applyFont="1" applyFill="1" applyBorder="1" applyAlignment="1">
      <alignment horizontal="center"/>
    </xf>
    <xf numFmtId="0" fontId="26" fillId="0" borderId="8" xfId="0" applyNumberFormat="1" applyFont="1" applyFill="1" applyBorder="1" applyAlignment="1">
      <alignment horizontal="left"/>
    </xf>
    <xf numFmtId="0" fontId="39" fillId="0" borderId="1" xfId="0" applyFont="1" applyFill="1" applyBorder="1" applyAlignment="1">
      <alignment horizontal="center"/>
    </xf>
    <xf numFmtId="0" fontId="26" fillId="0" borderId="1" xfId="0" applyFont="1" applyBorder="1"/>
    <xf numFmtId="0" fontId="26" fillId="0" borderId="7" xfId="0" applyNumberFormat="1" applyFont="1" applyBorder="1" applyAlignment="1">
      <alignment horizontal="center"/>
    </xf>
    <xf numFmtId="169" fontId="26" fillId="0" borderId="1" xfId="0" applyNumberFormat="1" applyFont="1" applyBorder="1" applyAlignment="1"/>
    <xf numFmtId="0" fontId="39" fillId="0" borderId="1" xfId="0" applyFont="1" applyFill="1" applyBorder="1" applyAlignment="1"/>
    <xf numFmtId="0" fontId="26" fillId="0" borderId="9" xfId="0" applyNumberFormat="1" applyFont="1" applyFill="1" applyBorder="1" applyAlignment="1">
      <alignment horizontal="center"/>
    </xf>
    <xf numFmtId="0" fontId="26" fillId="0" borderId="8" xfId="0" applyNumberFormat="1" applyFont="1" applyFill="1" applyBorder="1" applyAlignment="1">
      <alignment horizontal="center"/>
    </xf>
    <xf numFmtId="0" fontId="33" fillId="0" borderId="9" xfId="0" applyFont="1" applyBorder="1"/>
    <xf numFmtId="0" fontId="33" fillId="0" borderId="1" xfId="0" applyFont="1" applyBorder="1"/>
    <xf numFmtId="0" fontId="33" fillId="0" borderId="10" xfId="0" applyFont="1" applyBorder="1"/>
    <xf numFmtId="0" fontId="33" fillId="0" borderId="0" xfId="0" applyFont="1" applyFill="1" applyBorder="1" applyAlignment="1">
      <alignment horizontal="center" wrapText="1"/>
    </xf>
    <xf numFmtId="0" fontId="36" fillId="0" borderId="0" xfId="0" applyFont="1" applyFill="1" applyBorder="1" applyAlignment="1">
      <alignment horizontal="center" wrapText="1"/>
    </xf>
    <xf numFmtId="0" fontId="33" fillId="0" borderId="7" xfId="0" applyFont="1" applyBorder="1"/>
    <xf numFmtId="0" fontId="33" fillId="0" borderId="8" xfId="0" applyFont="1" applyBorder="1"/>
    <xf numFmtId="0" fontId="43" fillId="0" borderId="0" xfId="0" applyFont="1"/>
    <xf numFmtId="0" fontId="32" fillId="5" borderId="11" xfId="0" applyFont="1" applyFill="1" applyBorder="1" applyAlignment="1">
      <alignment horizontal="center" wrapText="1"/>
    </xf>
    <xf numFmtId="0" fontId="32" fillId="0" borderId="1" xfId="0" applyFont="1" applyBorder="1"/>
    <xf numFmtId="0" fontId="41" fillId="5" borderId="12" xfId="0" applyFont="1" applyFill="1" applyBorder="1" applyAlignment="1">
      <alignment horizontal="center"/>
    </xf>
    <xf numFmtId="0" fontId="41" fillId="5" borderId="11" xfId="0" applyFont="1" applyFill="1" applyBorder="1" applyAlignment="1">
      <alignment horizontal="center"/>
    </xf>
    <xf numFmtId="0" fontId="22" fillId="3" borderId="0" xfId="0" applyFont="1" applyFill="1" applyBorder="1" applyAlignment="1">
      <alignment horizontal="center"/>
    </xf>
    <xf numFmtId="0" fontId="37" fillId="5" borderId="11" xfId="0" applyFont="1" applyFill="1" applyBorder="1" applyAlignment="1">
      <alignment horizontal="center"/>
    </xf>
    <xf numFmtId="0" fontId="37" fillId="5" borderId="13" xfId="0" applyFont="1" applyFill="1" applyBorder="1" applyAlignment="1">
      <alignment horizontal="center"/>
    </xf>
    <xf numFmtId="0" fontId="33" fillId="0" borderId="0" xfId="0" applyFont="1" applyFill="1" applyBorder="1" applyAlignment="1">
      <alignment horizontal="center"/>
    </xf>
    <xf numFmtId="0" fontId="33" fillId="0" borderId="9" xfId="0" applyFont="1" applyFill="1" applyBorder="1" applyAlignment="1">
      <alignment horizontal="center"/>
    </xf>
    <xf numFmtId="0" fontId="8" fillId="5" borderId="11" xfId="0" applyFont="1" applyFill="1" applyBorder="1" applyAlignment="1">
      <alignment horizontal="center"/>
    </xf>
    <xf numFmtId="3" fontId="3" fillId="0" borderId="0" xfId="0" applyNumberFormat="1" applyFont="1" applyAlignment="1">
      <alignment horizontal="left"/>
    </xf>
    <xf numFmtId="3" fontId="6" fillId="0" borderId="0" xfId="0" applyNumberFormat="1" applyFont="1" applyBorder="1" applyAlignment="1">
      <alignment horizontal="left"/>
    </xf>
    <xf numFmtId="3" fontId="6" fillId="0" borderId="4" xfId="0" applyNumberFormat="1" applyFont="1" applyBorder="1" applyAlignment="1">
      <alignment horizontal="left"/>
    </xf>
    <xf numFmtId="3" fontId="6" fillId="0" borderId="0" xfId="0" applyNumberFormat="1" applyFont="1" applyFill="1" applyAlignment="1">
      <alignment horizontal="left"/>
    </xf>
    <xf numFmtId="0" fontId="6" fillId="0" borderId="0" xfId="0" applyFont="1" applyFill="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27" fillId="0" borderId="0" xfId="0" applyFont="1" applyFill="1" applyBorder="1" applyAlignment="1">
      <alignment horizontal="center"/>
    </xf>
    <xf numFmtId="37" fontId="26" fillId="0" borderId="0" xfId="0" applyNumberFormat="1" applyFont="1" applyFill="1" applyBorder="1" applyAlignment="1">
      <alignment horizontal="left"/>
    </xf>
    <xf numFmtId="0" fontId="44" fillId="0" borderId="0" xfId="0" applyFont="1" applyFill="1" applyAlignment="1"/>
    <xf numFmtId="0" fontId="19" fillId="0" borderId="0" xfId="0" applyFont="1" applyFill="1" applyBorder="1" applyAlignment="1">
      <alignment horizontal="center"/>
    </xf>
    <xf numFmtId="0" fontId="8" fillId="0" borderId="0" xfId="0" applyFont="1"/>
    <xf numFmtId="0" fontId="33" fillId="0" borderId="9" xfId="0" applyFont="1" applyBorder="1" applyAlignment="1">
      <alignment horizontal="center"/>
    </xf>
    <xf numFmtId="164" fontId="33" fillId="0" borderId="0" xfId="1" applyNumberFormat="1" applyFont="1" applyBorder="1"/>
    <xf numFmtId="0" fontId="33" fillId="0" borderId="1" xfId="0" applyFont="1" applyBorder="1" applyAlignment="1">
      <alignment horizontal="center"/>
    </xf>
    <xf numFmtId="164" fontId="33" fillId="0" borderId="0" xfId="0" applyNumberFormat="1" applyFont="1" applyBorder="1"/>
    <xf numFmtId="164" fontId="33" fillId="0" borderId="0" xfId="1" applyNumberFormat="1" applyFont="1"/>
    <xf numFmtId="0" fontId="26" fillId="0" borderId="0" xfId="0" applyFont="1"/>
    <xf numFmtId="0" fontId="26" fillId="0" borderId="0" xfId="0" applyFont="1" applyAlignment="1">
      <alignment horizontal="center"/>
    </xf>
    <xf numFmtId="0" fontId="33" fillId="0" borderId="10" xfId="0" applyFont="1" applyFill="1" applyBorder="1"/>
    <xf numFmtId="164" fontId="33" fillId="0" borderId="0" xfId="1" applyNumberFormat="1" applyFont="1" applyFill="1" applyBorder="1"/>
    <xf numFmtId="164" fontId="33" fillId="0" borderId="9" xfId="1" applyNumberFormat="1" applyFont="1" applyFill="1" applyBorder="1"/>
    <xf numFmtId="37" fontId="17" fillId="0" borderId="0" xfId="0" applyNumberFormat="1" applyFont="1" applyFill="1" applyBorder="1" applyAlignment="1">
      <alignment horizontal="left"/>
    </xf>
    <xf numFmtId="0" fontId="17" fillId="0" borderId="0" xfId="0" applyFont="1" applyFill="1" applyBorder="1" applyAlignment="1"/>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3" fillId="0" borderId="13" xfId="0" applyFont="1" applyBorder="1"/>
    <xf numFmtId="0" fontId="45" fillId="0" borderId="0" xfId="0" applyFont="1" applyAlignment="1">
      <alignment horizontal="center"/>
    </xf>
    <xf numFmtId="0" fontId="45" fillId="0" borderId="0" xfId="0" applyFont="1"/>
    <xf numFmtId="0" fontId="46" fillId="0" borderId="0" xfId="0" applyFont="1"/>
    <xf numFmtId="0" fontId="47" fillId="0" borderId="0" xfId="0" applyFont="1" applyAlignment="1">
      <alignment horizontal="left"/>
    </xf>
    <xf numFmtId="164" fontId="45" fillId="0" borderId="0" xfId="1" applyNumberFormat="1" applyFont="1"/>
    <xf numFmtId="166" fontId="45" fillId="0" borderId="0" xfId="9" applyNumberFormat="1" applyFont="1"/>
    <xf numFmtId="0" fontId="45" fillId="0" borderId="0" xfId="0" applyFont="1" applyAlignment="1">
      <alignment horizontal="left"/>
    </xf>
    <xf numFmtId="164" fontId="45" fillId="0" borderId="0" xfId="0" applyNumberFormat="1" applyFont="1"/>
    <xf numFmtId="166" fontId="45" fillId="0" borderId="0" xfId="0" applyNumberFormat="1" applyFont="1"/>
    <xf numFmtId="166" fontId="45" fillId="0" borderId="0" xfId="9" applyNumberFormat="1" applyFont="1" applyAlignment="1">
      <alignment horizontal="left"/>
    </xf>
    <xf numFmtId="164" fontId="45" fillId="0" borderId="0" xfId="0" applyNumberFormat="1" applyFont="1" applyAlignment="1">
      <alignment horizontal="left"/>
    </xf>
    <xf numFmtId="164" fontId="45" fillId="0" borderId="0" xfId="0" applyNumberFormat="1" applyFont="1" applyAlignment="1">
      <alignment horizontal="center"/>
    </xf>
    <xf numFmtId="172" fontId="45" fillId="0" borderId="0" xfId="0" applyNumberFormat="1" applyFont="1"/>
    <xf numFmtId="166" fontId="45" fillId="0" borderId="0" xfId="0" applyNumberFormat="1" applyFont="1" applyAlignment="1">
      <alignment horizontal="center"/>
    </xf>
    <xf numFmtId="0" fontId="48" fillId="3" borderId="0" xfId="0" applyFont="1" applyFill="1"/>
    <xf numFmtId="172" fontId="45" fillId="4" borderId="0" xfId="18" applyNumberFormat="1" applyFont="1" applyFill="1"/>
    <xf numFmtId="166" fontId="45" fillId="0" borderId="0" xfId="9" applyNumberFormat="1" applyFont="1" applyFill="1" applyAlignment="1">
      <alignment horizontal="left"/>
    </xf>
    <xf numFmtId="0" fontId="45" fillId="0" borderId="0" xfId="0" applyFont="1" applyFill="1"/>
    <xf numFmtId="172" fontId="45" fillId="0" borderId="0" xfId="18" applyNumberFormat="1" applyFont="1" applyFill="1"/>
    <xf numFmtId="164" fontId="45" fillId="0" borderId="0" xfId="0" applyNumberFormat="1" applyFont="1" applyFill="1"/>
    <xf numFmtId="0" fontId="45" fillId="0" borderId="0" xfId="0" applyFont="1" applyBorder="1"/>
    <xf numFmtId="0" fontId="45" fillId="0" borderId="0" xfId="0" applyNumberFormat="1" applyFont="1" applyAlignment="1">
      <alignment horizontal="left"/>
    </xf>
    <xf numFmtId="3" fontId="5" fillId="0" borderId="0" xfId="0" applyNumberFormat="1" applyFont="1" applyAlignment="1">
      <alignment horizontal="center"/>
    </xf>
    <xf numFmtId="0" fontId="40" fillId="0" borderId="0" xfId="0" applyFont="1" applyAlignment="1">
      <alignment horizontal="center"/>
    </xf>
    <xf numFmtId="0" fontId="33" fillId="0" borderId="0" xfId="0" applyFont="1" applyAlignment="1">
      <alignment horizontal="right"/>
    </xf>
    <xf numFmtId="0" fontId="10" fillId="0" borderId="9" xfId="0" applyFont="1" applyBorder="1"/>
    <xf numFmtId="0" fontId="5" fillId="6" borderId="11" xfId="0" applyFont="1" applyFill="1" applyBorder="1" applyAlignment="1"/>
    <xf numFmtId="0" fontId="5" fillId="6" borderId="11" xfId="0" applyFont="1" applyFill="1" applyBorder="1" applyAlignment="1">
      <alignment horizontal="center"/>
    </xf>
    <xf numFmtId="0" fontId="5" fillId="6" borderId="13" xfId="0" applyFont="1" applyFill="1" applyBorder="1"/>
    <xf numFmtId="0" fontId="18" fillId="6" borderId="1" xfId="0" applyFont="1" applyFill="1" applyBorder="1" applyAlignment="1"/>
    <xf numFmtId="0" fontId="10" fillId="6" borderId="1" xfId="0" applyFont="1" applyFill="1" applyBorder="1" applyAlignment="1"/>
    <xf numFmtId="0" fontId="18" fillId="6" borderId="1" xfId="0" applyNumberFormat="1" applyFont="1" applyFill="1" applyBorder="1" applyAlignment="1">
      <alignment horizontal="center"/>
    </xf>
    <xf numFmtId="0" fontId="3" fillId="6" borderId="8" xfId="0" applyFont="1" applyFill="1" applyBorder="1" applyAlignment="1">
      <alignment horizontal="center" wrapText="1"/>
    </xf>
    <xf numFmtId="0" fontId="28" fillId="6" borderId="12" xfId="0" applyFont="1" applyFill="1" applyBorder="1" applyAlignment="1">
      <alignment horizontal="left"/>
    </xf>
    <xf numFmtId="0" fontId="15" fillId="0" borderId="0" xfId="0" applyFont="1" applyAlignment="1">
      <alignment horizontal="center"/>
    </xf>
    <xf numFmtId="0" fontId="6" fillId="0" borderId="0" xfId="0" applyFont="1" applyFill="1"/>
    <xf numFmtId="0" fontId="0" fillId="0" borderId="0" xfId="0" applyFill="1" applyAlignment="1">
      <alignment wrapText="1"/>
    </xf>
    <xf numFmtId="37" fontId="0" fillId="0" borderId="0" xfId="0" applyNumberFormat="1" applyFill="1"/>
    <xf numFmtId="37" fontId="0" fillId="0" borderId="0" xfId="0" applyNumberFormat="1" applyFill="1" applyAlignment="1">
      <alignment horizontal="right" wrapText="1"/>
    </xf>
    <xf numFmtId="0" fontId="4" fillId="0" borderId="0" xfId="0" applyFont="1" applyFill="1"/>
    <xf numFmtId="0" fontId="34" fillId="0" borderId="0" xfId="0" applyFont="1" applyAlignment="1">
      <alignment horizontal="right"/>
    </xf>
    <xf numFmtId="0" fontId="2" fillId="0" borderId="0" xfId="0" applyFont="1" applyAlignment="1"/>
    <xf numFmtId="0" fontId="0" fillId="0" borderId="0" xfId="0" applyAlignment="1">
      <alignment horizontal="left"/>
    </xf>
    <xf numFmtId="0" fontId="51" fillId="0" borderId="0" xfId="0" applyFont="1"/>
    <xf numFmtId="0" fontId="51" fillId="0" borderId="0" xfId="0" applyFont="1" applyAlignment="1"/>
    <xf numFmtId="0" fontId="0" fillId="0" borderId="0" xfId="0" applyAlignment="1">
      <alignment horizontal="left" vertical="center"/>
    </xf>
    <xf numFmtId="0" fontId="12" fillId="0" borderId="0" xfId="0" applyFont="1" applyFill="1" applyAlignment="1"/>
    <xf numFmtId="0" fontId="12" fillId="0" borderId="0" xfId="0" applyFont="1"/>
    <xf numFmtId="0" fontId="12" fillId="0" borderId="0" xfId="0" applyFont="1" applyAlignment="1"/>
    <xf numFmtId="164" fontId="0" fillId="0" borderId="0" xfId="1" applyNumberFormat="1" applyFont="1" applyAlignment="1"/>
    <xf numFmtId="164" fontId="1" fillId="4" borderId="0" xfId="1" applyNumberFormat="1" applyFill="1" applyAlignment="1"/>
    <xf numFmtId="164" fontId="1" fillId="4" borderId="0" xfId="1" applyNumberFormat="1" applyFill="1" applyAlignment="1">
      <alignment wrapText="1"/>
    </xf>
    <xf numFmtId="164" fontId="1" fillId="4" borderId="0" xfId="1" applyNumberFormat="1" applyFill="1" applyAlignment="1">
      <alignment vertical="center" wrapText="1"/>
    </xf>
    <xf numFmtId="164" fontId="0" fillId="4" borderId="0" xfId="1" applyNumberFormat="1" applyFont="1" applyFill="1" applyAlignment="1"/>
    <xf numFmtId="164" fontId="0" fillId="0" borderId="0" xfId="1" applyNumberFormat="1" applyFont="1" applyFill="1" applyAlignment="1"/>
    <xf numFmtId="164" fontId="0" fillId="0" borderId="0" xfId="1" applyNumberFormat="1" applyFont="1" applyFill="1" applyBorder="1" applyAlignment="1"/>
    <xf numFmtId="3" fontId="33" fillId="0" borderId="0" xfId="0" applyNumberFormat="1" applyFont="1" applyBorder="1" applyAlignment="1">
      <alignment horizontal="center"/>
    </xf>
    <xf numFmtId="0" fontId="6" fillId="0" borderId="0" xfId="0" applyNumberFormat="1" applyFont="1" applyFill="1" applyBorder="1" applyAlignment="1">
      <alignment horizontal="left"/>
    </xf>
    <xf numFmtId="0" fontId="6" fillId="0" borderId="4" xfId="0" applyNumberFormat="1" applyFont="1" applyFill="1" applyBorder="1" applyAlignment="1">
      <alignment horizontal="left"/>
    </xf>
    <xf numFmtId="0" fontId="0" fillId="0" borderId="1" xfId="0" applyFill="1" applyBorder="1"/>
    <xf numFmtId="0" fontId="33" fillId="0" borderId="1" xfId="0" applyFont="1" applyFill="1" applyBorder="1"/>
    <xf numFmtId="164" fontId="1" fillId="0" borderId="0" xfId="1" applyNumberFormat="1"/>
    <xf numFmtId="0" fontId="6" fillId="0" borderId="0" xfId="0" applyFont="1" applyFill="1" applyAlignment="1">
      <alignment horizontal="left"/>
    </xf>
    <xf numFmtId="167" fontId="33" fillId="0" borderId="1" xfId="18" applyNumberFormat="1" applyFont="1" applyBorder="1" applyAlignment="1">
      <alignment horizontal="center"/>
    </xf>
    <xf numFmtId="3" fontId="26" fillId="0" borderId="9" xfId="0" applyNumberFormat="1" applyFont="1" applyFill="1" applyBorder="1" applyAlignment="1">
      <alignment horizontal="left"/>
    </xf>
    <xf numFmtId="0" fontId="26" fillId="0" borderId="9" xfId="0" applyFont="1" applyBorder="1" applyAlignment="1">
      <alignment horizontal="left"/>
    </xf>
    <xf numFmtId="3" fontId="26" fillId="0" borderId="9" xfId="0" applyNumberFormat="1" applyFont="1" applyBorder="1" applyAlignment="1">
      <alignment horizontal="left"/>
    </xf>
    <xf numFmtId="0" fontId="26" fillId="0" borderId="1" xfId="0" applyNumberFormat="1" applyFont="1" applyBorder="1" applyAlignment="1">
      <alignment horizontal="left"/>
    </xf>
    <xf numFmtId="0" fontId="39" fillId="0" borderId="1" xfId="0" applyNumberFormat="1" applyFont="1" applyBorder="1" applyAlignment="1">
      <alignment horizontal="center"/>
    </xf>
    <xf numFmtId="164" fontId="33" fillId="0" borderId="1" xfId="0" applyNumberFormat="1" applyFont="1" applyBorder="1" applyAlignment="1">
      <alignment horizontal="center"/>
    </xf>
    <xf numFmtId="165" fontId="6" fillId="0" borderId="0" xfId="0" applyNumberFormat="1" applyFont="1" applyFill="1" applyAlignment="1"/>
    <xf numFmtId="0" fontId="32" fillId="5" borderId="12" xfId="0" applyFont="1" applyFill="1" applyBorder="1" applyAlignment="1">
      <alignment horizontal="center" wrapText="1"/>
    </xf>
    <xf numFmtId="0" fontId="33" fillId="4" borderId="10" xfId="0" applyFont="1" applyFill="1" applyBorder="1" applyAlignment="1">
      <alignment horizontal="center"/>
    </xf>
    <xf numFmtId="0" fontId="33" fillId="0" borderId="9"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xf numFmtId="0" fontId="0" fillId="0" borderId="0" xfId="0" applyFill="1" applyAlignment="1">
      <alignment horizontal="right"/>
    </xf>
    <xf numFmtId="0" fontId="53" fillId="0" borderId="0" xfId="0" applyFont="1" applyFill="1" applyAlignment="1">
      <alignment vertical="center" wrapText="1"/>
    </xf>
    <xf numFmtId="0" fontId="54" fillId="0" borderId="0" xfId="0" applyFont="1" applyFill="1"/>
    <xf numFmtId="164" fontId="12" fillId="0" borderId="0" xfId="1" applyNumberFormat="1" applyFont="1" applyFill="1" applyBorder="1" applyAlignment="1"/>
    <xf numFmtId="164" fontId="33" fillId="0" borderId="0" xfId="0" applyNumberFormat="1" applyFont="1" applyBorder="1" applyAlignment="1">
      <alignment horizontal="center"/>
    </xf>
    <xf numFmtId="0" fontId="12" fillId="0" borderId="0" xfId="0" applyFont="1" applyBorder="1"/>
    <xf numFmtId="0" fontId="2" fillId="0" borderId="0" xfId="0" applyFont="1" applyBorder="1"/>
    <xf numFmtId="164" fontId="38" fillId="0" borderId="0" xfId="1" applyNumberFormat="1" applyFont="1" applyBorder="1"/>
    <xf numFmtId="164" fontId="36" fillId="0" borderId="7" xfId="1" applyNumberFormat="1" applyFont="1" applyBorder="1" applyAlignment="1">
      <alignment horizontal="center"/>
    </xf>
    <xf numFmtId="164" fontId="0" fillId="0" borderId="0" xfId="0" applyNumberFormat="1" applyFill="1"/>
    <xf numFmtId="164" fontId="54" fillId="0" borderId="0" xfId="0" applyNumberFormat="1" applyFont="1" applyFill="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55" fillId="0" borderId="0" xfId="0" applyFont="1" applyAlignment="1">
      <alignment horizontal="center"/>
    </xf>
    <xf numFmtId="0" fontId="56" fillId="0" borderId="0" xfId="0" applyFont="1"/>
    <xf numFmtId="0" fontId="47" fillId="0" borderId="0" xfId="0" applyFont="1" applyFill="1" applyAlignment="1">
      <alignment horizontal="left"/>
    </xf>
    <xf numFmtId="0" fontId="45" fillId="0" borderId="0" xfId="0" applyFont="1" applyFill="1" applyAlignment="1">
      <alignment horizontal="center"/>
    </xf>
    <xf numFmtId="0" fontId="57" fillId="0" borderId="0" xfId="0" applyFont="1" applyFill="1" applyAlignment="1">
      <alignment horizontal="left"/>
    </xf>
    <xf numFmtId="0" fontId="45" fillId="0" borderId="0" xfId="0" applyFont="1" applyFill="1" applyAlignment="1">
      <alignment horizontal="left"/>
    </xf>
    <xf numFmtId="164" fontId="36" fillId="0" borderId="0" xfId="1" applyNumberFormat="1" applyFont="1" applyFill="1" applyBorder="1" applyAlignment="1">
      <alignment horizontal="center" wrapText="1"/>
    </xf>
    <xf numFmtId="0" fontId="33" fillId="0" borderId="11" xfId="0" applyFont="1" applyBorder="1"/>
    <xf numFmtId="0" fontId="42" fillId="0" borderId="0" xfId="0" applyNumberFormat="1" applyFont="1" applyFill="1" applyBorder="1" applyAlignment="1">
      <alignment horizontal="left"/>
    </xf>
    <xf numFmtId="164" fontId="57" fillId="0" borderId="0" xfId="0" applyNumberFormat="1" applyFont="1" applyFill="1"/>
    <xf numFmtId="0" fontId="0" fillId="0" borderId="0" xfId="0" applyFill="1" applyAlignment="1"/>
    <xf numFmtId="0" fontId="6" fillId="0" borderId="2" xfId="0" applyFont="1" applyFill="1" applyBorder="1" applyAlignment="1"/>
    <xf numFmtId="0" fontId="3" fillId="0" borderId="3" xfId="0" applyFont="1" applyFill="1" applyBorder="1"/>
    <xf numFmtId="0" fontId="36" fillId="0" borderId="10" xfId="0" applyFont="1" applyBorder="1" applyAlignment="1">
      <alignment horizontal="center"/>
    </xf>
    <xf numFmtId="0" fontId="0" fillId="0" borderId="0" xfId="0" applyBorder="1" applyAlignment="1">
      <alignment horizontal="center"/>
    </xf>
    <xf numFmtId="0" fontId="36" fillId="4" borderId="10" xfId="0" applyFont="1" applyFill="1" applyBorder="1" applyAlignment="1">
      <alignment horizontal="center"/>
    </xf>
    <xf numFmtId="37" fontId="12" fillId="0" borderId="0" xfId="0" applyNumberFormat="1" applyFont="1" applyFill="1"/>
    <xf numFmtId="0" fontId="0" fillId="0" borderId="10" xfId="0" applyFill="1" applyBorder="1"/>
    <xf numFmtId="164" fontId="58" fillId="0" borderId="0" xfId="1" applyNumberFormat="1" applyFont="1" applyFill="1" applyAlignment="1"/>
    <xf numFmtId="0" fontId="58" fillId="0" borderId="0" xfId="0" applyFont="1" applyFill="1"/>
    <xf numFmtId="0" fontId="40" fillId="0" borderId="0" xfId="0" applyFont="1" applyFill="1" applyBorder="1" applyAlignment="1">
      <alignment horizontal="center"/>
    </xf>
    <xf numFmtId="0" fontId="0" fillId="0" borderId="0" xfId="0" applyFill="1" applyBorder="1" applyAlignment="1">
      <alignment horizontal="right"/>
    </xf>
    <xf numFmtId="164" fontId="0" fillId="0" borderId="0" xfId="1" applyNumberFormat="1" applyFont="1" applyFill="1" applyBorder="1"/>
    <xf numFmtId="166" fontId="45" fillId="0" borderId="0" xfId="0" applyNumberFormat="1" applyFont="1" applyFill="1"/>
    <xf numFmtId="0" fontId="11" fillId="0" borderId="0" xfId="0" applyFont="1" applyAlignment="1">
      <alignment horizontal="center"/>
    </xf>
    <xf numFmtId="0" fontId="26" fillId="0" borderId="0" xfId="0" applyNumberFormat="1" applyFont="1" applyFill="1" applyAlignment="1">
      <alignment horizontal="center"/>
    </xf>
    <xf numFmtId="0" fontId="38" fillId="0" borderId="0" xfId="0" applyNumberFormat="1" applyFont="1" applyFill="1" applyBorder="1" applyAlignment="1">
      <alignment horizontal="center"/>
    </xf>
    <xf numFmtId="164" fontId="5" fillId="0" borderId="0" xfId="1" applyNumberFormat="1" applyFont="1" applyFill="1"/>
    <xf numFmtId="0" fontId="2" fillId="0" borderId="0" xfId="0" applyFont="1" applyAlignment="1">
      <alignment horizontal="center"/>
    </xf>
    <xf numFmtId="3" fontId="38" fillId="0" borderId="0" xfId="0" applyNumberFormat="1" applyFont="1" applyBorder="1" applyAlignment="1"/>
    <xf numFmtId="0" fontId="36" fillId="0" borderId="10" xfId="0" applyFont="1" applyBorder="1"/>
    <xf numFmtId="0" fontId="27" fillId="0" borderId="0" xfId="0" applyNumberFormat="1" applyFont="1" applyFill="1"/>
    <xf numFmtId="0" fontId="11" fillId="0" borderId="0" xfId="0" applyFont="1" applyFill="1" applyAlignment="1"/>
    <xf numFmtId="0" fontId="33" fillId="0" borderId="12" xfId="0" applyFont="1" applyFill="1" applyBorder="1"/>
    <xf numFmtId="0" fontId="0" fillId="0" borderId="0" xfId="0" applyFill="1" applyAlignment="1">
      <alignment horizontal="center" vertical="top"/>
    </xf>
    <xf numFmtId="3" fontId="3" fillId="0" borderId="0" xfId="0" applyNumberFormat="1" applyFont="1" applyBorder="1" applyAlignment="1">
      <alignment horizontal="right"/>
    </xf>
    <xf numFmtId="0" fontId="0" fillId="0" borderId="0" xfId="0" applyFill="1" applyAlignment="1">
      <alignment horizontal="center"/>
    </xf>
    <xf numFmtId="0" fontId="2" fillId="0" borderId="0" xfId="0" applyFont="1" applyFill="1"/>
    <xf numFmtId="0" fontId="2" fillId="0" borderId="0" xfId="0" applyFont="1" applyFill="1" applyBorder="1"/>
    <xf numFmtId="0" fontId="12" fillId="0" borderId="0" xfId="0" applyFont="1" applyFill="1" applyBorder="1"/>
    <xf numFmtId="0" fontId="9" fillId="0" borderId="0" xfId="0" applyFont="1" applyFill="1" applyAlignment="1"/>
    <xf numFmtId="0" fontId="9" fillId="0" borderId="0" xfId="0" applyFont="1" applyFill="1" applyBorder="1" applyAlignment="1"/>
    <xf numFmtId="0" fontId="5" fillId="0" borderId="0" xfId="0" applyFont="1" applyFill="1" applyAlignment="1">
      <alignment wrapText="1"/>
    </xf>
    <xf numFmtId="0" fontId="48" fillId="0" borderId="0" xfId="0" applyFont="1" applyFill="1"/>
    <xf numFmtId="0" fontId="3" fillId="0" borderId="0" xfId="0" applyFont="1" applyFill="1" applyAlignment="1">
      <alignment horizontal="center"/>
    </xf>
    <xf numFmtId="0" fontId="49" fillId="0" borderId="0" xfId="0" applyFont="1" applyAlignment="1"/>
    <xf numFmtId="0" fontId="45" fillId="0" borderId="0" xfId="0" applyFont="1" applyAlignment="1">
      <alignment horizontal="center" vertical="top"/>
    </xf>
    <xf numFmtId="0" fontId="45" fillId="0" borderId="0" xfId="0" applyFont="1" applyFill="1" applyAlignment="1">
      <alignment horizontal="center" vertical="top"/>
    </xf>
    <xf numFmtId="3" fontId="6" fillId="0" borderId="3" xfId="0" applyNumberFormat="1" applyFont="1" applyFill="1" applyBorder="1" applyAlignment="1"/>
    <xf numFmtId="0" fontId="6" fillId="0" borderId="4" xfId="0" applyFont="1" applyFill="1" applyBorder="1" applyAlignment="1">
      <alignment horizontal="left"/>
    </xf>
    <xf numFmtId="3" fontId="3" fillId="0" borderId="3" xfId="0" applyNumberFormat="1" applyFont="1" applyFill="1" applyBorder="1" applyAlignment="1"/>
    <xf numFmtId="3" fontId="3" fillId="0" borderId="3" xfId="0" applyNumberFormat="1" applyFont="1" applyFill="1" applyBorder="1"/>
    <xf numFmtId="167" fontId="6" fillId="0" borderId="0" xfId="0" applyNumberFormat="1" applyFont="1" applyFill="1" applyAlignment="1">
      <alignment horizontal="left"/>
    </xf>
    <xf numFmtId="3" fontId="15" fillId="0" borderId="5" xfId="0" applyNumberFormat="1" applyFont="1" applyFill="1" applyBorder="1" applyAlignment="1"/>
    <xf numFmtId="0" fontId="35" fillId="0" borderId="0" xfId="0" applyFont="1" applyFill="1" applyAlignment="1"/>
    <xf numFmtId="0" fontId="15" fillId="0" borderId="0" xfId="0" applyNumberFormat="1" applyFont="1" applyFill="1" applyBorder="1" applyAlignment="1">
      <alignment horizontal="center"/>
    </xf>
    <xf numFmtId="0" fontId="22" fillId="0" borderId="0" xfId="0" applyNumberFormat="1" applyFont="1" applyFill="1" applyAlignment="1">
      <alignment horizontal="left"/>
    </xf>
    <xf numFmtId="0" fontId="3" fillId="0" borderId="2" xfId="0" applyNumberFormat="1" applyFont="1" applyFill="1" applyBorder="1" applyAlignment="1">
      <alignment horizontal="left"/>
    </xf>
    <xf numFmtId="0" fontId="6" fillId="0" borderId="0" xfId="0" applyNumberFormat="1" applyFont="1" applyFill="1" applyAlignment="1">
      <alignment horizontal="right"/>
    </xf>
    <xf numFmtId="0" fontId="3" fillId="0" borderId="0" xfId="0" applyNumberFormat="1" applyFont="1" applyFill="1" applyAlignment="1">
      <alignment horizontal="left"/>
    </xf>
    <xf numFmtId="0" fontId="59" fillId="0" borderId="0" xfId="0" applyNumberFormat="1" applyFont="1" applyFill="1" applyAlignment="1">
      <alignment horizontal="left"/>
    </xf>
    <xf numFmtId="0" fontId="3" fillId="0" borderId="2" xfId="0" applyFont="1" applyFill="1" applyBorder="1"/>
    <xf numFmtId="0" fontId="3" fillId="0" borderId="0" xfId="0" applyNumberFormat="1" applyFont="1" applyFill="1" applyAlignment="1">
      <alignment horizontal="right"/>
    </xf>
    <xf numFmtId="0" fontId="6" fillId="0" borderId="0" xfId="0" applyNumberFormat="1" applyFont="1" applyAlignment="1">
      <alignment horizontal="right"/>
    </xf>
    <xf numFmtId="0" fontId="3" fillId="0" borderId="3" xfId="0" applyNumberFormat="1" applyFont="1" applyBorder="1" applyAlignment="1">
      <alignment horizontal="left"/>
    </xf>
    <xf numFmtId="0" fontId="22" fillId="3" borderId="0" xfId="0" applyFont="1" applyFill="1" applyAlignment="1">
      <alignment horizontal="left"/>
    </xf>
    <xf numFmtId="0" fontId="22" fillId="3" borderId="0" xfId="0" applyFont="1" applyFill="1" applyAlignment="1"/>
    <xf numFmtId="0" fontId="3" fillId="3" borderId="0" xfId="0" applyNumberFormat="1" applyFont="1" applyFill="1" applyAlignment="1">
      <alignment horizontal="left"/>
    </xf>
    <xf numFmtId="0" fontId="6" fillId="3" borderId="0" xfId="0" applyFont="1" applyFill="1" applyAlignment="1"/>
    <xf numFmtId="0" fontId="6" fillId="0" borderId="2" xfId="0" applyFont="1" applyBorder="1" applyAlignment="1"/>
    <xf numFmtId="0" fontId="6" fillId="0" borderId="4" xfId="0" applyNumberFormat="1" applyFont="1" applyBorder="1" applyAlignment="1">
      <alignment horizontal="center"/>
    </xf>
    <xf numFmtId="0" fontId="6" fillId="0" borderId="3" xfId="0" applyFont="1" applyBorder="1"/>
    <xf numFmtId="0" fontId="60" fillId="0" borderId="10" xfId="0" applyFont="1" applyFill="1" applyBorder="1"/>
    <xf numFmtId="3" fontId="3" fillId="0" borderId="0" xfId="0" applyNumberFormat="1" applyFont="1" applyFill="1" applyAlignment="1">
      <alignment horizontal="right"/>
    </xf>
    <xf numFmtId="10" fontId="6" fillId="0" borderId="0" xfId="0" applyNumberFormat="1" applyFont="1" applyFill="1"/>
    <xf numFmtId="37" fontId="3" fillId="0" borderId="0" xfId="0" applyNumberFormat="1" applyFont="1" applyBorder="1" applyAlignment="1">
      <alignment horizontal="right"/>
    </xf>
    <xf numFmtId="166" fontId="12" fillId="0" borderId="0" xfId="9" applyNumberFormat="1" applyFont="1"/>
    <xf numFmtId="3" fontId="7" fillId="0" borderId="0" xfId="0" applyNumberFormat="1" applyFont="1" applyFill="1" applyBorder="1" applyAlignment="1">
      <alignment horizontal="right"/>
    </xf>
    <xf numFmtId="4" fontId="7" fillId="0" borderId="0" xfId="0" applyNumberFormat="1" applyFont="1" applyFill="1" applyAlignment="1">
      <alignment horizontal="right"/>
    </xf>
    <xf numFmtId="3" fontId="7" fillId="0" borderId="0" xfId="0" applyNumberFormat="1" applyFont="1" applyFill="1" applyAlignment="1">
      <alignment horizontal="right"/>
    </xf>
    <xf numFmtId="0" fontId="12" fillId="0" borderId="0" xfId="0" applyFont="1" applyFill="1" applyAlignment="1">
      <alignment wrapText="1"/>
    </xf>
    <xf numFmtId="0" fontId="12" fillId="0" borderId="0" xfId="0" applyFont="1" applyFill="1" applyAlignment="1">
      <alignment vertical="center" wrapText="1"/>
    </xf>
    <xf numFmtId="164" fontId="12" fillId="0" borderId="0" xfId="0" applyNumberFormat="1" applyFont="1" applyFill="1"/>
    <xf numFmtId="0" fontId="12" fillId="0" borderId="0" xfId="0" applyFont="1" applyAlignment="1">
      <alignment horizontal="center"/>
    </xf>
    <xf numFmtId="0" fontId="1" fillId="0" borderId="0" xfId="0" applyFont="1" applyFill="1" applyAlignment="1">
      <alignment horizontal="center"/>
    </xf>
    <xf numFmtId="0" fontId="1" fillId="0" borderId="0" xfId="0" applyFont="1" applyFill="1" applyAlignment="1"/>
    <xf numFmtId="164" fontId="58" fillId="0" borderId="4" xfId="1" applyNumberFormat="1" applyFont="1" applyFill="1" applyBorder="1" applyAlignment="1"/>
    <xf numFmtId="0" fontId="58" fillId="0" borderId="0" xfId="0" applyFont="1" applyFill="1" applyAlignment="1">
      <alignment horizontal="center"/>
    </xf>
    <xf numFmtId="0" fontId="58" fillId="0" borderId="0" xfId="0" applyFont="1" applyFill="1" applyAlignment="1"/>
    <xf numFmtId="0" fontId="12" fillId="0" borderId="0" xfId="0" applyFont="1" applyFill="1" applyAlignment="1">
      <alignment horizontal="center"/>
    </xf>
    <xf numFmtId="0" fontId="58" fillId="0" borderId="0" xfId="0" applyFont="1"/>
    <xf numFmtId="0" fontId="52" fillId="0" borderId="0" xfId="0" applyFont="1" applyFill="1" applyAlignment="1"/>
    <xf numFmtId="164" fontId="58" fillId="0" borderId="0" xfId="1" applyNumberFormat="1" applyFont="1" applyFill="1" applyBorder="1" applyAlignment="1"/>
    <xf numFmtId="0" fontId="58" fillId="0" borderId="0" xfId="0" applyFont="1" applyFill="1" applyAlignment="1">
      <alignment horizontal="center" vertical="top"/>
    </xf>
    <xf numFmtId="0" fontId="12" fillId="0" borderId="0" xfId="0" applyFont="1" applyFill="1" applyAlignment="1">
      <alignment horizontal="center" vertical="top"/>
    </xf>
    <xf numFmtId="164" fontId="58" fillId="0" borderId="0" xfId="1" applyNumberFormat="1" applyFont="1" applyAlignment="1"/>
    <xf numFmtId="0" fontId="33" fillId="0" borderId="0" xfId="0" applyFont="1" applyFill="1" applyAlignment="1">
      <alignment vertical="center" wrapText="1"/>
    </xf>
    <xf numFmtId="164" fontId="12" fillId="4" borderId="0" xfId="1" applyNumberFormat="1" applyFont="1" applyFill="1" applyBorder="1" applyAlignment="1"/>
    <xf numFmtId="0" fontId="61" fillId="6" borderId="7" xfId="0" applyFont="1" applyFill="1" applyBorder="1" applyAlignment="1">
      <alignment horizontal="left"/>
    </xf>
    <xf numFmtId="0" fontId="3" fillId="0" borderId="3"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NumberFormat="1" applyFont="1" applyFill="1"/>
    <xf numFmtId="0" fontId="15" fillId="0" borderId="5" xfId="0" applyNumberFormat="1" applyFont="1" applyFill="1" applyBorder="1" applyAlignment="1"/>
    <xf numFmtId="0" fontId="15" fillId="0" borderId="0" xfId="0" applyNumberFormat="1" applyFont="1" applyFill="1" applyBorder="1" applyAlignment="1"/>
    <xf numFmtId="0" fontId="10"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3" fontId="6" fillId="0" borderId="4" xfId="0" applyNumberFormat="1" applyFont="1" applyFill="1" applyBorder="1" applyAlignment="1">
      <alignment horizontal="center"/>
    </xf>
    <xf numFmtId="0" fontId="35" fillId="0" borderId="0" xfId="0" applyFont="1" applyFill="1" applyBorder="1"/>
    <xf numFmtId="0" fontId="15" fillId="0" borderId="0" xfId="0" applyFont="1" applyFill="1" applyAlignment="1">
      <alignment horizontal="center"/>
    </xf>
    <xf numFmtId="0" fontId="23" fillId="3" borderId="0" xfId="0" applyNumberFormat="1" applyFont="1" applyFill="1" applyAlignment="1">
      <alignment horizontal="left"/>
    </xf>
    <xf numFmtId="0" fontId="33" fillId="0" borderId="14" xfId="0" applyFont="1" applyFill="1" applyBorder="1" applyAlignment="1">
      <alignment horizontal="center"/>
    </xf>
    <xf numFmtId="166" fontId="45" fillId="4" borderId="0" xfId="9" applyNumberFormat="1" applyFont="1" applyFill="1"/>
    <xf numFmtId="164" fontId="1" fillId="0" borderId="0" xfId="1" applyNumberFormat="1" applyFont="1" applyFill="1" applyBorder="1" applyAlignment="1">
      <alignment horizontal="center"/>
    </xf>
    <xf numFmtId="0" fontId="3" fillId="0" borderId="0" xfId="0" applyFont="1" applyAlignment="1">
      <alignment horizontal="center"/>
    </xf>
    <xf numFmtId="0" fontId="1" fillId="0" borderId="0" xfId="0" applyFont="1"/>
    <xf numFmtId="0" fontId="3" fillId="0" borderId="0" xfId="0" applyFont="1" applyFill="1" applyAlignment="1">
      <alignment horizontal="left"/>
    </xf>
    <xf numFmtId="0" fontId="1" fillId="0" borderId="0" xfId="0" applyFont="1" applyFill="1" applyAlignment="1">
      <alignment horizontal="centerContinuous"/>
    </xf>
    <xf numFmtId="0" fontId="2" fillId="0" borderId="0" xfId="0" applyFont="1"/>
    <xf numFmtId="0" fontId="2" fillId="0" borderId="0" xfId="0" applyFont="1" applyBorder="1" applyAlignment="1">
      <alignment horizontal="center"/>
    </xf>
    <xf numFmtId="0" fontId="34" fillId="0" borderId="0" xfId="0" applyFont="1"/>
    <xf numFmtId="164" fontId="1" fillId="0" borderId="0" xfId="1" applyNumberFormat="1" applyFont="1"/>
    <xf numFmtId="172" fontId="1" fillId="4" borderId="0" xfId="18" applyNumberFormat="1" applyFont="1" applyFill="1"/>
    <xf numFmtId="164" fontId="1" fillId="4" borderId="0" xfId="1" applyNumberFormat="1" applyFont="1" applyFill="1"/>
    <xf numFmtId="0" fontId="1" fillId="0" borderId="0" xfId="0" applyFont="1" applyFill="1"/>
    <xf numFmtId="0" fontId="1" fillId="0" borderId="0" xfId="0" applyFont="1" applyFill="1" applyAlignment="1">
      <alignment horizontal="left"/>
    </xf>
    <xf numFmtId="164" fontId="12" fillId="4" borderId="0" xfId="1" applyNumberFormat="1" applyFont="1" applyFill="1"/>
    <xf numFmtId="164" fontId="63" fillId="4" borderId="0" xfId="1" applyNumberFormat="1" applyFont="1" applyFill="1"/>
    <xf numFmtId="164" fontId="1" fillId="4" borderId="4" xfId="1" applyNumberFormat="1" applyFont="1" applyFill="1" applyBorder="1"/>
    <xf numFmtId="164" fontId="1" fillId="0" borderId="0" xfId="1" applyNumberFormat="1" applyFont="1" applyFill="1"/>
    <xf numFmtId="164" fontId="32" fillId="0" borderId="0" xfId="1" applyNumberFormat="1" applyFont="1" applyFill="1" applyBorder="1"/>
    <xf numFmtId="164" fontId="1" fillId="4" borderId="4" xfId="1" applyNumberFormat="1" applyFont="1" applyFill="1" applyBorder="1" applyAlignment="1">
      <alignment horizontal="center"/>
    </xf>
    <xf numFmtId="164" fontId="1" fillId="0" borderId="3" xfId="1" applyNumberFormat="1" applyFont="1" applyFill="1" applyBorder="1"/>
    <xf numFmtId="164" fontId="1" fillId="0" borderId="0" xfId="1" applyNumberFormat="1" applyFont="1" applyFill="1" applyBorder="1"/>
    <xf numFmtId="164" fontId="1" fillId="0" borderId="0" xfId="0" applyNumberFormat="1" applyFont="1"/>
    <xf numFmtId="164" fontId="29" fillId="0" borderId="0" xfId="1" applyNumberFormat="1" applyFont="1" applyFill="1" applyBorder="1"/>
    <xf numFmtId="164" fontId="1" fillId="0" borderId="0" xfId="1" applyNumberFormat="1" applyFont="1" applyFill="1" applyAlignment="1">
      <alignment horizontal="center"/>
    </xf>
    <xf numFmtId="164" fontId="1" fillId="0" borderId="0" xfId="1" applyNumberFormat="1" applyFont="1" applyBorder="1"/>
    <xf numFmtId="0" fontId="14" fillId="0" borderId="0" xfId="0" applyFont="1"/>
    <xf numFmtId="164" fontId="29" fillId="0" borderId="0" xfId="1" applyNumberFormat="1" applyFont="1" applyFill="1" applyBorder="1" applyAlignment="1">
      <alignment horizontal="left"/>
    </xf>
    <xf numFmtId="164" fontId="1" fillId="0" borderId="0" xfId="1" applyNumberFormat="1" applyFont="1" applyAlignment="1">
      <alignment wrapText="1"/>
    </xf>
    <xf numFmtId="164" fontId="3" fillId="0" borderId="0" xfId="1" applyNumberFormat="1" applyFont="1" applyAlignment="1">
      <alignment horizontal="center"/>
    </xf>
    <xf numFmtId="164" fontId="2" fillId="0" borderId="0" xfId="1" applyNumberFormat="1" applyFont="1"/>
    <xf numFmtId="164" fontId="2" fillId="0" borderId="0" xfId="1" applyNumberFormat="1" applyFont="1" applyFill="1" applyAlignment="1">
      <alignment horizontal="center"/>
    </xf>
    <xf numFmtId="164" fontId="2" fillId="0" borderId="0" xfId="1" applyNumberFormat="1" applyFont="1" applyFill="1" applyBorder="1"/>
    <xf numFmtId="164" fontId="32" fillId="0" borderId="0" xfId="1" applyNumberFormat="1" applyFont="1" applyFill="1" applyBorder="1" applyAlignment="1">
      <alignment horizontal="left"/>
    </xf>
    <xf numFmtId="164" fontId="1" fillId="0" borderId="0" xfId="0" applyNumberFormat="1" applyFont="1" applyFill="1"/>
    <xf numFmtId="164" fontId="36" fillId="0" borderId="10" xfId="1" applyNumberFormat="1" applyFont="1" applyBorder="1"/>
    <xf numFmtId="172" fontId="6" fillId="0" borderId="0" xfId="0" applyNumberFormat="1" applyFont="1" applyFill="1" applyAlignment="1">
      <alignment horizontal="right"/>
    </xf>
    <xf numFmtId="0" fontId="1" fillId="0" borderId="0" xfId="0" applyFont="1" applyFill="1" applyBorder="1"/>
    <xf numFmtId="0" fontId="12" fillId="0" borderId="0" xfId="0" applyFont="1" applyAlignment="1">
      <alignment horizontal="right"/>
    </xf>
    <xf numFmtId="0" fontId="11" fillId="0" borderId="0" xfId="0" applyFont="1" applyFill="1" applyAlignment="1">
      <alignment horizontal="center"/>
    </xf>
    <xf numFmtId="0" fontId="2" fillId="0" borderId="0" xfId="0" applyFont="1" applyFill="1" applyAlignment="1">
      <alignment horizontal="right"/>
    </xf>
    <xf numFmtId="0" fontId="12" fillId="4" borderId="0" xfId="0" applyFont="1" applyFill="1" applyAlignment="1">
      <alignment horizontal="left" wrapText="1"/>
    </xf>
    <xf numFmtId="0" fontId="12" fillId="0" borderId="0" xfId="0" applyFont="1" applyAlignment="1">
      <alignment horizontal="left" wrapText="1"/>
    </xf>
    <xf numFmtId="172" fontId="12" fillId="4" borderId="0" xfId="18" applyNumberFormat="1" applyFont="1" applyFill="1" applyAlignment="1">
      <alignment horizontal="center" wrapText="1"/>
    </xf>
    <xf numFmtId="0" fontId="12" fillId="0" borderId="0" xfId="0" applyFont="1" applyAlignment="1">
      <alignment horizontal="right" wrapText="1"/>
    </xf>
    <xf numFmtId="0" fontId="12" fillId="0" borderId="0" xfId="0" applyFont="1" applyAlignment="1">
      <alignment horizontal="left" vertical="center" wrapText="1"/>
    </xf>
    <xf numFmtId="172" fontId="12" fillId="4" borderId="0" xfId="0" applyNumberFormat="1" applyFont="1" applyFill="1" applyAlignment="1">
      <alignment horizontal="center" wrapText="1"/>
    </xf>
    <xf numFmtId="37" fontId="12" fillId="0" borderId="0" xfId="0" applyNumberFormat="1" applyFont="1" applyFill="1" applyAlignment="1">
      <alignment horizontal="right" wrapText="1"/>
    </xf>
    <xf numFmtId="41" fontId="12" fillId="0" borderId="0" xfId="0" applyNumberFormat="1" applyFont="1" applyFill="1" applyBorder="1" applyAlignment="1">
      <alignment horizontal="right"/>
    </xf>
    <xf numFmtId="0" fontId="32" fillId="0" borderId="0" xfId="0" applyFont="1"/>
    <xf numFmtId="164" fontId="0" fillId="0" borderId="0" xfId="1" applyNumberFormat="1" applyFont="1" applyFill="1"/>
    <xf numFmtId="164" fontId="0" fillId="0" borderId="0" xfId="1" applyNumberFormat="1" applyFont="1" applyBorder="1"/>
    <xf numFmtId="166" fontId="3" fillId="0" borderId="0" xfId="9" applyNumberFormat="1" applyFont="1" applyBorder="1" applyAlignment="1">
      <alignment horizontal="center"/>
    </xf>
    <xf numFmtId="0" fontId="36" fillId="0" borderId="13" xfId="0" applyFont="1" applyFill="1" applyBorder="1" applyAlignment="1">
      <alignment horizontal="center" wrapText="1"/>
    </xf>
    <xf numFmtId="49" fontId="45" fillId="0" borderId="0" xfId="0" applyNumberFormat="1" applyFont="1"/>
    <xf numFmtId="176" fontId="65" fillId="0" borderId="0" xfId="0" applyNumberFormat="1" applyFont="1" applyFill="1" applyBorder="1" applyAlignment="1">
      <alignment horizontal="center"/>
    </xf>
    <xf numFmtId="0" fontId="66" fillId="0" borderId="0" xfId="0" applyFont="1"/>
    <xf numFmtId="0" fontId="0" fillId="0" borderId="11" xfId="0" applyBorder="1" applyAlignment="1">
      <alignment horizontal="center"/>
    </xf>
    <xf numFmtId="0" fontId="0" fillId="0" borderId="13" xfId="0" applyBorder="1" applyAlignment="1">
      <alignment horizontal="center"/>
    </xf>
    <xf numFmtId="0" fontId="42" fillId="0" borderId="0" xfId="0" applyFont="1"/>
    <xf numFmtId="0" fontId="27" fillId="5" borderId="11" xfId="0" applyFont="1" applyFill="1" applyBorder="1" applyAlignment="1">
      <alignment horizontal="center" wrapText="1"/>
    </xf>
    <xf numFmtId="0" fontId="41" fillId="0" borderId="0" xfId="0" applyFont="1" applyFill="1" applyBorder="1" applyAlignment="1">
      <alignment horizontal="center"/>
    </xf>
    <xf numFmtId="0" fontId="32" fillId="0" borderId="10" xfId="0" applyFont="1" applyFill="1" applyBorder="1" applyAlignment="1">
      <alignment horizontal="center" wrapText="1"/>
    </xf>
    <xf numFmtId="0" fontId="27" fillId="0" borderId="0" xfId="0" applyFont="1" applyFill="1" applyBorder="1" applyAlignment="1">
      <alignment horizontal="center" wrapText="1"/>
    </xf>
    <xf numFmtId="0" fontId="41" fillId="0" borderId="10" xfId="0" applyFont="1" applyFill="1" applyBorder="1" applyAlignment="1">
      <alignment horizontal="center"/>
    </xf>
    <xf numFmtId="0" fontId="41" fillId="0" borderId="9" xfId="0" applyFont="1" applyFill="1" applyBorder="1" applyAlignment="1">
      <alignment horizontal="center"/>
    </xf>
    <xf numFmtId="0" fontId="0" fillId="0" borderId="11" xfId="0" applyBorder="1"/>
    <xf numFmtId="0" fontId="0" fillId="0" borderId="0" xfId="0" applyAlignment="1">
      <alignment vertical="top"/>
    </xf>
    <xf numFmtId="0" fontId="12" fillId="0" borderId="0" xfId="0" applyFont="1" applyAlignment="1">
      <alignment vertical="top"/>
    </xf>
    <xf numFmtId="0" fontId="1" fillId="4" borderId="0" xfId="0" applyFont="1" applyFill="1"/>
    <xf numFmtId="164" fontId="14" fillId="4" borderId="0" xfId="1" applyNumberFormat="1" applyFont="1" applyFill="1"/>
    <xf numFmtId="164" fontId="1" fillId="4" borderId="0" xfId="1" applyNumberFormat="1" applyFont="1" applyFill="1" applyBorder="1"/>
    <xf numFmtId="0" fontId="33" fillId="4" borderId="12" xfId="0" applyFont="1" applyFill="1" applyBorder="1" applyAlignment="1">
      <alignment horizontal="center"/>
    </xf>
    <xf numFmtId="0" fontId="33" fillId="0" borderId="7" xfId="0" applyFont="1" applyFill="1" applyBorder="1"/>
    <xf numFmtId="0" fontId="33" fillId="0" borderId="8" xfId="0" applyFont="1" applyFill="1" applyBorder="1"/>
    <xf numFmtId="0" fontId="0" fillId="0" borderId="0" xfId="0" applyFill="1" applyAlignment="1">
      <alignment horizontal="left" vertical="center" wrapText="1"/>
    </xf>
    <xf numFmtId="3" fontId="5" fillId="0" borderId="0" xfId="0" applyNumberFormat="1" applyFont="1" applyFill="1"/>
    <xf numFmtId="3" fontId="6" fillId="0" borderId="0" xfId="0" applyNumberFormat="1" applyFont="1" applyFill="1"/>
    <xf numFmtId="0" fontId="0" fillId="0" borderId="0" xfId="0" applyAlignment="1">
      <alignment horizontal="center" wrapText="1"/>
    </xf>
    <xf numFmtId="0" fontId="71" fillId="0" borderId="0" xfId="0" applyFont="1" applyBorder="1"/>
    <xf numFmtId="0" fontId="0" fillId="4" borderId="0" xfId="0" applyFill="1" applyBorder="1"/>
    <xf numFmtId="0" fontId="11" fillId="0" borderId="0" xfId="0" applyFont="1" applyFill="1" applyAlignment="1">
      <alignment horizontal="left"/>
    </xf>
    <xf numFmtId="43" fontId="0" fillId="0" borderId="0" xfId="1" applyFont="1" applyAlignment="1"/>
    <xf numFmtId="0" fontId="35" fillId="0" borderId="0" xfId="0" applyFont="1"/>
    <xf numFmtId="0" fontId="35" fillId="0" borderId="0" xfId="0" applyFont="1" applyBorder="1"/>
    <xf numFmtId="0" fontId="0" fillId="0" borderId="10" xfId="0" applyBorder="1" applyAlignment="1">
      <alignment horizontal="center"/>
    </xf>
    <xf numFmtId="164" fontId="0" fillId="0" borderId="9" xfId="1" applyNumberFormat="1" applyFont="1" applyBorder="1"/>
    <xf numFmtId="0" fontId="0" fillId="0" borderId="1" xfId="0" applyBorder="1" applyAlignment="1">
      <alignment horizontal="center"/>
    </xf>
    <xf numFmtId="0" fontId="0" fillId="0" borderId="0" xfId="0" applyFill="1" applyAlignment="1">
      <alignment horizontal="center" wrapText="1"/>
    </xf>
    <xf numFmtId="0" fontId="0" fillId="0" borderId="0" xfId="0" applyAlignment="1">
      <alignment horizontal="center" vertical="top"/>
    </xf>
    <xf numFmtId="0" fontId="0" fillId="0" borderId="13" xfId="0" applyBorder="1"/>
    <xf numFmtId="0" fontId="3" fillId="0" borderId="0" xfId="0" applyFont="1" applyAlignment="1">
      <alignment horizontal="left"/>
    </xf>
    <xf numFmtId="0" fontId="71" fillId="0" borderId="0" xfId="0" applyFont="1" applyBorder="1" applyAlignment="1">
      <alignment horizontal="left"/>
    </xf>
    <xf numFmtId="0" fontId="71"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xf numFmtId="10" fontId="78" fillId="0" borderId="0" xfId="0" applyNumberFormat="1" applyFont="1" applyBorder="1" applyAlignment="1">
      <alignment horizontal="left"/>
    </xf>
    <xf numFmtId="10" fontId="79" fillId="0" borderId="0" xfId="0" applyNumberFormat="1" applyFont="1" applyBorder="1" applyAlignment="1">
      <alignment horizontal="left"/>
    </xf>
    <xf numFmtId="0" fontId="80" fillId="0" borderId="0" xfId="0" applyFont="1" applyBorder="1" applyAlignment="1">
      <alignment horizontal="center"/>
    </xf>
    <xf numFmtId="41" fontId="0" fillId="0" borderId="0" xfId="0" applyNumberFormat="1" applyBorder="1"/>
    <xf numFmtId="0" fontId="81" fillId="0" borderId="0" xfId="0" applyFont="1" applyBorder="1"/>
    <xf numFmtId="0" fontId="82" fillId="0" borderId="0" xfId="0" applyFont="1" applyBorder="1"/>
    <xf numFmtId="164" fontId="84" fillId="0" borderId="0" xfId="0" applyNumberFormat="1" applyFont="1" applyFill="1" applyBorder="1"/>
    <xf numFmtId="0" fontId="82" fillId="0" borderId="0" xfId="0" applyFont="1" applyBorder="1" applyAlignment="1">
      <alignment horizontal="center"/>
    </xf>
    <xf numFmtId="0" fontId="81" fillId="0" borderId="0" xfId="0" applyFont="1" applyBorder="1" applyAlignment="1">
      <alignment horizontal="left"/>
    </xf>
    <xf numFmtId="0" fontId="78" fillId="0" borderId="0" xfId="0" applyFont="1" applyBorder="1"/>
    <xf numFmtId="0" fontId="85" fillId="0" borderId="0" xfId="0" applyFont="1" applyBorder="1"/>
    <xf numFmtId="0" fontId="86" fillId="0" borderId="0" xfId="0" applyFont="1" applyFill="1" applyBorder="1" applyAlignment="1">
      <alignment horizontal="left"/>
    </xf>
    <xf numFmtId="167" fontId="85" fillId="0" borderId="0" xfId="0" applyNumberFormat="1" applyFont="1" applyBorder="1"/>
    <xf numFmtId="44" fontId="71" fillId="0" borderId="0" xfId="0" applyNumberFormat="1" applyFont="1" applyBorder="1"/>
    <xf numFmtId="166" fontId="12" fillId="0" borderId="0" xfId="0" applyNumberFormat="1" applyFont="1" applyBorder="1"/>
    <xf numFmtId="0" fontId="78" fillId="0" borderId="0" xfId="0" applyFont="1" applyBorder="1" applyAlignment="1">
      <alignment horizontal="left"/>
    </xf>
    <xf numFmtId="0" fontId="35" fillId="0" borderId="0" xfId="0" applyFont="1" applyBorder="1" applyAlignment="1">
      <alignment horizontal="center"/>
    </xf>
    <xf numFmtId="10" fontId="7" fillId="0" borderId="0" xfId="0" applyNumberFormat="1" applyFont="1" applyFill="1" applyAlignment="1"/>
    <xf numFmtId="0" fontId="45" fillId="0" borderId="0" xfId="0" applyFont="1" applyFill="1" applyBorder="1" applyAlignment="1">
      <alignment horizontal="center"/>
    </xf>
    <xf numFmtId="0" fontId="45" fillId="0" borderId="0" xfId="0" applyFont="1" applyFill="1" applyBorder="1" applyAlignment="1">
      <alignment horizontal="left"/>
    </xf>
    <xf numFmtId="0" fontId="45" fillId="0" borderId="0" xfId="0" applyFont="1" applyFill="1" applyBorder="1"/>
    <xf numFmtId="0" fontId="46" fillId="0" borderId="0" xfId="0" applyFont="1" applyFill="1" applyBorder="1"/>
    <xf numFmtId="0" fontId="12" fillId="0" borderId="0" xfId="14" applyFont="1" applyAlignment="1">
      <alignment horizontal="left"/>
    </xf>
    <xf numFmtId="0" fontId="12" fillId="0" borderId="0" xfId="14" applyFont="1"/>
    <xf numFmtId="0" fontId="12" fillId="0" borderId="10" xfId="14" applyFont="1" applyBorder="1" applyAlignment="1">
      <alignment horizontal="center"/>
    </xf>
    <xf numFmtId="0" fontId="12" fillId="0" borderId="0" xfId="14" applyNumberFormat="1" applyFont="1" applyFill="1" applyBorder="1" applyAlignment="1"/>
    <xf numFmtId="0" fontId="52" fillId="0" borderId="0" xfId="14" applyFont="1" applyBorder="1" applyAlignment="1">
      <alignment horizontal="left"/>
    </xf>
    <xf numFmtId="0" fontId="12" fillId="0" borderId="0" xfId="14" applyFont="1" applyBorder="1" applyAlignment="1"/>
    <xf numFmtId="0" fontId="12" fillId="0" borderId="0" xfId="14" applyFont="1" applyBorder="1" applyAlignment="1">
      <alignment horizontal="center"/>
    </xf>
    <xf numFmtId="0" fontId="11" fillId="5" borderId="12" xfId="14" applyFont="1" applyFill="1" applyBorder="1" applyAlignment="1">
      <alignment horizontal="center" wrapText="1"/>
    </xf>
    <xf numFmtId="0" fontId="11" fillId="5" borderId="11" xfId="14" applyFont="1" applyFill="1" applyBorder="1" applyAlignment="1">
      <alignment horizontal="center" wrapText="1"/>
    </xf>
    <xf numFmtId="0" fontId="12" fillId="0" borderId="9" xfId="14" applyFont="1" applyFill="1" applyBorder="1" applyAlignment="1">
      <alignment horizontal="left" wrapText="1"/>
    </xf>
    <xf numFmtId="0" fontId="0" fillId="0" borderId="10" xfId="0" applyBorder="1"/>
    <xf numFmtId="164" fontId="26" fillId="0" borderId="0" xfId="0" applyNumberFormat="1" applyFont="1" applyFill="1" applyBorder="1" applyAlignment="1">
      <alignment horizontal="center" wrapText="1"/>
    </xf>
    <xf numFmtId="172" fontId="26" fillId="0" borderId="0" xfId="18" applyNumberFormat="1" applyFont="1" applyFill="1"/>
    <xf numFmtId="164" fontId="26" fillId="0" borderId="0" xfId="1" applyNumberFormat="1" applyFont="1" applyFill="1" applyBorder="1" applyAlignment="1">
      <alignment horizontal="center" wrapText="1"/>
    </xf>
    <xf numFmtId="3" fontId="38" fillId="0" borderId="0" xfId="0" applyNumberFormat="1" applyFont="1" applyBorder="1" applyAlignment="1">
      <alignment horizontal="center"/>
    </xf>
    <xf numFmtId="164" fontId="26" fillId="0" borderId="0" xfId="1" applyNumberFormat="1" applyFont="1" applyFill="1" applyBorder="1" applyAlignment="1">
      <alignment horizontal="left"/>
    </xf>
    <xf numFmtId="3" fontId="5" fillId="0" borderId="0" xfId="0" applyNumberFormat="1" applyFont="1" applyBorder="1" applyAlignment="1">
      <alignment horizontal="right"/>
    </xf>
    <xf numFmtId="37" fontId="5" fillId="0" borderId="0" xfId="0" applyNumberFormat="1" applyFont="1" applyBorder="1" applyAlignment="1">
      <alignment horizontal="left"/>
    </xf>
    <xf numFmtId="37" fontId="5" fillId="0" borderId="0" xfId="0" applyNumberFormat="1" applyFont="1" applyBorder="1" applyAlignment="1">
      <alignment horizontal="center"/>
    </xf>
    <xf numFmtId="0" fontId="5" fillId="0" borderId="0" xfId="0" applyFont="1" applyBorder="1" applyAlignment="1">
      <alignment horizontal="left"/>
    </xf>
    <xf numFmtId="2" fontId="0" fillId="0" borderId="0" xfId="0" applyNumberFormat="1" applyBorder="1"/>
    <xf numFmtId="164" fontId="33" fillId="4" borderId="0" xfId="1" applyNumberFormat="1" applyFont="1" applyFill="1" applyBorder="1" applyAlignment="1">
      <alignment horizontal="left"/>
    </xf>
    <xf numFmtId="164" fontId="33" fillId="0" borderId="0" xfId="1" applyNumberFormat="1" applyFont="1" applyFill="1" applyBorder="1" applyAlignment="1">
      <alignment horizontal="left"/>
    </xf>
    <xf numFmtId="164" fontId="36" fillId="0" borderId="0" xfId="1" applyNumberFormat="1" applyFont="1" applyBorder="1" applyAlignment="1">
      <alignment horizontal="left"/>
    </xf>
    <xf numFmtId="3" fontId="16" fillId="0" borderId="0" xfId="0" applyNumberFormat="1" applyFont="1" applyFill="1" applyBorder="1" applyAlignment="1">
      <alignment horizontal="right"/>
    </xf>
    <xf numFmtId="0" fontId="33" fillId="0" borderId="0" xfId="0" applyFont="1" applyFill="1" applyBorder="1" applyAlignment="1">
      <alignment horizontal="left"/>
    </xf>
    <xf numFmtId="44" fontId="33" fillId="0" borderId="0" xfId="0" applyNumberFormat="1" applyFont="1" applyFill="1" applyBorder="1" applyAlignment="1">
      <alignment horizontal="center" wrapText="1"/>
    </xf>
    <xf numFmtId="44" fontId="36" fillId="0" borderId="0" xfId="9" applyFont="1" applyFill="1" applyBorder="1" applyAlignment="1">
      <alignment horizontal="center" wrapText="1"/>
    </xf>
    <xf numFmtId="0" fontId="12" fillId="0" borderId="10" xfId="15" applyFont="1" applyBorder="1" applyAlignment="1">
      <alignment horizontal="center"/>
    </xf>
    <xf numFmtId="0" fontId="12" fillId="0" borderId="0" xfId="15" applyFont="1" applyBorder="1"/>
    <xf numFmtId="0" fontId="52" fillId="0" borderId="0" xfId="15" applyFont="1" applyBorder="1"/>
    <xf numFmtId="3" fontId="6" fillId="0" borderId="0" xfId="15" applyNumberFormat="1" applyFont="1" applyFill="1" applyBorder="1" applyAlignment="1"/>
    <xf numFmtId="1" fontId="14" fillId="0" borderId="0" xfId="15" applyNumberFormat="1" applyFont="1" applyFill="1" applyBorder="1" applyAlignment="1">
      <alignment horizontal="center"/>
    </xf>
    <xf numFmtId="0" fontId="11" fillId="5" borderId="0" xfId="14" applyFont="1" applyFill="1" applyBorder="1" applyAlignment="1">
      <alignment horizontal="center" wrapText="1"/>
    </xf>
    <xf numFmtId="164" fontId="2" fillId="0" borderId="0" xfId="1" applyNumberFormat="1" applyFont="1" applyFill="1" applyBorder="1" applyAlignment="1">
      <alignment horizontal="center"/>
    </xf>
    <xf numFmtId="164" fontId="12" fillId="0" borderId="0" xfId="1" applyNumberFormat="1" applyFont="1" applyFill="1" applyBorder="1"/>
    <xf numFmtId="164" fontId="14" fillId="0" borderId="0" xfId="1" applyNumberFormat="1" applyFont="1" applyFill="1" applyBorder="1"/>
    <xf numFmtId="164" fontId="63" fillId="0" borderId="0" xfId="1" applyNumberFormat="1" applyFont="1" applyFill="1" applyBorder="1"/>
    <xf numFmtId="0" fontId="2" fillId="0" borderId="0" xfId="0" applyFont="1" applyFill="1" applyBorder="1" applyAlignment="1">
      <alignment horizontal="center"/>
    </xf>
    <xf numFmtId="0" fontId="7" fillId="0" borderId="0" xfId="0" applyFont="1" applyFill="1" applyBorder="1" applyAlignment="1"/>
    <xf numFmtId="0" fontId="3" fillId="0" borderId="0" xfId="0" applyFont="1" applyFill="1" applyAlignment="1"/>
    <xf numFmtId="164" fontId="2" fillId="0" borderId="0" xfId="1" applyNumberFormat="1" applyFont="1" applyAlignment="1"/>
    <xf numFmtId="0" fontId="0" fillId="5" borderId="11" xfId="0" applyFill="1" applyBorder="1" applyAlignment="1">
      <alignment horizontal="center"/>
    </xf>
    <xf numFmtId="166" fontId="33" fillId="0" borderId="0" xfId="9" applyNumberFormat="1" applyFont="1" applyFill="1" applyBorder="1"/>
    <xf numFmtId="166" fontId="33" fillId="0" borderId="0" xfId="0" applyNumberFormat="1" applyFont="1" applyFill="1" applyBorder="1"/>
    <xf numFmtId="0" fontId="0" fillId="0" borderId="9" xfId="0" applyFill="1" applyBorder="1"/>
    <xf numFmtId="164" fontId="38" fillId="0" borderId="0" xfId="1" applyNumberFormat="1" applyFont="1" applyFill="1" applyBorder="1"/>
    <xf numFmtId="0" fontId="36" fillId="0" borderId="0" xfId="0" applyFont="1" applyFill="1" applyBorder="1" applyAlignment="1">
      <alignment horizontal="right" wrapText="1"/>
    </xf>
    <xf numFmtId="0" fontId="36" fillId="0" borderId="0" xfId="0" applyFont="1" applyFill="1" applyBorder="1" applyAlignment="1">
      <alignment horizontal="right"/>
    </xf>
    <xf numFmtId="0" fontId="12" fillId="0" borderId="9" xfId="14" applyFont="1" applyFill="1" applyBorder="1"/>
    <xf numFmtId="164" fontId="33" fillId="4" borderId="10" xfId="1" applyNumberFormat="1" applyFont="1" applyFill="1" applyBorder="1" applyAlignment="1">
      <alignment horizontal="left"/>
    </xf>
    <xf numFmtId="164" fontId="33" fillId="4" borderId="1" xfId="1" applyNumberFormat="1" applyFont="1" applyFill="1" applyBorder="1" applyAlignment="1">
      <alignment horizontal="right"/>
    </xf>
    <xf numFmtId="0" fontId="33" fillId="0" borderId="13" xfId="0" applyFont="1" applyBorder="1" applyAlignment="1">
      <alignment horizontal="center"/>
    </xf>
    <xf numFmtId="0" fontId="33" fillId="0" borderId="9" xfId="0" applyFont="1" applyFill="1" applyBorder="1"/>
    <xf numFmtId="172" fontId="33" fillId="0" borderId="10" xfId="0" applyNumberFormat="1" applyFont="1" applyFill="1" applyBorder="1"/>
    <xf numFmtId="0" fontId="33" fillId="0" borderId="0" xfId="0" applyFont="1" applyFill="1" applyBorder="1" applyAlignment="1">
      <alignment wrapText="1"/>
    </xf>
    <xf numFmtId="0" fontId="33" fillId="0" borderId="8" xfId="0" applyFont="1" applyFill="1" applyBorder="1" applyAlignment="1">
      <alignment horizontal="center"/>
    </xf>
    <xf numFmtId="0" fontId="0" fillId="0" borderId="9" xfId="0" applyFill="1" applyBorder="1" applyAlignment="1"/>
    <xf numFmtId="0" fontId="0" fillId="0" borderId="0" xfId="0" applyFill="1" applyBorder="1" applyAlignment="1"/>
    <xf numFmtId="0" fontId="0" fillId="0" borderId="10" xfId="0" applyFill="1" applyBorder="1" applyAlignment="1"/>
    <xf numFmtId="0" fontId="0" fillId="0" borderId="0" xfId="0" applyFill="1" applyAlignment="1">
      <alignment vertical="top"/>
    </xf>
    <xf numFmtId="0" fontId="46" fillId="0" borderId="0" xfId="0" applyFont="1" applyFill="1"/>
    <xf numFmtId="0" fontId="67" fillId="0" borderId="0" xfId="0" applyFont="1" applyFill="1" applyAlignment="1">
      <alignment horizontal="center" wrapText="1"/>
    </xf>
    <xf numFmtId="164" fontId="45" fillId="0" borderId="0" xfId="1" applyNumberFormat="1" applyFont="1" applyFill="1" applyAlignment="1">
      <alignment horizontal="left"/>
    </xf>
    <xf numFmtId="0" fontId="45" fillId="0" borderId="0" xfId="0" applyFont="1" applyFill="1" applyBorder="1" applyAlignment="1">
      <alignment horizontal="center" wrapText="1"/>
    </xf>
    <xf numFmtId="43" fontId="45" fillId="0" borderId="0" xfId="0" applyNumberFormat="1" applyFont="1" applyFill="1" applyBorder="1"/>
    <xf numFmtId="164" fontId="1" fillId="0" borderId="4" xfId="1" applyNumberFormat="1" applyFont="1" applyBorder="1"/>
    <xf numFmtId="0" fontId="1" fillId="0" borderId="0" xfId="0" applyFont="1" applyBorder="1"/>
    <xf numFmtId="0" fontId="0" fillId="0" borderId="0" xfId="0" applyBorder="1" applyAlignment="1"/>
    <xf numFmtId="164" fontId="0" fillId="4" borderId="0" xfId="1" applyNumberFormat="1" applyFont="1" applyFill="1" applyBorder="1"/>
    <xf numFmtId="43" fontId="0" fillId="0" borderId="0" xfId="1" applyFont="1" applyFill="1" applyAlignment="1"/>
    <xf numFmtId="181" fontId="5" fillId="0" borderId="0" xfId="0" applyNumberFormat="1" applyFont="1"/>
    <xf numFmtId="43" fontId="5" fillId="0" borderId="0" xfId="1" applyFont="1"/>
    <xf numFmtId="43" fontId="0" fillId="0" borderId="0" xfId="1" applyFont="1" applyFill="1" applyBorder="1"/>
    <xf numFmtId="43" fontId="45" fillId="0" borderId="0" xfId="0" applyNumberFormat="1" applyFont="1" applyBorder="1"/>
    <xf numFmtId="43" fontId="47" fillId="0" borderId="0" xfId="1" applyNumberFormat="1" applyFont="1" applyFill="1" applyBorder="1"/>
    <xf numFmtId="43" fontId="47" fillId="0" borderId="0" xfId="1" applyNumberFormat="1" applyFont="1" applyFill="1" applyBorder="1" applyAlignment="1">
      <alignment horizontal="center" wrapText="1"/>
    </xf>
    <xf numFmtId="164" fontId="45" fillId="0" borderId="0" xfId="0" applyNumberFormat="1" applyFont="1" applyFill="1" applyBorder="1"/>
    <xf numFmtId="164" fontId="45" fillId="0" borderId="0" xfId="1" applyNumberFormat="1" applyFont="1" applyFill="1" applyBorder="1"/>
    <xf numFmtId="164" fontId="0" fillId="0" borderId="0" xfId="0" applyNumberFormat="1" applyFill="1" applyBorder="1"/>
    <xf numFmtId="0" fontId="45" fillId="0" borderId="0" xfId="0" applyFont="1" applyBorder="1" applyAlignment="1">
      <alignment horizontal="center"/>
    </xf>
    <xf numFmtId="0" fontId="45" fillId="0" borderId="12" xfId="0" applyFont="1" applyBorder="1" applyAlignment="1">
      <alignment horizontal="center"/>
    </xf>
    <xf numFmtId="0" fontId="45" fillId="0" borderId="11" xfId="0" applyFont="1" applyBorder="1" applyAlignment="1">
      <alignment horizontal="center"/>
    </xf>
    <xf numFmtId="0" fontId="45" fillId="0" borderId="7" xfId="0" applyFont="1" applyBorder="1"/>
    <xf numFmtId="0" fontId="45" fillId="0" borderId="1" xfId="0" applyFont="1" applyFill="1" applyBorder="1" applyAlignment="1">
      <alignment horizontal="center" wrapText="1"/>
    </xf>
    <xf numFmtId="0" fontId="45" fillId="0" borderId="8" xfId="0" applyFont="1" applyFill="1" applyBorder="1" applyAlignment="1">
      <alignment horizontal="center" wrapText="1"/>
    </xf>
    <xf numFmtId="0" fontId="45" fillId="0" borderId="7" xfId="0" applyFont="1" applyBorder="1" applyAlignment="1">
      <alignment horizontal="center"/>
    </xf>
    <xf numFmtId="0" fontId="0" fillId="0" borderId="12" xfId="0" applyBorder="1"/>
    <xf numFmtId="164" fontId="45" fillId="0" borderId="0" xfId="0" applyNumberFormat="1" applyFont="1" applyBorder="1"/>
    <xf numFmtId="43" fontId="12" fillId="0" borderId="0" xfId="1" applyFont="1" applyFill="1" applyBorder="1" applyAlignment="1"/>
    <xf numFmtId="0" fontId="33" fillId="0" borderId="11" xfId="0" applyFont="1" applyBorder="1" applyAlignment="1">
      <alignment wrapText="1"/>
    </xf>
    <xf numFmtId="0" fontId="33" fillId="0" borderId="12" xfId="0" applyFont="1" applyBorder="1" applyAlignment="1">
      <alignment wrapText="1"/>
    </xf>
    <xf numFmtId="0" fontId="33" fillId="0" borderId="13" xfId="0" applyFont="1" applyBorder="1" applyAlignment="1">
      <alignment wrapText="1"/>
    </xf>
    <xf numFmtId="43" fontId="5" fillId="0" borderId="0" xfId="1" applyFont="1" applyBorder="1"/>
    <xf numFmtId="2" fontId="5" fillId="0" borderId="0" xfId="0" applyNumberFormat="1" applyFont="1" applyBorder="1"/>
    <xf numFmtId="43" fontId="5" fillId="0" borderId="0" xfId="0" applyNumberFormat="1" applyFont="1" applyBorder="1"/>
    <xf numFmtId="164" fontId="5" fillId="0" borderId="0" xfId="0" applyNumberFormat="1" applyFont="1" applyBorder="1"/>
    <xf numFmtId="172" fontId="3" fillId="0" borderId="0" xfId="18" applyNumberFormat="1" applyFont="1" applyFill="1" applyAlignment="1"/>
    <xf numFmtId="3" fontId="6" fillId="0" borderId="0" xfId="0" applyNumberFormat="1" applyFont="1" applyFill="1" applyBorder="1" applyAlignment="1">
      <alignment horizontal="right"/>
    </xf>
    <xf numFmtId="43" fontId="5" fillId="0" borderId="0" xfId="0" applyNumberFormat="1" applyFont="1" applyFill="1"/>
    <xf numFmtId="175" fontId="3" fillId="0" borderId="0" xfId="1" applyNumberFormat="1" applyFont="1" applyFill="1" applyAlignment="1">
      <alignment horizontal="center"/>
    </xf>
    <xf numFmtId="164" fontId="33" fillId="0" borderId="4" xfId="1" applyNumberFormat="1" applyFont="1" applyFill="1" applyBorder="1" applyAlignment="1">
      <alignment horizontal="left"/>
    </xf>
    <xf numFmtId="43" fontId="45" fillId="0" borderId="0" xfId="0" applyNumberFormat="1" applyFont="1"/>
    <xf numFmtId="0" fontId="46" fillId="0" borderId="0" xfId="0" applyFont="1" applyAlignment="1">
      <alignment horizontal="center"/>
    </xf>
    <xf numFmtId="0" fontId="46" fillId="0" borderId="0" xfId="0" applyFont="1" applyFill="1" applyAlignment="1">
      <alignment horizontal="center"/>
    </xf>
    <xf numFmtId="0" fontId="46" fillId="0" borderId="0" xfId="0" applyFont="1" applyAlignment="1">
      <alignment horizontal="left"/>
    </xf>
    <xf numFmtId="16" fontId="46" fillId="0" borderId="0" xfId="0" applyNumberFormat="1" applyFont="1" applyAlignment="1">
      <alignment horizontal="center"/>
    </xf>
    <xf numFmtId="0" fontId="46" fillId="0" borderId="0" xfId="0" applyFont="1" applyFill="1" applyAlignment="1">
      <alignment horizontal="left"/>
    </xf>
    <xf numFmtId="0" fontId="46" fillId="0" borderId="0" xfId="0" applyFont="1" applyAlignment="1">
      <alignment horizontal="center" vertical="top"/>
    </xf>
    <xf numFmtId="0" fontId="46" fillId="0" borderId="0" xfId="0" applyFont="1" applyFill="1" applyAlignment="1">
      <alignment horizontal="center" vertical="top"/>
    </xf>
    <xf numFmtId="0" fontId="0" fillId="0" borderId="12" xfId="0" applyBorder="1" applyAlignment="1">
      <alignment horizontal="left"/>
    </xf>
    <xf numFmtId="172" fontId="1" fillId="0" borderId="13" xfId="18" applyNumberFormat="1" applyBorder="1"/>
    <xf numFmtId="0" fontId="0" fillId="0" borderId="10" xfId="0" applyBorder="1" applyAlignment="1">
      <alignment horizontal="left"/>
    </xf>
    <xf numFmtId="172" fontId="1" fillId="0" borderId="9" xfId="18" applyNumberFormat="1" applyBorder="1"/>
    <xf numFmtId="0" fontId="0" fillId="0" borderId="7" xfId="0" applyBorder="1" applyAlignment="1">
      <alignment horizontal="left"/>
    </xf>
    <xf numFmtId="172" fontId="1" fillId="0" borderId="8" xfId="18" applyNumberFormat="1" applyBorder="1"/>
    <xf numFmtId="0" fontId="2" fillId="0" borderId="12" xfId="0" applyFont="1" applyBorder="1" applyAlignment="1">
      <alignment horizontal="left"/>
    </xf>
    <xf numFmtId="0" fontId="2" fillId="0" borderId="10" xfId="0" applyFont="1" applyBorder="1" applyAlignment="1">
      <alignment horizontal="left"/>
    </xf>
    <xf numFmtId="0" fontId="0" fillId="0" borderId="9" xfId="0" applyBorder="1"/>
    <xf numFmtId="0" fontId="0" fillId="0" borderId="7" xfId="0" applyBorder="1" applyAlignment="1">
      <alignment horizontal="center"/>
    </xf>
    <xf numFmtId="0" fontId="0" fillId="0" borderId="1" xfId="0" applyBorder="1" applyAlignment="1">
      <alignment horizontal="left"/>
    </xf>
    <xf numFmtId="0" fontId="36" fillId="0" borderId="13" xfId="0" applyFont="1" applyFill="1" applyBorder="1" applyAlignment="1">
      <alignment horizontal="center"/>
    </xf>
    <xf numFmtId="0" fontId="12" fillId="0" borderId="0" xfId="0" applyFont="1" applyFill="1" applyAlignment="1">
      <alignment horizontal="left"/>
    </xf>
    <xf numFmtId="0" fontId="12" fillId="0" borderId="0" xfId="14" applyFont="1" applyFill="1" applyBorder="1"/>
    <xf numFmtId="0" fontId="2" fillId="0" borderId="0" xfId="0" applyFont="1" applyFill="1" applyBorder="1" applyAlignment="1">
      <alignment horizontal="center" wrapText="1"/>
    </xf>
    <xf numFmtId="164" fontId="33" fillId="0" borderId="1" xfId="1" applyNumberFormat="1" applyFont="1" applyFill="1" applyBorder="1"/>
    <xf numFmtId="0" fontId="32" fillId="0" borderId="12" xfId="0" applyFont="1" applyFill="1" applyBorder="1" applyAlignment="1">
      <alignment horizontal="center" wrapText="1"/>
    </xf>
    <xf numFmtId="166" fontId="26" fillId="0" borderId="10" xfId="0" applyNumberFormat="1" applyFont="1" applyFill="1" applyBorder="1" applyAlignment="1">
      <alignment horizontal="center"/>
    </xf>
    <xf numFmtId="0" fontId="2" fillId="0" borderId="12" xfId="0" applyFont="1" applyBorder="1" applyAlignment="1"/>
    <xf numFmtId="0" fontId="2" fillId="0" borderId="11" xfId="0" applyFont="1" applyBorder="1" applyAlignment="1"/>
    <xf numFmtId="0" fontId="0" fillId="0" borderId="11" xfId="0" applyBorder="1" applyAlignment="1"/>
    <xf numFmtId="0" fontId="12" fillId="0" borderId="11" xfId="0" applyFont="1"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2" fillId="0" borderId="12" xfId="0" applyFont="1" applyBorder="1" applyAlignment="1">
      <alignment horizontal="center" wrapText="1"/>
    </xf>
    <xf numFmtId="0" fontId="0" fillId="0" borderId="11" xfId="0" applyBorder="1" applyAlignment="1">
      <alignment horizontal="center" wrapText="1"/>
    </xf>
    <xf numFmtId="0" fontId="0" fillId="0" borderId="10" xfId="0" applyBorder="1" applyAlignment="1"/>
    <xf numFmtId="164" fontId="0" fillId="4" borderId="9" xfId="0" applyNumberFormat="1" applyFill="1" applyBorder="1"/>
    <xf numFmtId="164" fontId="0" fillId="4" borderId="0" xfId="1" applyNumberFormat="1" applyFont="1" applyFill="1" applyBorder="1" applyAlignment="1"/>
    <xf numFmtId="0" fontId="0" fillId="4" borderId="4" xfId="0" applyFill="1" applyBorder="1"/>
    <xf numFmtId="164" fontId="0" fillId="4" borderId="15" xfId="0" applyNumberFormat="1" applyFill="1" applyBorder="1"/>
    <xf numFmtId="164" fontId="0" fillId="0" borderId="9" xfId="0" applyNumberFormat="1" applyFill="1" applyBorder="1"/>
    <xf numFmtId="183" fontId="0" fillId="0" borderId="0" xfId="0" applyNumberFormat="1" applyAlignment="1"/>
    <xf numFmtId="0" fontId="0" fillId="0" borderId="7" xfId="0" applyBorder="1" applyAlignment="1"/>
    <xf numFmtId="0" fontId="0" fillId="0" borderId="1" xfId="0" applyBorder="1" applyAlignment="1"/>
    <xf numFmtId="164" fontId="0" fillId="0" borderId="8" xfId="0" applyNumberFormat="1" applyBorder="1" applyAlignment="1"/>
    <xf numFmtId="164" fontId="0" fillId="0" borderId="0" xfId="0" applyNumberFormat="1" applyBorder="1" applyAlignment="1"/>
    <xf numFmtId="0" fontId="0" fillId="0" borderId="9" xfId="0" applyBorder="1" applyAlignment="1"/>
    <xf numFmtId="0" fontId="2" fillId="0" borderId="10" xfId="0" applyFont="1" applyBorder="1" applyAlignment="1">
      <alignment horizontal="center" wrapText="1"/>
    </xf>
    <xf numFmtId="0" fontId="0" fillId="0" borderId="9" xfId="0" applyBorder="1" applyAlignment="1">
      <alignment horizontal="center" wrapText="1"/>
    </xf>
    <xf numFmtId="0" fontId="12" fillId="0" borderId="0" xfId="0" applyFont="1" applyBorder="1" applyAlignment="1">
      <alignment horizontal="center" wrapText="1"/>
    </xf>
    <xf numFmtId="0" fontId="0" fillId="0" borderId="9" xfId="0" applyFill="1" applyBorder="1" applyAlignment="1">
      <alignment horizontal="center" wrapText="1"/>
    </xf>
    <xf numFmtId="164" fontId="0" fillId="4" borderId="9" xfId="1" applyNumberFormat="1" applyFont="1" applyFill="1" applyBorder="1"/>
    <xf numFmtId="164" fontId="0" fillId="0" borderId="0" xfId="1" applyNumberFormat="1" applyFont="1" applyBorder="1" applyAlignment="1"/>
    <xf numFmtId="164" fontId="0" fillId="0" borderId="1" xfId="1" applyNumberFormat="1" applyFont="1" applyBorder="1" applyAlignment="1"/>
    <xf numFmtId="0" fontId="5" fillId="0" borderId="0" xfId="0" applyNumberFormat="1" applyFont="1" applyFill="1"/>
    <xf numFmtId="169" fontId="5" fillId="0" borderId="0" xfId="17" applyFont="1" applyFill="1" applyAlignment="1" applyProtection="1">
      <protection locked="0"/>
    </xf>
    <xf numFmtId="0" fontId="92" fillId="0" borderId="0" xfId="0" applyNumberFormat="1" applyFont="1" applyFill="1" applyBorder="1" applyAlignment="1">
      <alignment horizontal="center"/>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164" fontId="58" fillId="0" borderId="3" xfId="1" applyNumberFormat="1" applyFont="1" applyFill="1" applyBorder="1" applyAlignment="1"/>
    <xf numFmtId="164" fontId="58" fillId="0" borderId="0" xfId="1" applyNumberFormat="1" applyFont="1" applyFill="1" applyBorder="1"/>
    <xf numFmtId="0" fontId="0" fillId="0" borderId="1" xfId="0" applyBorder="1" applyAlignment="1">
      <alignment wrapText="1"/>
    </xf>
    <xf numFmtId="0" fontId="47" fillId="0" borderId="6" xfId="0" applyFont="1" applyFill="1" applyBorder="1" applyAlignment="1">
      <alignment horizontal="center" wrapText="1"/>
    </xf>
    <xf numFmtId="0" fontId="47" fillId="0" borderId="5" xfId="0" applyFont="1" applyFill="1" applyBorder="1" applyAlignment="1">
      <alignment horizontal="center" wrapText="1"/>
    </xf>
    <xf numFmtId="0" fontId="67" fillId="0" borderId="0" xfId="0" applyFont="1" applyFill="1" applyBorder="1" applyAlignment="1">
      <alignment horizontal="center" wrapText="1"/>
    </xf>
    <xf numFmtId="172" fontId="45" fillId="0" borderId="0" xfId="0" applyNumberFormat="1" applyFont="1" applyFill="1"/>
    <xf numFmtId="0" fontId="0" fillId="4" borderId="10" xfId="0" applyFill="1" applyBorder="1" applyAlignment="1">
      <alignment horizontal="center"/>
    </xf>
    <xf numFmtId="43" fontId="33" fillId="0" borderId="7" xfId="1" applyNumberFormat="1" applyFont="1" applyFill="1" applyBorder="1"/>
    <xf numFmtId="164" fontId="33" fillId="0" borderId="8" xfId="1" applyNumberFormat="1" applyFont="1" applyFill="1" applyBorder="1"/>
    <xf numFmtId="0" fontId="0" fillId="0" borderId="9" xfId="0" applyFill="1" applyBorder="1" applyAlignment="1">
      <alignment horizontal="center"/>
    </xf>
    <xf numFmtId="164" fontId="33" fillId="0" borderId="7" xfId="1" applyNumberFormat="1" applyFont="1" applyFill="1" applyBorder="1"/>
    <xf numFmtId="0" fontId="36" fillId="0" borderId="12" xfId="0" applyFont="1" applyFill="1" applyBorder="1" applyAlignment="1">
      <alignment horizontal="center"/>
    </xf>
    <xf numFmtId="0" fontId="36" fillId="0" borderId="11" xfId="0" applyFont="1" applyFill="1" applyBorder="1" applyAlignment="1">
      <alignment horizontal="center" wrapText="1"/>
    </xf>
    <xf numFmtId="0" fontId="0" fillId="0" borderId="11" xfId="0" applyFill="1" applyBorder="1" applyAlignment="1">
      <alignment horizontal="center"/>
    </xf>
    <xf numFmtId="0" fontId="0" fillId="0" borderId="0" xfId="0" applyFill="1" applyBorder="1" applyAlignment="1">
      <alignment horizontal="center" wrapText="1"/>
    </xf>
    <xf numFmtId="3" fontId="3" fillId="0" borderId="0" xfId="0" applyNumberFormat="1" applyFont="1" applyFill="1" applyAlignment="1"/>
    <xf numFmtId="3" fontId="5" fillId="0" borderId="0" xfId="0" applyNumberFormat="1" applyFont="1" applyFill="1" applyAlignment="1"/>
    <xf numFmtId="3" fontId="5" fillId="0" borderId="4" xfId="0" applyNumberFormat="1" applyFont="1" applyFill="1" applyBorder="1" applyAlignment="1"/>
    <xf numFmtId="0" fontId="2" fillId="0" borderId="0" xfId="0" applyFont="1" applyFill="1" applyAlignment="1">
      <alignment horizontal="left"/>
    </xf>
    <xf numFmtId="0" fontId="93" fillId="0" borderId="0" xfId="0" applyFont="1" applyFill="1" applyBorder="1" applyAlignment="1">
      <alignment horizontal="center"/>
    </xf>
    <xf numFmtId="0" fontId="2" fillId="0" borderId="0" xfId="0" applyFont="1" applyFill="1" applyAlignment="1">
      <alignment horizontal="center" wrapText="1"/>
    </xf>
    <xf numFmtId="0" fontId="1" fillId="0" borderId="0" xfId="0" applyFont="1" applyFill="1" applyBorder="1" applyAlignment="1">
      <alignment horizontal="center"/>
    </xf>
    <xf numFmtId="164" fontId="1" fillId="0" borderId="0" xfId="0" applyNumberFormat="1" applyFont="1" applyBorder="1"/>
    <xf numFmtId="0" fontId="12" fillId="3" borderId="0" xfId="0" applyFont="1" applyFill="1"/>
    <xf numFmtId="0" fontId="6" fillId="0" borderId="4" xfId="0" applyFont="1" applyFill="1" applyBorder="1" applyAlignment="1"/>
    <xf numFmtId="0" fontId="50" fillId="0" borderId="4" xfId="0" applyFont="1" applyFill="1" applyBorder="1"/>
    <xf numFmtId="3" fontId="39" fillId="0" borderId="9" xfId="0" applyNumberFormat="1" applyFont="1" applyFill="1" applyBorder="1" applyAlignment="1"/>
    <xf numFmtId="0" fontId="46" fillId="0" borderId="0" xfId="0" applyFont="1" applyBorder="1"/>
    <xf numFmtId="43" fontId="46" fillId="0" borderId="0" xfId="0" applyNumberFormat="1" applyFont="1" applyBorder="1"/>
    <xf numFmtId="167" fontId="46" fillId="0" borderId="0" xfId="0" applyNumberFormat="1" applyFont="1" applyBorder="1"/>
    <xf numFmtId="42" fontId="46" fillId="0" borderId="0" xfId="0" applyNumberFormat="1" applyFont="1" applyBorder="1"/>
    <xf numFmtId="0" fontId="46" fillId="0" borderId="0" xfId="0" applyFont="1" applyBorder="1" applyAlignment="1">
      <alignment horizontal="center"/>
    </xf>
    <xf numFmtId="0" fontId="46" fillId="0" borderId="0" xfId="0" applyFont="1" applyBorder="1" applyAlignment="1">
      <alignment horizontal="right"/>
    </xf>
    <xf numFmtId="41" fontId="46" fillId="0" borderId="0" xfId="0" applyNumberFormat="1" applyFont="1" applyBorder="1"/>
    <xf numFmtId="44" fontId="46" fillId="0" borderId="0" xfId="0" applyNumberFormat="1" applyFont="1" applyBorder="1"/>
    <xf numFmtId="166" fontId="46" fillId="0" borderId="0" xfId="0" applyNumberFormat="1" applyFont="1" applyBorder="1"/>
    <xf numFmtId="167" fontId="46" fillId="0" borderId="0" xfId="0" applyNumberFormat="1" applyFont="1" applyBorder="1" applyAlignment="1">
      <alignment horizontal="center"/>
    </xf>
    <xf numFmtId="0" fontId="72" fillId="0" borderId="0" xfId="0" applyFont="1" applyBorder="1" applyAlignment="1">
      <alignment horizontal="left"/>
    </xf>
    <xf numFmtId="167" fontId="35" fillId="0" borderId="0" xfId="0" applyNumberFormat="1" applyFont="1" applyBorder="1" applyAlignment="1">
      <alignment horizontal="center"/>
    </xf>
    <xf numFmtId="42" fontId="35" fillId="0" borderId="0" xfId="0" applyNumberFormat="1" applyFont="1" applyBorder="1"/>
    <xf numFmtId="0" fontId="35" fillId="0" borderId="0" xfId="0" applyFont="1" applyBorder="1" applyAlignment="1">
      <alignment horizontal="right"/>
    </xf>
    <xf numFmtId="167" fontId="35" fillId="0" borderId="0" xfId="0" applyNumberFormat="1" applyFont="1" applyBorder="1"/>
    <xf numFmtId="164" fontId="35" fillId="0" borderId="0" xfId="0" applyNumberFormat="1" applyFont="1"/>
    <xf numFmtId="43" fontId="35" fillId="0" borderId="0" xfId="0" applyNumberFormat="1" applyFont="1" applyBorder="1"/>
    <xf numFmtId="0" fontId="95" fillId="0" borderId="0" xfId="0" applyFont="1" applyFill="1"/>
    <xf numFmtId="167" fontId="35" fillId="0" borderId="0" xfId="0" applyNumberFormat="1" applyFont="1"/>
    <xf numFmtId="180" fontId="35" fillId="0" borderId="0" xfId="0" applyNumberFormat="1" applyFont="1" applyBorder="1"/>
    <xf numFmtId="0" fontId="35" fillId="0" borderId="4" xfId="0" applyFont="1" applyBorder="1"/>
    <xf numFmtId="0" fontId="0" fillId="0" borderId="16" xfId="0" applyBorder="1"/>
    <xf numFmtId="166" fontId="35" fillId="0" borderId="0" xfId="0" applyNumberFormat="1" applyFont="1"/>
    <xf numFmtId="168" fontId="35" fillId="0" borderId="0" xfId="0" applyNumberFormat="1" applyFont="1"/>
    <xf numFmtId="0" fontId="35" fillId="0" borderId="17" xfId="0" applyFont="1" applyBorder="1"/>
    <xf numFmtId="165" fontId="35" fillId="0" borderId="0" xfId="0" applyNumberFormat="1" applyFont="1" applyBorder="1"/>
    <xf numFmtId="14" fontId="35" fillId="0" borderId="0" xfId="0" quotePrefix="1" applyNumberFormat="1" applyFont="1" applyBorder="1" applyAlignment="1">
      <alignment horizontal="center"/>
    </xf>
    <xf numFmtId="0" fontId="35" fillId="0" borderId="0" xfId="0" quotePrefix="1" applyFont="1" applyBorder="1" applyAlignment="1">
      <alignment horizontal="center"/>
    </xf>
    <xf numFmtId="0" fontId="0" fillId="0" borderId="18" xfId="0" applyBorder="1"/>
    <xf numFmtId="167" fontId="35" fillId="0" borderId="0" xfId="0" applyNumberFormat="1" applyFont="1" applyBorder="1" applyAlignment="1">
      <alignment horizontal="right"/>
    </xf>
    <xf numFmtId="168" fontId="35" fillId="0" borderId="0" xfId="0" applyNumberFormat="1" applyFont="1" applyBorder="1"/>
    <xf numFmtId="49" fontId="35" fillId="0" borderId="0" xfId="0" applyNumberFormat="1" applyFont="1" applyFill="1" applyBorder="1" applyAlignment="1" applyProtection="1">
      <alignment horizontal="center"/>
    </xf>
    <xf numFmtId="167" fontId="46" fillId="0" borderId="0" xfId="0" applyNumberFormat="1" applyFont="1" applyBorder="1" applyAlignment="1">
      <alignment horizontal="left"/>
    </xf>
    <xf numFmtId="0" fontId="0" fillId="0" borderId="18" xfId="0" quotePrefix="1" applyBorder="1" applyAlignment="1">
      <alignment horizontal="center"/>
    </xf>
    <xf numFmtId="167" fontId="82" fillId="0" borderId="0" xfId="0" applyNumberFormat="1" applyFont="1" applyBorder="1"/>
    <xf numFmtId="0" fontId="0" fillId="0" borderId="18" xfId="0" applyBorder="1" applyAlignment="1">
      <alignment horizontal="center"/>
    </xf>
    <xf numFmtId="0" fontId="0" fillId="0" borderId="17" xfId="0" applyBorder="1"/>
    <xf numFmtId="0" fontId="35" fillId="0" borderId="17" xfId="0" applyFont="1" applyBorder="1" applyAlignment="1">
      <alignment horizontal="center"/>
    </xf>
    <xf numFmtId="180" fontId="35" fillId="0" borderId="0" xfId="0" applyNumberFormat="1" applyFont="1"/>
    <xf numFmtId="44" fontId="35" fillId="0" borderId="0" xfId="0" applyNumberFormat="1" applyFont="1" applyBorder="1"/>
    <xf numFmtId="166" fontId="35" fillId="0" borderId="0" xfId="0" applyNumberFormat="1" applyFont="1" applyBorder="1"/>
    <xf numFmtId="14" fontId="83" fillId="0" borderId="0" xfId="0" quotePrefix="1" applyNumberFormat="1" applyFont="1" applyBorder="1" applyAlignment="1">
      <alignment horizontal="center"/>
    </xf>
    <xf numFmtId="14" fontId="35" fillId="0" borderId="0" xfId="0" applyNumberFormat="1" applyFont="1" applyBorder="1" applyAlignment="1">
      <alignment horizontal="center"/>
    </xf>
    <xf numFmtId="167" fontId="82" fillId="0" borderId="0" xfId="0" applyNumberFormat="1" applyFont="1" applyFill="1" applyBorder="1"/>
    <xf numFmtId="44" fontId="72" fillId="0" borderId="0" xfId="0" applyNumberFormat="1" applyFont="1" applyFill="1" applyBorder="1"/>
    <xf numFmtId="42" fontId="71" fillId="0" borderId="0" xfId="0" applyNumberFormat="1" applyFont="1" applyBorder="1" applyAlignment="1">
      <alignment horizontal="center"/>
    </xf>
    <xf numFmtId="0" fontId="71" fillId="0" borderId="0" xfId="0" applyFont="1" applyBorder="1" applyAlignment="1">
      <alignment horizontal="center"/>
    </xf>
    <xf numFmtId="0" fontId="72" fillId="0" borderId="0" xfId="0" applyFont="1" applyAlignment="1">
      <alignment horizontal="center"/>
    </xf>
    <xf numFmtId="0" fontId="72" fillId="0" borderId="0" xfId="0" applyFont="1" applyBorder="1" applyAlignment="1">
      <alignment horizontal="center"/>
    </xf>
    <xf numFmtId="0" fontId="72" fillId="0" borderId="0" xfId="0" quotePrefix="1" applyFont="1" applyBorder="1" applyAlignment="1">
      <alignment horizontal="center"/>
    </xf>
    <xf numFmtId="0" fontId="2" fillId="0" borderId="18" xfId="0" applyFont="1" applyBorder="1" applyAlignment="1">
      <alignment horizontal="center"/>
    </xf>
    <xf numFmtId="44" fontId="35" fillId="0" borderId="2" xfId="0" applyNumberFormat="1" applyFont="1" applyBorder="1"/>
    <xf numFmtId="0" fontId="59" fillId="0" borderId="2" xfId="0" applyFont="1" applyBorder="1"/>
    <xf numFmtId="0" fontId="0" fillId="0" borderId="19" xfId="0" applyBorder="1"/>
    <xf numFmtId="41" fontId="46" fillId="0" borderId="0" xfId="0" applyNumberFormat="1" applyFont="1" applyFill="1" applyBorder="1"/>
    <xf numFmtId="0" fontId="35" fillId="0" borderId="9" xfId="0" applyFont="1" applyBorder="1"/>
    <xf numFmtId="0" fontId="35" fillId="5" borderId="20" xfId="0" applyFont="1" applyFill="1" applyBorder="1"/>
    <xf numFmtId="172" fontId="35" fillId="0" borderId="0" xfId="0" applyNumberFormat="1" applyFont="1" applyBorder="1"/>
    <xf numFmtId="44" fontId="35" fillId="0" borderId="0" xfId="0" applyNumberFormat="1" applyFont="1" applyBorder="1" applyAlignment="1">
      <alignment horizontal="right"/>
    </xf>
    <xf numFmtId="0" fontId="35" fillId="0" borderId="4" xfId="0" applyFont="1" applyFill="1" applyBorder="1"/>
    <xf numFmtId="167" fontId="35" fillId="0" borderId="0" xfId="0" applyNumberFormat="1" applyFont="1" applyFill="1" applyBorder="1"/>
    <xf numFmtId="164" fontId="35" fillId="0" borderId="0" xfId="0" applyNumberFormat="1" applyFont="1" applyFill="1" applyBorder="1"/>
    <xf numFmtId="44" fontId="35" fillId="0" borderId="0" xfId="0" applyNumberFormat="1" applyFont="1" applyFill="1" applyBorder="1"/>
    <xf numFmtId="17" fontId="46" fillId="0" borderId="0" xfId="0" applyNumberFormat="1" applyFont="1" applyBorder="1" applyAlignment="1">
      <alignment horizontal="left"/>
    </xf>
    <xf numFmtId="10" fontId="0" fillId="0" borderId="0" xfId="0" applyNumberFormat="1" applyBorder="1"/>
    <xf numFmtId="6" fontId="35" fillId="0" borderId="0" xfId="0" applyNumberFormat="1" applyFont="1" applyBorder="1" applyAlignment="1">
      <alignment horizontal="center"/>
    </xf>
    <xf numFmtId="0" fontId="35" fillId="0" borderId="0" xfId="0" applyFont="1" applyFill="1" applyBorder="1" applyAlignment="1">
      <alignment horizontal="center"/>
    </xf>
    <xf numFmtId="0" fontId="84" fillId="0" borderId="0" xfId="0" applyFont="1" applyFill="1" applyBorder="1"/>
    <xf numFmtId="167" fontId="84" fillId="0" borderId="0" xfId="0" applyNumberFormat="1" applyFont="1" applyFill="1" applyBorder="1"/>
    <xf numFmtId="0" fontId="84" fillId="0" borderId="0" xfId="0" applyFont="1" applyFill="1" applyBorder="1" applyAlignment="1">
      <alignment horizontal="center"/>
    </xf>
    <xf numFmtId="14" fontId="84" fillId="0" borderId="0" xfId="0" quotePrefix="1" applyNumberFormat="1" applyFont="1" applyBorder="1" applyAlignment="1">
      <alignment horizontal="center"/>
    </xf>
    <xf numFmtId="0" fontId="84" fillId="0" borderId="0" xfId="0" quotePrefix="1" applyFont="1" applyBorder="1" applyAlignment="1">
      <alignment horizontal="center"/>
    </xf>
    <xf numFmtId="0" fontId="98" fillId="0" borderId="0" xfId="0" applyFont="1" applyBorder="1"/>
    <xf numFmtId="14" fontId="72" fillId="0" borderId="0" xfId="0" applyNumberFormat="1" applyFont="1" applyFill="1" applyBorder="1" applyAlignment="1">
      <alignment horizontal="left"/>
    </xf>
    <xf numFmtId="0" fontId="59" fillId="0" borderId="0" xfId="0" applyFont="1" applyBorder="1"/>
    <xf numFmtId="0" fontId="2" fillId="0" borderId="0" xfId="0" applyFont="1" applyBorder="1" applyAlignment="1">
      <alignment horizontal="left"/>
    </xf>
    <xf numFmtId="0" fontId="71" fillId="0" borderId="0" xfId="0" applyFont="1" applyAlignment="1">
      <alignment horizontal="center"/>
    </xf>
    <xf numFmtId="0" fontId="46" fillId="0" borderId="0" xfId="0" applyFont="1" applyFill="1" applyBorder="1" applyAlignment="1">
      <alignment horizontal="left"/>
    </xf>
    <xf numFmtId="0" fontId="11" fillId="0" borderId="0" xfId="0" applyFont="1" applyBorder="1" applyAlignment="1">
      <alignment horizontal="left"/>
    </xf>
    <xf numFmtId="14" fontId="72" fillId="0" borderId="21" xfId="0" applyNumberFormat="1" applyFont="1" applyBorder="1"/>
    <xf numFmtId="0" fontId="72" fillId="0" borderId="6" xfId="0" applyFont="1" applyBorder="1"/>
    <xf numFmtId="0" fontId="5" fillId="0" borderId="0" xfId="0" applyNumberFormat="1" applyFont="1" applyFill="1" applyAlignment="1"/>
    <xf numFmtId="0" fontId="5" fillId="0" borderId="2" xfId="0" applyNumberFormat="1" applyFont="1" applyFill="1" applyBorder="1" applyAlignment="1"/>
    <xf numFmtId="0" fontId="5" fillId="0" borderId="0" xfId="0" applyNumberFormat="1" applyFont="1" applyAlignment="1"/>
    <xf numFmtId="0" fontId="0" fillId="0" borderId="17" xfId="0" applyBorder="1" applyAlignment="1">
      <alignment horizontal="center"/>
    </xf>
    <xf numFmtId="167" fontId="46" fillId="0" borderId="4" xfId="0" applyNumberFormat="1" applyFont="1" applyBorder="1"/>
    <xf numFmtId="0" fontId="46" fillId="0" borderId="17" xfId="0" applyFont="1" applyBorder="1"/>
    <xf numFmtId="0" fontId="0" fillId="0" borderId="18" xfId="0" quotePrefix="1" applyBorder="1"/>
    <xf numFmtId="44" fontId="35" fillId="0" borderId="4" xfId="0" applyNumberFormat="1" applyFont="1" applyBorder="1"/>
    <xf numFmtId="164" fontId="0" fillId="4" borderId="9" xfId="1" applyNumberFormat="1" applyFont="1" applyFill="1" applyBorder="1" applyAlignment="1"/>
    <xf numFmtId="164" fontId="0" fillId="0" borderId="9" xfId="1" applyNumberFormat="1" applyFont="1" applyBorder="1" applyAlignment="1"/>
    <xf numFmtId="164" fontId="0" fillId="0" borderId="1" xfId="1" applyNumberFormat="1" applyFont="1" applyBorder="1"/>
    <xf numFmtId="164" fontId="0" fillId="0" borderId="9" xfId="1" applyNumberFormat="1" applyFont="1" applyFill="1" applyBorder="1" applyAlignment="1"/>
    <xf numFmtId="164" fontId="0" fillId="0" borderId="8" xfId="1" applyNumberFormat="1" applyFont="1" applyFill="1" applyBorder="1" applyAlignment="1"/>
    <xf numFmtId="0" fontId="33" fillId="0" borderId="22" xfId="0" applyFont="1" applyFill="1" applyBorder="1" applyAlignment="1">
      <alignment horizontal="center"/>
    </xf>
    <xf numFmtId="166" fontId="35" fillId="0" borderId="4" xfId="0" applyNumberFormat="1" applyFont="1" applyBorder="1"/>
    <xf numFmtId="44" fontId="35" fillId="0" borderId="17" xfId="0" applyNumberFormat="1" applyFont="1" applyBorder="1"/>
    <xf numFmtId="44" fontId="3" fillId="0" borderId="0" xfId="0" applyNumberFormat="1" applyFont="1" applyBorder="1"/>
    <xf numFmtId="44" fontId="35" fillId="0" borderId="23" xfId="0" applyNumberFormat="1" applyFont="1" applyBorder="1"/>
    <xf numFmtId="44" fontId="98" fillId="0" borderId="0" xfId="0" applyNumberFormat="1" applyFont="1" applyBorder="1"/>
    <xf numFmtId="167" fontId="35" fillId="0" borderId="0" xfId="0" applyNumberFormat="1" applyFont="1" applyFill="1" applyBorder="1" applyAlignment="1"/>
    <xf numFmtId="0" fontId="71" fillId="0" borderId="17" xfId="0" applyFont="1" applyBorder="1" applyAlignment="1">
      <alignment horizontal="center"/>
    </xf>
    <xf numFmtId="0" fontId="71" fillId="0" borderId="0" xfId="0" applyFont="1" applyFill="1" applyBorder="1" applyAlignment="1">
      <alignment horizontal="center"/>
    </xf>
    <xf numFmtId="0" fontId="71" fillId="0" borderId="0" xfId="0" quotePrefix="1" applyFont="1" applyFill="1" applyBorder="1" applyAlignment="1">
      <alignment horizontal="center"/>
    </xf>
    <xf numFmtId="0" fontId="71" fillId="0" borderId="17" xfId="0" applyFont="1" applyBorder="1" applyAlignment="1">
      <alignment horizontal="left"/>
    </xf>
    <xf numFmtId="0" fontId="71" fillId="0" borderId="24" xfId="0" applyFont="1" applyBorder="1" applyAlignment="1">
      <alignment horizontal="left"/>
    </xf>
    <xf numFmtId="0" fontId="71" fillId="0" borderId="2" xfId="0" applyFont="1" applyBorder="1" applyAlignment="1">
      <alignment horizontal="left"/>
    </xf>
    <xf numFmtId="0" fontId="3" fillId="0" borderId="2" xfId="0" applyFont="1" applyBorder="1" applyAlignment="1">
      <alignment horizontal="left"/>
    </xf>
    <xf numFmtId="6" fontId="35" fillId="0" borderId="0" xfId="0" applyNumberFormat="1" applyFont="1" applyFill="1" applyBorder="1" applyAlignment="1">
      <alignment horizontal="center"/>
    </xf>
    <xf numFmtId="167" fontId="46" fillId="0" borderId="0" xfId="0" applyNumberFormat="1" applyFont="1" applyFill="1" applyBorder="1"/>
    <xf numFmtId="3" fontId="5" fillId="4" borderId="0" xfId="0" applyNumberFormat="1" applyFont="1" applyFill="1" applyAlignment="1"/>
    <xf numFmtId="10" fontId="5" fillId="4" borderId="0" xfId="0" applyNumberFormat="1" applyFont="1" applyFill="1"/>
    <xf numFmtId="0" fontId="12" fillId="0" borderId="0" xfId="0" applyFont="1" applyFill="1" applyBorder="1" applyAlignment="1"/>
    <xf numFmtId="164" fontId="33" fillId="4" borderId="0" xfId="2" applyNumberFormat="1" applyFont="1" applyFill="1" applyBorder="1" applyAlignment="1">
      <alignment horizontal="center" wrapText="1"/>
    </xf>
    <xf numFmtId="164" fontId="33" fillId="4" borderId="4" xfId="2" applyNumberFormat="1" applyFont="1" applyFill="1" applyBorder="1" applyAlignment="1">
      <alignment horizontal="center" wrapText="1"/>
    </xf>
    <xf numFmtId="164" fontId="0" fillId="4" borderId="0" xfId="2" applyNumberFormat="1" applyFont="1" applyFill="1" applyBorder="1"/>
    <xf numFmtId="164" fontId="0" fillId="4" borderId="0" xfId="2" applyNumberFormat="1" applyFont="1" applyFill="1" applyBorder="1" applyAlignment="1"/>
    <xf numFmtId="164" fontId="0" fillId="4" borderId="4" xfId="2" applyNumberFormat="1" applyFont="1" applyFill="1" applyBorder="1"/>
    <xf numFmtId="164" fontId="0" fillId="4" borderId="4" xfId="2" applyNumberFormat="1" applyFont="1" applyFill="1" applyBorder="1" applyAlignment="1"/>
    <xf numFmtId="164" fontId="33" fillId="0" borderId="9" xfId="2" applyNumberFormat="1" applyFont="1" applyFill="1" applyBorder="1" applyAlignment="1">
      <alignment horizontal="center"/>
    </xf>
    <xf numFmtId="164" fontId="33" fillId="0" borderId="9" xfId="2" applyNumberFormat="1" applyFont="1" applyFill="1" applyBorder="1"/>
    <xf numFmtId="168" fontId="0" fillId="0" borderId="25" xfId="0" applyNumberFormat="1" applyFill="1" applyBorder="1"/>
    <xf numFmtId="178" fontId="0" fillId="0" borderId="0" xfId="1" applyNumberFormat="1" applyFont="1" applyFill="1"/>
    <xf numFmtId="178" fontId="0" fillId="0" borderId="4" xfId="1" applyNumberFormat="1" applyFont="1" applyFill="1" applyBorder="1"/>
    <xf numFmtId="0" fontId="0" fillId="0" borderId="24" xfId="0" applyBorder="1"/>
    <xf numFmtId="165" fontId="35" fillId="0" borderId="17" xfId="0" applyNumberFormat="1" applyFont="1" applyBorder="1"/>
    <xf numFmtId="180" fontId="35" fillId="0" borderId="23" xfId="0" applyNumberFormat="1" applyFont="1" applyBorder="1"/>
    <xf numFmtId="0" fontId="12" fillId="0" borderId="4" xfId="0" applyFont="1" applyBorder="1"/>
    <xf numFmtId="0" fontId="72" fillId="0" borderId="17" xfId="0" applyFont="1" applyBorder="1" applyAlignment="1">
      <alignment horizontal="center"/>
    </xf>
    <xf numFmtId="0" fontId="15" fillId="0" borderId="0" xfId="0" applyFont="1"/>
    <xf numFmtId="164" fontId="12" fillId="0" borderId="0" xfId="1" applyNumberFormat="1" applyFont="1" applyAlignment="1">
      <alignment horizontal="right" wrapText="1"/>
    </xf>
    <xf numFmtId="164" fontId="0" fillId="0" borderId="0" xfId="0" applyNumberFormat="1" applyAlignment="1"/>
    <xf numFmtId="43" fontId="0" fillId="0" borderId="0" xfId="1" applyFont="1"/>
    <xf numFmtId="164" fontId="0" fillId="0" borderId="8" xfId="1" applyNumberFormat="1" applyFont="1" applyFill="1" applyBorder="1"/>
    <xf numFmtId="164" fontId="12" fillId="0" borderId="0" xfId="0" applyNumberFormat="1" applyFont="1"/>
    <xf numFmtId="0" fontId="6" fillId="0" borderId="4" xfId="0" applyFont="1" applyFill="1" applyBorder="1"/>
    <xf numFmtId="0" fontId="5" fillId="0" borderId="0" xfId="0" applyNumberFormat="1" applyFont="1" applyFill="1" applyBorder="1" applyAlignment="1">
      <alignment horizontal="left"/>
    </xf>
    <xf numFmtId="0" fontId="99" fillId="0" borderId="0" xfId="0" applyNumberFormat="1" applyFont="1" applyFill="1" applyAlignment="1"/>
    <xf numFmtId="3" fontId="99" fillId="0" borderId="0" xfId="0" applyNumberFormat="1" applyFont="1" applyFill="1" applyBorder="1" applyAlignment="1"/>
    <xf numFmtId="3" fontId="26" fillId="0" borderId="9" xfId="0" applyNumberFormat="1" applyFont="1" applyFill="1" applyBorder="1" applyAlignment="1"/>
    <xf numFmtId="0" fontId="26" fillId="0" borderId="9" xfId="0" applyNumberFormat="1" applyFont="1" applyFill="1" applyBorder="1" applyAlignment="1"/>
    <xf numFmtId="164" fontId="0" fillId="0" borderId="1" xfId="1" applyNumberFormat="1" applyFont="1" applyFill="1" applyBorder="1"/>
    <xf numFmtId="164" fontId="36" fillId="0" borderId="0" xfId="1" applyNumberFormat="1" applyFont="1" applyFill="1" applyBorder="1"/>
    <xf numFmtId="164" fontId="94" fillId="0" borderId="0" xfId="1" applyNumberFormat="1" applyFont="1" applyBorder="1"/>
    <xf numFmtId="164" fontId="94" fillId="0" borderId="0" xfId="1" applyNumberFormat="1" applyFont="1" applyFill="1" applyBorder="1"/>
    <xf numFmtId="164" fontId="94" fillId="0" borderId="0" xfId="1" applyNumberFormat="1" applyFont="1" applyFill="1" applyBorder="1" applyAlignment="1">
      <alignment horizontal="center"/>
    </xf>
    <xf numFmtId="164" fontId="36" fillId="0" borderId="0" xfId="1" applyNumberFormat="1" applyFont="1" applyFill="1" applyBorder="1" applyAlignment="1">
      <alignment horizontal="left"/>
    </xf>
    <xf numFmtId="164" fontId="36" fillId="0" borderId="0" xfId="1" applyNumberFormat="1" applyFont="1" applyBorder="1"/>
    <xf numFmtId="0" fontId="15" fillId="0" borderId="0" xfId="0" applyFont="1" applyAlignment="1"/>
    <xf numFmtId="164" fontId="0" fillId="4" borderId="0" xfId="2" applyNumberFormat="1" applyFont="1" applyFill="1"/>
    <xf numFmtId="164" fontId="0" fillId="0" borderId="25" xfId="1" applyNumberFormat="1" applyFont="1" applyFill="1" applyBorder="1"/>
    <xf numFmtId="3" fontId="6" fillId="0" borderId="0" xfId="1" applyNumberFormat="1" applyFont="1" applyFill="1" applyAlignment="1">
      <alignment horizontal="right"/>
    </xf>
    <xf numFmtId="3" fontId="3" fillId="0" borderId="0" xfId="1" applyNumberFormat="1" applyFont="1" applyFill="1"/>
    <xf numFmtId="3" fontId="5" fillId="3" borderId="0" xfId="0" applyNumberFormat="1" applyFont="1" applyFill="1" applyBorder="1" applyAlignment="1">
      <alignment horizontal="center" wrapText="1"/>
    </xf>
    <xf numFmtId="3" fontId="3" fillId="0" borderId="0" xfId="18" applyNumberFormat="1" applyFont="1" applyAlignment="1"/>
    <xf numFmtId="3" fontId="5" fillId="4" borderId="0" xfId="1" applyNumberFormat="1" applyFont="1" applyFill="1" applyBorder="1"/>
    <xf numFmtId="3" fontId="5" fillId="0" borderId="0" xfId="1" applyNumberFormat="1" applyFont="1"/>
    <xf numFmtId="3" fontId="3" fillId="0" borderId="0" xfId="1" applyNumberFormat="1" applyFont="1" applyAlignment="1"/>
    <xf numFmtId="3" fontId="3" fillId="0" borderId="0" xfId="1" applyNumberFormat="1" applyFont="1" applyFill="1" applyAlignment="1"/>
    <xf numFmtId="3" fontId="6" fillId="0" borderId="0" xfId="1" applyNumberFormat="1" applyFont="1" applyFill="1" applyAlignment="1"/>
    <xf numFmtId="3" fontId="3" fillId="0" borderId="0" xfId="0" applyNumberFormat="1" applyFont="1" applyFill="1"/>
    <xf numFmtId="164" fontId="12" fillId="0" borderId="0" xfId="1" applyNumberFormat="1" applyFont="1"/>
    <xf numFmtId="164" fontId="12" fillId="0" borderId="0" xfId="1" applyNumberFormat="1" applyFont="1" applyAlignment="1">
      <alignment horizontal="left" wrapText="1"/>
    </xf>
    <xf numFmtId="164" fontId="12" fillId="0" borderId="0" xfId="1" applyNumberFormat="1" applyFont="1" applyAlignment="1">
      <alignment horizontal="left" vertical="center" wrapText="1"/>
    </xf>
    <xf numFmtId="164" fontId="12" fillId="0" borderId="4" xfId="1" applyNumberFormat="1" applyFont="1" applyBorder="1"/>
    <xf numFmtId="164" fontId="2" fillId="0" borderId="3" xfId="1" applyNumberFormat="1" applyFont="1" applyFill="1" applyBorder="1" applyAlignment="1">
      <alignment horizontal="right" wrapText="1"/>
    </xf>
    <xf numFmtId="165" fontId="6" fillId="4" borderId="0" xfId="1" applyNumberFormat="1" applyFont="1" applyFill="1" applyBorder="1" applyAlignment="1"/>
    <xf numFmtId="3" fontId="3" fillId="0" borderId="3" xfId="1" applyNumberFormat="1" applyFont="1" applyFill="1" applyBorder="1" applyAlignment="1">
      <alignment horizontal="right"/>
    </xf>
    <xf numFmtId="3" fontId="0" fillId="0" borderId="0" xfId="0" applyNumberFormat="1" applyBorder="1"/>
    <xf numFmtId="0" fontId="43" fillId="0" borderId="0" xfId="0" applyFont="1" applyBorder="1"/>
    <xf numFmtId="0" fontId="43" fillId="0" borderId="9" xfId="0" applyFont="1" applyBorder="1"/>
    <xf numFmtId="0" fontId="12" fillId="0" borderId="10" xfId="15" applyFont="1" applyFill="1" applyBorder="1" applyAlignment="1">
      <alignment horizontal="center"/>
    </xf>
    <xf numFmtId="0" fontId="43" fillId="0" borderId="1" xfId="0" applyFont="1" applyBorder="1"/>
    <xf numFmtId="0" fontId="43" fillId="0" borderId="8" xfId="0" applyFont="1" applyBorder="1"/>
    <xf numFmtId="0" fontId="12" fillId="0" borderId="7" xfId="15" applyFont="1" applyBorder="1" applyAlignment="1">
      <alignment horizontal="center"/>
    </xf>
    <xf numFmtId="10" fontId="33" fillId="0" borderId="10" xfId="18" applyNumberFormat="1" applyFont="1" applyFill="1" applyBorder="1" applyAlignment="1">
      <alignment horizontal="right"/>
    </xf>
    <xf numFmtId="0" fontId="33" fillId="0" borderId="0" xfId="0" applyFont="1" applyFill="1" applyBorder="1" applyAlignment="1">
      <alignment horizontal="right"/>
    </xf>
    <xf numFmtId="0" fontId="33" fillId="0" borderId="9" xfId="0" applyFont="1" applyFill="1" applyBorder="1" applyAlignment="1">
      <alignment horizontal="right"/>
    </xf>
    <xf numFmtId="0" fontId="70" fillId="0" borderId="0" xfId="0" applyFont="1" applyFill="1" applyBorder="1" applyAlignment="1">
      <alignment horizontal="right"/>
    </xf>
    <xf numFmtId="164" fontId="33" fillId="0" borderId="9" xfId="2" applyNumberFormat="1" applyFont="1" applyFill="1" applyBorder="1" applyAlignment="1">
      <alignment horizontal="right"/>
    </xf>
    <xf numFmtId="0" fontId="37" fillId="0" borderId="0" xfId="0" applyFont="1" applyFill="1" applyBorder="1" applyAlignment="1">
      <alignment horizontal="right"/>
    </xf>
    <xf numFmtId="0" fontId="37" fillId="0" borderId="9" xfId="0" applyFont="1" applyFill="1" applyBorder="1" applyAlignment="1">
      <alignment horizontal="right"/>
    </xf>
    <xf numFmtId="0" fontId="33" fillId="0" borderId="10" xfId="0" applyFont="1" applyFill="1" applyBorder="1" applyAlignment="1">
      <alignment horizontal="right"/>
    </xf>
    <xf numFmtId="10" fontId="33" fillId="0" borderId="10" xfId="0" applyNumberFormat="1" applyFont="1" applyFill="1" applyBorder="1" applyAlignment="1">
      <alignment horizontal="right"/>
    </xf>
    <xf numFmtId="164" fontId="33" fillId="0" borderId="0" xfId="2" applyNumberFormat="1" applyFont="1" applyFill="1" applyBorder="1" applyAlignment="1">
      <alignment horizontal="right"/>
    </xf>
    <xf numFmtId="3" fontId="12" fillId="0" borderId="0" xfId="1" applyNumberFormat="1" applyFont="1"/>
    <xf numFmtId="3" fontId="12" fillId="0" borderId="0" xfId="1" applyNumberFormat="1" applyFont="1" applyAlignment="1">
      <alignment horizontal="right" wrapText="1"/>
    </xf>
    <xf numFmtId="164" fontId="33" fillId="4" borderId="0" xfId="1" applyNumberFormat="1" applyFont="1" applyFill="1" applyBorder="1" applyAlignment="1">
      <alignment horizontal="right"/>
    </xf>
    <xf numFmtId="164" fontId="33" fillId="0" borderId="0" xfId="1" applyNumberFormat="1" applyFont="1" applyBorder="1" applyAlignment="1">
      <alignment horizontal="right"/>
    </xf>
    <xf numFmtId="164" fontId="33" fillId="0" borderId="1" xfId="1" applyNumberFormat="1" applyFont="1" applyBorder="1" applyAlignment="1">
      <alignment horizontal="right"/>
    </xf>
    <xf numFmtId="43" fontId="33" fillId="0" borderId="1" xfId="1" applyFont="1" applyFill="1" applyBorder="1" applyAlignment="1">
      <alignment horizontal="center"/>
    </xf>
    <xf numFmtId="3" fontId="12" fillId="0" borderId="0" xfId="1" applyNumberFormat="1" applyFont="1" applyAlignment="1">
      <alignment horizontal="right"/>
    </xf>
    <xf numFmtId="3" fontId="12" fillId="4" borderId="0" xfId="1" applyNumberFormat="1" applyFont="1" applyFill="1" applyAlignment="1"/>
    <xf numFmtId="3" fontId="12" fillId="0" borderId="0" xfId="1" applyNumberFormat="1" applyFont="1" applyFill="1" applyAlignment="1">
      <alignment horizontal="right"/>
    </xf>
    <xf numFmtId="3" fontId="12" fillId="0" borderId="0" xfId="1" applyNumberFormat="1" applyFont="1" applyFill="1" applyAlignment="1">
      <alignment horizontal="right" wrapText="1"/>
    </xf>
    <xf numFmtId="3" fontId="12" fillId="4" borderId="4" xfId="1" applyNumberFormat="1" applyFont="1" applyFill="1" applyBorder="1" applyAlignment="1">
      <alignment horizontal="right"/>
    </xf>
    <xf numFmtId="43" fontId="2" fillId="0" borderId="0" xfId="1" applyFont="1" applyFill="1" applyBorder="1" applyAlignment="1"/>
    <xf numFmtId="1" fontId="0" fillId="0" borderId="0" xfId="1" applyNumberFormat="1" applyFont="1" applyFill="1" applyAlignment="1">
      <alignment horizontal="right"/>
    </xf>
    <xf numFmtId="1" fontId="0" fillId="0" borderId="0" xfId="0" applyNumberFormat="1" applyFill="1" applyAlignment="1">
      <alignment horizontal="right" wrapText="1"/>
    </xf>
    <xf numFmtId="164" fontId="12" fillId="0" borderId="10" xfId="1" applyNumberFormat="1" applyFont="1" applyFill="1" applyBorder="1" applyAlignment="1"/>
    <xf numFmtId="164" fontId="12" fillId="0" borderId="10" xfId="1" applyNumberFormat="1" applyFont="1" applyBorder="1" applyAlignment="1"/>
    <xf numFmtId="164" fontId="12" fillId="0" borderId="7" xfId="1" applyNumberFormat="1" applyFont="1" applyFill="1" applyBorder="1" applyAlignment="1"/>
    <xf numFmtId="164" fontId="12" fillId="0" borderId="10" xfId="1" applyNumberFormat="1" applyFont="1" applyFill="1" applyBorder="1" applyAlignment="1">
      <alignment horizontal="center"/>
    </xf>
    <xf numFmtId="164" fontId="12" fillId="0" borderId="10" xfId="1" applyNumberFormat="1" applyFont="1" applyFill="1" applyBorder="1"/>
    <xf numFmtId="164" fontId="12" fillId="0" borderId="7" xfId="1" applyNumberFormat="1" applyFont="1" applyFill="1" applyBorder="1" applyAlignment="1">
      <alignment horizontal="center"/>
    </xf>
    <xf numFmtId="0" fontId="2" fillId="0" borderId="11" xfId="0" applyFont="1" applyFill="1" applyBorder="1" applyAlignment="1">
      <alignment horizontal="center" wrapText="1"/>
    </xf>
    <xf numFmtId="0" fontId="36" fillId="0" borderId="11" xfId="0" applyFont="1" applyFill="1" applyBorder="1" applyAlignment="1">
      <alignment horizontal="center"/>
    </xf>
    <xf numFmtId="0" fontId="36" fillId="0" borderId="26" xfId="0" applyFont="1" applyFill="1" applyBorder="1" applyAlignment="1">
      <alignment horizontal="center"/>
    </xf>
    <xf numFmtId="37" fontId="3" fillId="0" borderId="0" xfId="0" applyNumberFormat="1" applyFont="1" applyBorder="1" applyAlignment="1">
      <alignment horizontal="center"/>
    </xf>
    <xf numFmtId="43" fontId="33" fillId="0" borderId="0" xfId="1" applyFont="1" applyFill="1" applyBorder="1"/>
    <xf numFmtId="37" fontId="3" fillId="0" borderId="0" xfId="0" applyNumberFormat="1" applyFont="1" applyBorder="1" applyAlignment="1">
      <alignment horizontal="center" wrapText="1"/>
    </xf>
    <xf numFmtId="37" fontId="5" fillId="0" borderId="0" xfId="0" applyNumberFormat="1" applyFont="1" applyBorder="1" applyAlignment="1">
      <alignment horizontal="center" wrapText="1"/>
    </xf>
    <xf numFmtId="2" fontId="0" fillId="0" borderId="0" xfId="0" applyNumberFormat="1" applyBorder="1" applyAlignment="1">
      <alignment horizontal="center" wrapText="1"/>
    </xf>
    <xf numFmtId="181" fontId="5" fillId="0" borderId="0" xfId="0" applyNumberFormat="1" applyFont="1" applyBorder="1" applyAlignment="1">
      <alignment horizontal="right"/>
    </xf>
    <xf numFmtId="43" fontId="33" fillId="0" borderId="1" xfId="1" applyFont="1" applyBorder="1"/>
    <xf numFmtId="0" fontId="33" fillId="0" borderId="10" xfId="0" applyFont="1" applyFill="1" applyBorder="1" applyAlignment="1">
      <alignment horizontal="center" wrapText="1"/>
    </xf>
    <xf numFmtId="0" fontId="45" fillId="0" borderId="10" xfId="0" applyFont="1" applyBorder="1" applyAlignment="1">
      <alignment horizontal="center"/>
    </xf>
    <xf numFmtId="166" fontId="27" fillId="0" borderId="0" xfId="9" applyNumberFormat="1" applyFont="1" applyAlignment="1">
      <alignment horizontal="left"/>
    </xf>
    <xf numFmtId="0" fontId="27" fillId="0" borderId="0" xfId="0" applyFont="1" applyAlignment="1">
      <alignment horizontal="left"/>
    </xf>
    <xf numFmtId="43" fontId="33" fillId="0" borderId="0" xfId="0" applyNumberFormat="1" applyFont="1"/>
    <xf numFmtId="0" fontId="66" fillId="0" borderId="0" xfId="0" applyFont="1" applyAlignment="1">
      <alignment horizontal="center"/>
    </xf>
    <xf numFmtId="0" fontId="46" fillId="0" borderId="0" xfId="0" applyNumberFormat="1" applyFont="1" applyAlignment="1">
      <alignment horizontal="left"/>
    </xf>
    <xf numFmtId="166" fontId="46" fillId="0" borderId="0" xfId="0" applyNumberFormat="1" applyFont="1"/>
    <xf numFmtId="0" fontId="66" fillId="0" borderId="0" xfId="0" applyFont="1" applyFill="1" applyAlignment="1">
      <alignment horizontal="center" vertical="top" wrapText="1"/>
    </xf>
    <xf numFmtId="0" fontId="0" fillId="4" borderId="12" xfId="0" applyFill="1" applyBorder="1" applyAlignment="1">
      <alignment horizontal="center"/>
    </xf>
    <xf numFmtId="0" fontId="97" fillId="0" borderId="0" xfId="0" applyFont="1" applyFill="1"/>
    <xf numFmtId="0" fontId="97" fillId="0" borderId="0" xfId="0" applyFont="1"/>
    <xf numFmtId="172" fontId="33" fillId="0" borderId="10" xfId="0" applyNumberFormat="1" applyFont="1" applyFill="1" applyBorder="1" applyAlignment="1">
      <alignment horizontal="right"/>
    </xf>
    <xf numFmtId="0" fontId="46" fillId="0" borderId="0" xfId="16" applyFont="1" applyBorder="1"/>
    <xf numFmtId="0" fontId="12" fillId="0" borderId="0" xfId="16"/>
    <xf numFmtId="0" fontId="46" fillId="0" borderId="0" xfId="16" applyFont="1" applyFill="1" applyBorder="1"/>
    <xf numFmtId="43" fontId="46" fillId="0" borderId="0" xfId="16" applyNumberFormat="1" applyFont="1" applyFill="1" applyBorder="1"/>
    <xf numFmtId="0" fontId="72" fillId="0" borderId="12" xfId="16" applyFont="1" applyFill="1" applyBorder="1"/>
    <xf numFmtId="0" fontId="35" fillId="0" borderId="11" xfId="16" applyFont="1" applyFill="1" applyBorder="1"/>
    <xf numFmtId="0" fontId="35" fillId="0" borderId="13" xfId="16" applyFont="1" applyFill="1" applyBorder="1"/>
    <xf numFmtId="0" fontId="35" fillId="0" borderId="0" xfId="16" applyFont="1" applyFill="1" applyBorder="1"/>
    <xf numFmtId="0" fontId="72" fillId="0" borderId="7" xfId="16" applyFont="1" applyFill="1" applyBorder="1"/>
    <xf numFmtId="0" fontId="35" fillId="0" borderId="1" xfId="16" applyFont="1" applyFill="1" applyBorder="1"/>
    <xf numFmtId="166" fontId="72" fillId="4" borderId="8" xfId="11" applyNumberFormat="1" applyFont="1" applyFill="1" applyBorder="1"/>
    <xf numFmtId="166" fontId="72" fillId="0" borderId="0" xfId="11" applyNumberFormat="1" applyFont="1" applyFill="1" applyBorder="1"/>
    <xf numFmtId="0" fontId="72" fillId="0" borderId="0" xfId="16" applyFont="1" applyFill="1" applyBorder="1"/>
    <xf numFmtId="0" fontId="35" fillId="0" borderId="0" xfId="16" applyFont="1" applyFill="1"/>
    <xf numFmtId="0" fontId="72" fillId="0" borderId="10" xfId="16" applyFont="1" applyFill="1" applyBorder="1"/>
    <xf numFmtId="9" fontId="72" fillId="0" borderId="9" xfId="18" applyFont="1" applyFill="1" applyBorder="1"/>
    <xf numFmtId="0" fontId="12" fillId="0" borderId="0" xfId="16" applyFill="1"/>
    <xf numFmtId="0" fontId="71" fillId="0" borderId="10" xfId="16" applyFont="1" applyFill="1" applyBorder="1"/>
    <xf numFmtId="0" fontId="12" fillId="0" borderId="0" xfId="16" applyFill="1" applyBorder="1"/>
    <xf numFmtId="10" fontId="71" fillId="0" borderId="9" xfId="20" applyNumberFormat="1" applyFont="1" applyFill="1" applyBorder="1"/>
    <xf numFmtId="10" fontId="71" fillId="0" borderId="0" xfId="20" applyNumberFormat="1" applyFont="1" applyFill="1" applyBorder="1"/>
    <xf numFmtId="0" fontId="28" fillId="0" borderId="10" xfId="16" applyFont="1" applyFill="1" applyBorder="1"/>
    <xf numFmtId="0" fontId="12" fillId="0" borderId="0" xfId="16" applyFill="1" applyBorder="1" applyAlignment="1">
      <alignment horizontal="center"/>
    </xf>
    <xf numFmtId="0" fontId="73" fillId="0" borderId="0" xfId="16" applyFont="1" applyFill="1" applyBorder="1"/>
    <xf numFmtId="166" fontId="46" fillId="0" borderId="0" xfId="9" applyNumberFormat="1" applyFont="1" applyFill="1" applyBorder="1"/>
    <xf numFmtId="0" fontId="74" fillId="0" borderId="0" xfId="16" applyFont="1" applyFill="1" applyBorder="1" applyAlignment="1">
      <alignment horizontal="center"/>
    </xf>
    <xf numFmtId="0" fontId="71" fillId="0" borderId="7" xfId="16" applyFont="1" applyFill="1" applyBorder="1"/>
    <xf numFmtId="0" fontId="46" fillId="0" borderId="1" xfId="16" applyFont="1" applyFill="1" applyBorder="1"/>
    <xf numFmtId="10" fontId="71" fillId="0" borderId="8" xfId="20" applyNumberFormat="1" applyFont="1" applyFill="1" applyBorder="1"/>
    <xf numFmtId="0" fontId="71" fillId="0" borderId="0" xfId="16" applyFont="1" applyFill="1" applyBorder="1"/>
    <xf numFmtId="166" fontId="46" fillId="0" borderId="0" xfId="11" applyNumberFormat="1" applyFont="1" applyFill="1" applyBorder="1"/>
    <xf numFmtId="0" fontId="46" fillId="0" borderId="11" xfId="16" applyFont="1" applyFill="1" applyBorder="1"/>
    <xf numFmtId="166" fontId="46" fillId="0" borderId="13" xfId="11" applyNumberFormat="1" applyFont="1" applyFill="1" applyBorder="1"/>
    <xf numFmtId="166" fontId="46" fillId="0" borderId="9" xfId="11" applyNumberFormat="1" applyFont="1" applyFill="1" applyBorder="1"/>
    <xf numFmtId="0" fontId="46" fillId="0" borderId="10" xfId="16" applyFont="1" applyFill="1" applyBorder="1"/>
    <xf numFmtId="164" fontId="46" fillId="4" borderId="9" xfId="3" applyNumberFormat="1" applyFont="1" applyFill="1" applyBorder="1"/>
    <xf numFmtId="164" fontId="46" fillId="0" borderId="0" xfId="3" applyNumberFormat="1" applyFont="1" applyFill="1" applyBorder="1"/>
    <xf numFmtId="164" fontId="71" fillId="0" borderId="27" xfId="3" applyNumberFormat="1" applyFont="1" applyFill="1" applyBorder="1"/>
    <xf numFmtId="164" fontId="71" fillId="0" borderId="0" xfId="3" applyNumberFormat="1" applyFont="1" applyFill="1" applyBorder="1"/>
    <xf numFmtId="167" fontId="46" fillId="0" borderId="0" xfId="18" applyNumberFormat="1" applyFont="1" applyFill="1" applyBorder="1"/>
    <xf numFmtId="164" fontId="46" fillId="0" borderId="0" xfId="1" applyNumberFormat="1" applyFont="1" applyFill="1" applyBorder="1"/>
    <xf numFmtId="171" fontId="46" fillId="4" borderId="9" xfId="1" applyNumberFormat="1" applyFont="1" applyFill="1" applyBorder="1"/>
    <xf numFmtId="177" fontId="46" fillId="0" borderId="0" xfId="1" applyNumberFormat="1" applyFont="1" applyFill="1" applyBorder="1"/>
    <xf numFmtId="164" fontId="46" fillId="0" borderId="1" xfId="3" applyNumberFormat="1" applyFont="1" applyFill="1" applyBorder="1"/>
    <xf numFmtId="171" fontId="46" fillId="4" borderId="8" xfId="1" applyNumberFormat="1" applyFont="1" applyFill="1" applyBorder="1"/>
    <xf numFmtId="171" fontId="46" fillId="0" borderId="0" xfId="1" applyNumberFormat="1" applyFont="1" applyFill="1" applyBorder="1"/>
    <xf numFmtId="179" fontId="46" fillId="0" borderId="0" xfId="16" applyNumberFormat="1" applyFont="1" applyFill="1" applyBorder="1"/>
    <xf numFmtId="172" fontId="12" fillId="4" borderId="22" xfId="18" applyNumberFormat="1" applyFont="1" applyFill="1" applyBorder="1"/>
    <xf numFmtId="167" fontId="12" fillId="4" borderId="22" xfId="18" applyNumberFormat="1" applyFont="1" applyFill="1" applyBorder="1"/>
    <xf numFmtId="0" fontId="2" fillId="0" borderId="0" xfId="16" applyFont="1" applyFill="1" applyBorder="1" applyAlignment="1">
      <alignment horizontal="center" wrapText="1"/>
    </xf>
    <xf numFmtId="43" fontId="12" fillId="0" borderId="0" xfId="16" applyNumberFormat="1"/>
    <xf numFmtId="49" fontId="12" fillId="0" borderId="0" xfId="16" applyNumberFormat="1" applyFont="1" applyAlignment="1">
      <alignment horizontal="right"/>
    </xf>
    <xf numFmtId="164" fontId="13" fillId="0" borderId="0" xfId="3" applyNumberFormat="1" applyFont="1" applyFill="1" applyBorder="1"/>
    <xf numFmtId="0" fontId="12" fillId="0" borderId="0" xfId="16" applyFont="1"/>
    <xf numFmtId="4" fontId="0" fillId="0" borderId="0" xfId="0" applyNumberFormat="1"/>
    <xf numFmtId="4" fontId="5" fillId="0" borderId="0" xfId="0" applyNumberFormat="1" applyFont="1"/>
    <xf numFmtId="3" fontId="3" fillId="0" borderId="0" xfId="0" applyNumberFormat="1" applyFont="1"/>
    <xf numFmtId="43" fontId="5" fillId="0" borderId="0" xfId="0" applyNumberFormat="1" applyFont="1"/>
    <xf numFmtId="0" fontId="27" fillId="0" borderId="8" xfId="0" applyNumberFormat="1" applyFont="1" applyBorder="1" applyAlignment="1">
      <alignment horizontal="left"/>
    </xf>
    <xf numFmtId="0" fontId="32" fillId="0" borderId="0" xfId="0" applyFont="1" applyFill="1" applyBorder="1" applyAlignment="1">
      <alignment horizontal="center" wrapText="1"/>
    </xf>
    <xf numFmtId="0" fontId="27" fillId="0" borderId="0" xfId="0" applyNumberFormat="1" applyFont="1" applyFill="1" applyBorder="1" applyAlignment="1">
      <alignment horizontal="left"/>
    </xf>
    <xf numFmtId="0" fontId="2" fillId="0" borderId="5" xfId="0" applyFont="1" applyBorder="1" applyAlignment="1">
      <alignment wrapText="1"/>
    </xf>
    <xf numFmtId="3" fontId="9" fillId="0" borderId="0" xfId="0" applyNumberFormat="1" applyFont="1"/>
    <xf numFmtId="0" fontId="9" fillId="0" borderId="0" xfId="0" applyFont="1"/>
    <xf numFmtId="0" fontId="11" fillId="0" borderId="0" xfId="0" applyFont="1" applyAlignment="1"/>
    <xf numFmtId="3" fontId="27" fillId="0" borderId="0" xfId="0" applyNumberFormat="1" applyFont="1" applyBorder="1" applyAlignment="1">
      <alignment horizontal="center"/>
    </xf>
    <xf numFmtId="0" fontId="36" fillId="0" borderId="0" xfId="0" applyFont="1" applyBorder="1" applyAlignment="1">
      <alignment horizontal="left"/>
    </xf>
    <xf numFmtId="164" fontId="101" fillId="0" borderId="0" xfId="1" applyNumberFormat="1" applyFont="1" applyFill="1" applyBorder="1" applyAlignment="1">
      <alignment horizontal="left"/>
    </xf>
    <xf numFmtId="0" fontId="47" fillId="0" borderId="0" xfId="0" applyFont="1" applyFill="1" applyAlignment="1">
      <alignment horizontal="center"/>
    </xf>
    <xf numFmtId="0" fontId="47" fillId="0" borderId="0" xfId="0" applyFont="1" applyFill="1"/>
    <xf numFmtId="0" fontId="5" fillId="0" borderId="0" xfId="16" applyFont="1" applyFill="1" applyBorder="1"/>
    <xf numFmtId="0" fontId="12" fillId="4" borderId="0" xfId="0" applyFont="1" applyFill="1" applyAlignment="1">
      <alignment wrapText="1"/>
    </xf>
    <xf numFmtId="37" fontId="33" fillId="0" borderId="10" xfId="2" applyNumberFormat="1" applyFont="1" applyFill="1" applyBorder="1" applyAlignment="1">
      <alignment horizontal="right"/>
    </xf>
    <xf numFmtId="164" fontId="12" fillId="0" borderId="0" xfId="1" applyNumberFormat="1" applyFont="1" applyFill="1" applyBorder="1" applyAlignment="1">
      <alignment horizontal="left"/>
    </xf>
    <xf numFmtId="0" fontId="57" fillId="0" borderId="0" xfId="0" applyFont="1" applyFill="1" applyBorder="1" applyAlignment="1">
      <alignment horizontal="left"/>
    </xf>
    <xf numFmtId="164" fontId="12" fillId="0" borderId="0" xfId="1" applyNumberFormat="1" applyFont="1" applyBorder="1" applyAlignment="1"/>
    <xf numFmtId="164" fontId="12" fillId="0" borderId="4" xfId="1" applyNumberFormat="1" applyFont="1" applyFill="1" applyBorder="1" applyAlignment="1"/>
    <xf numFmtId="164" fontId="2" fillId="0" borderId="0" xfId="1" applyNumberFormat="1" applyFont="1" applyFill="1" applyBorder="1" applyAlignment="1"/>
    <xf numFmtId="164" fontId="2" fillId="0" borderId="4" xfId="1" applyNumberFormat="1" applyFont="1" applyFill="1" applyBorder="1" applyAlignment="1">
      <alignment wrapText="1"/>
    </xf>
    <xf numFmtId="164" fontId="12" fillId="0" borderId="0" xfId="1" applyNumberFormat="1" applyFont="1" applyFill="1" applyBorder="1" applyAlignment="1">
      <alignment wrapText="1"/>
    </xf>
    <xf numFmtId="164" fontId="52" fillId="0" borderId="0" xfId="1" applyNumberFormat="1" applyFont="1" applyBorder="1" applyAlignment="1"/>
    <xf numFmtId="164" fontId="12" fillId="0" borderId="3" xfId="1" applyNumberFormat="1" applyFont="1" applyFill="1" applyBorder="1" applyAlignment="1"/>
    <xf numFmtId="164" fontId="5" fillId="0" borderId="0" xfId="1" applyNumberFormat="1" applyFont="1" applyFill="1" applyBorder="1" applyAlignment="1"/>
    <xf numFmtId="164" fontId="5" fillId="0" borderId="4" xfId="1" applyNumberFormat="1" applyFont="1" applyFill="1" applyBorder="1" applyAlignment="1"/>
    <xf numFmtId="164" fontId="2" fillId="0" borderId="0" xfId="1" applyNumberFormat="1" applyFont="1" applyFill="1" applyBorder="1" applyAlignment="1">
      <alignment wrapText="1"/>
    </xf>
    <xf numFmtId="164" fontId="52" fillId="0" borderId="0" xfId="1" applyNumberFormat="1" applyFont="1" applyFill="1" applyBorder="1" applyAlignment="1"/>
    <xf numFmtId="164" fontId="12" fillId="0" borderId="1" xfId="1" applyNumberFormat="1" applyFont="1" applyBorder="1" applyAlignment="1"/>
    <xf numFmtId="164" fontId="12" fillId="0" borderId="1" xfId="1" applyNumberFormat="1" applyFont="1" applyFill="1" applyBorder="1" applyAlignment="1"/>
    <xf numFmtId="164" fontId="2" fillId="0" borderId="1" xfId="1" applyNumberFormat="1" applyFont="1" applyFill="1" applyBorder="1" applyAlignment="1">
      <alignment wrapText="1"/>
    </xf>
    <xf numFmtId="164" fontId="12" fillId="0" borderId="7" xfId="1" applyNumberFormat="1" applyFont="1" applyBorder="1" applyAlignment="1"/>
    <xf numFmtId="164" fontId="12" fillId="0" borderId="1" xfId="1" applyNumberFormat="1" applyFont="1" applyFill="1" applyBorder="1" applyAlignment="1">
      <alignment wrapText="1"/>
    </xf>
    <xf numFmtId="164" fontId="12" fillId="0" borderId="0" xfId="1" applyNumberFormat="1" applyFont="1" applyBorder="1"/>
    <xf numFmtId="164" fontId="2" fillId="0" borderId="3" xfId="1" applyNumberFormat="1" applyFont="1" applyFill="1" applyBorder="1" applyAlignment="1"/>
    <xf numFmtId="164" fontId="2" fillId="0" borderId="28" xfId="1" applyNumberFormat="1" applyFont="1" applyFill="1" applyBorder="1" applyAlignment="1"/>
    <xf numFmtId="164" fontId="2" fillId="0" borderId="10" xfId="1" applyNumberFormat="1" applyFont="1" applyFill="1" applyBorder="1" applyAlignment="1"/>
    <xf numFmtId="164" fontId="2" fillId="0" borderId="10" xfId="1" applyNumberFormat="1" applyFont="1" applyFill="1" applyBorder="1" applyAlignment="1">
      <alignment wrapText="1"/>
    </xf>
    <xf numFmtId="164" fontId="12" fillId="0" borderId="29" xfId="1" applyNumberFormat="1" applyFont="1" applyFill="1" applyBorder="1" applyAlignment="1"/>
    <xf numFmtId="164" fontId="12" fillId="0" borderId="28" xfId="1" applyNumberFormat="1" applyFont="1" applyFill="1" applyBorder="1" applyAlignment="1"/>
    <xf numFmtId="164" fontId="12" fillId="0" borderId="0" xfId="1" applyNumberFormat="1" applyFont="1" applyFill="1" applyBorder="1" applyAlignment="1">
      <alignment horizontal="center" wrapText="1"/>
    </xf>
    <xf numFmtId="164" fontId="12" fillId="0" borderId="10" xfId="1" applyNumberFormat="1" applyFont="1" applyFill="1" applyBorder="1" applyAlignment="1">
      <alignment horizontal="right"/>
    </xf>
    <xf numFmtId="164" fontId="12" fillId="0" borderId="10" xfId="1" applyNumberFormat="1" applyFont="1" applyBorder="1" applyAlignment="1">
      <alignment horizontal="center"/>
    </xf>
    <xf numFmtId="164" fontId="12" fillId="0" borderId="0" xfId="1" applyNumberFormat="1" applyFont="1" applyBorder="1" applyAlignment="1">
      <alignment horizontal="center"/>
    </xf>
    <xf numFmtId="164" fontId="12" fillId="0" borderId="29" xfId="1" applyNumberFormat="1" applyFont="1" applyFill="1" applyBorder="1" applyAlignment="1">
      <alignment horizontal="right"/>
    </xf>
    <xf numFmtId="164" fontId="12" fillId="0" borderId="0" xfId="1" applyNumberFormat="1" applyFont="1" applyFill="1" applyBorder="1" applyAlignment="1">
      <alignment horizontal="right"/>
    </xf>
    <xf numFmtId="164" fontId="3" fillId="0" borderId="28" xfId="1" applyNumberFormat="1" applyFont="1" applyFill="1" applyBorder="1" applyAlignment="1">
      <alignment horizontal="right"/>
    </xf>
    <xf numFmtId="164" fontId="12" fillId="0" borderId="1" xfId="1" applyNumberFormat="1" applyFont="1" applyBorder="1" applyAlignment="1">
      <alignment horizontal="center"/>
    </xf>
    <xf numFmtId="164" fontId="12" fillId="0" borderId="7" xfId="1" applyNumberFormat="1" applyFont="1" applyBorder="1" applyAlignment="1">
      <alignment horizontal="center"/>
    </xf>
    <xf numFmtId="164" fontId="12" fillId="0" borderId="1" xfId="1" applyNumberFormat="1" applyFont="1" applyFill="1" applyBorder="1" applyAlignment="1">
      <alignment horizontal="center" wrapText="1"/>
    </xf>
    <xf numFmtId="164" fontId="12" fillId="0" borderId="0" xfId="1" applyNumberFormat="1" applyFont="1" applyFill="1" applyBorder="1" applyAlignment="1">
      <alignment horizontal="center"/>
    </xf>
    <xf numFmtId="164" fontId="0" fillId="0" borderId="0" xfId="0" applyNumberFormat="1" applyBorder="1"/>
    <xf numFmtId="164" fontId="62" fillId="0" borderId="10" xfId="1" applyNumberFormat="1" applyFont="1" applyFill="1" applyBorder="1"/>
    <xf numFmtId="0" fontId="45" fillId="0" borderId="30" xfId="0" applyFont="1" applyBorder="1" applyAlignment="1">
      <alignment horizontal="center" wrapText="1"/>
    </xf>
    <xf numFmtId="164" fontId="45" fillId="0" borderId="31" xfId="0" applyNumberFormat="1" applyFont="1" applyFill="1" applyBorder="1" applyAlignment="1">
      <alignment horizontal="center" wrapText="1"/>
    </xf>
    <xf numFmtId="43" fontId="45" fillId="0" borderId="0" xfId="1" applyNumberFormat="1" applyFont="1" applyFill="1" applyBorder="1"/>
    <xf numFmtId="164" fontId="100" fillId="0" borderId="0" xfId="0" applyNumberFormat="1" applyFont="1" applyFill="1" applyBorder="1"/>
    <xf numFmtId="43" fontId="12" fillId="0" borderId="0" xfId="1" applyNumberFormat="1" applyFont="1" applyBorder="1" applyAlignment="1"/>
    <xf numFmtId="3" fontId="3" fillId="0" borderId="0" xfId="1" applyNumberFormat="1" applyFont="1" applyFill="1" applyBorder="1" applyAlignment="1"/>
    <xf numFmtId="0" fontId="2" fillId="0" borderId="5" xfId="14" applyFont="1" applyBorder="1" applyAlignment="1">
      <alignment horizontal="center" wrapText="1"/>
    </xf>
    <xf numFmtId="0" fontId="12" fillId="0" borderId="0" xfId="14" applyFont="1" applyBorder="1"/>
    <xf numFmtId="0" fontId="12" fillId="0" borderId="9" xfId="14" applyFont="1" applyBorder="1"/>
    <xf numFmtId="164" fontId="12" fillId="0" borderId="1" xfId="1" applyNumberFormat="1" applyFont="1" applyBorder="1"/>
    <xf numFmtId="0" fontId="12" fillId="0" borderId="1" xfId="14" applyFont="1" applyBorder="1"/>
    <xf numFmtId="0" fontId="12" fillId="0" borderId="8" xfId="14" applyFont="1" applyBorder="1"/>
    <xf numFmtId="43" fontId="12" fillId="0" borderId="0" xfId="14" applyNumberFormat="1" applyFont="1" applyBorder="1"/>
    <xf numFmtId="43" fontId="12" fillId="0" borderId="10" xfId="1" applyNumberFormat="1" applyFont="1" applyBorder="1" applyAlignment="1"/>
    <xf numFmtId="43" fontId="12" fillId="0" borderId="0" xfId="1" applyNumberFormat="1" applyFont="1" applyFill="1" applyBorder="1" applyAlignment="1">
      <alignment wrapText="1"/>
    </xf>
    <xf numFmtId="43" fontId="12" fillId="0" borderId="0" xfId="1" applyNumberFormat="1" applyFont="1" applyBorder="1"/>
    <xf numFmtId="0" fontId="33" fillId="0" borderId="0" xfId="0" applyFont="1" applyFill="1" applyBorder="1" applyAlignment="1"/>
    <xf numFmtId="164" fontId="33" fillId="0" borderId="0" xfId="0" applyNumberFormat="1" applyFont="1" applyFill="1" applyBorder="1" applyAlignment="1"/>
    <xf numFmtId="0" fontId="0" fillId="5" borderId="11" xfId="0" applyFill="1" applyBorder="1"/>
    <xf numFmtId="43" fontId="0" fillId="0" borderId="0" xfId="1" applyNumberFormat="1" applyFont="1" applyFill="1" applyBorder="1"/>
    <xf numFmtId="10" fontId="0" fillId="0" borderId="0" xfId="18" applyNumberFormat="1" applyFont="1" applyFill="1" applyBorder="1"/>
    <xf numFmtId="10" fontId="0" fillId="0" borderId="0" xfId="18" applyNumberFormat="1" applyFont="1"/>
    <xf numFmtId="164" fontId="52" fillId="0" borderId="12" xfId="1" applyNumberFormat="1" applyFont="1" applyBorder="1" applyAlignment="1"/>
    <xf numFmtId="164" fontId="12" fillId="0" borderId="11" xfId="1" applyNumberFormat="1" applyFont="1" applyBorder="1" applyAlignment="1"/>
    <xf numFmtId="164" fontId="12" fillId="0" borderId="12" xfId="1" applyNumberFormat="1" applyFont="1" applyBorder="1" applyAlignment="1"/>
    <xf numFmtId="0" fontId="2" fillId="0" borderId="32" xfId="14" applyFont="1" applyBorder="1" applyAlignment="1">
      <alignment horizontal="center" wrapText="1"/>
    </xf>
    <xf numFmtId="164" fontId="52" fillId="0" borderId="10" xfId="1" applyNumberFormat="1" applyFont="1" applyBorder="1" applyAlignment="1"/>
    <xf numFmtId="164" fontId="12" fillId="0" borderId="10" xfId="1" applyNumberFormat="1" applyFont="1" applyFill="1" applyBorder="1" applyAlignment="1">
      <alignment horizontal="left"/>
    </xf>
    <xf numFmtId="164" fontId="12" fillId="0" borderId="29" xfId="1" applyNumberFormat="1" applyFont="1" applyFill="1" applyBorder="1" applyAlignment="1">
      <alignment horizontal="left"/>
    </xf>
    <xf numFmtId="164" fontId="2" fillId="0" borderId="10" xfId="1" applyNumberFormat="1" applyFont="1" applyFill="1" applyBorder="1" applyAlignment="1">
      <alignment horizontal="left"/>
    </xf>
    <xf numFmtId="164" fontId="52" fillId="0" borderId="10" xfId="1" applyNumberFormat="1" applyFont="1" applyFill="1" applyBorder="1" applyAlignment="1">
      <alignment horizontal="left"/>
    </xf>
    <xf numFmtId="164" fontId="12" fillId="0" borderId="7" xfId="1" applyNumberFormat="1" applyFont="1" applyFill="1" applyBorder="1" applyAlignment="1">
      <alignment horizontal="left"/>
    </xf>
    <xf numFmtId="164" fontId="2" fillId="0" borderId="33" xfId="1" applyNumberFormat="1" applyFont="1" applyBorder="1" applyAlignment="1">
      <alignment horizontal="center"/>
    </xf>
    <xf numFmtId="43" fontId="12" fillId="0" borderId="14" xfId="1" applyFont="1" applyFill="1" applyBorder="1"/>
    <xf numFmtId="43" fontId="12" fillId="0" borderId="22" xfId="1" applyFont="1" applyBorder="1"/>
    <xf numFmtId="43" fontId="2" fillId="0" borderId="33" xfId="1" applyFont="1" applyBorder="1" applyAlignment="1">
      <alignment horizontal="center"/>
    </xf>
    <xf numFmtId="0" fontId="45" fillId="0" borderId="31" xfId="0" applyFont="1" applyFill="1" applyBorder="1" applyAlignment="1">
      <alignment horizontal="center" wrapText="1"/>
    </xf>
    <xf numFmtId="164" fontId="2" fillId="0" borderId="29" xfId="1" applyNumberFormat="1" applyFont="1" applyFill="1" applyBorder="1" applyAlignment="1">
      <alignment wrapText="1"/>
    </xf>
    <xf numFmtId="164" fontId="2" fillId="0" borderId="7" xfId="1" applyNumberFormat="1" applyFont="1" applyFill="1" applyBorder="1" applyAlignment="1">
      <alignment wrapText="1"/>
    </xf>
    <xf numFmtId="3" fontId="12" fillId="0" borderId="34" xfId="1" applyNumberFormat="1" applyFont="1" applyBorder="1"/>
    <xf numFmtId="43" fontId="0" fillId="0" borderId="0" xfId="0" applyNumberFormat="1" applyAlignment="1"/>
    <xf numFmtId="0" fontId="45" fillId="0" borderId="5" xfId="0" applyFont="1" applyFill="1" applyBorder="1" applyAlignment="1">
      <alignment horizontal="center" wrapText="1"/>
    </xf>
    <xf numFmtId="0" fontId="45" fillId="0" borderId="21" xfId="0" applyFont="1" applyFill="1" applyBorder="1" applyAlignment="1">
      <alignment horizontal="center" wrapText="1"/>
    </xf>
    <xf numFmtId="41" fontId="12" fillId="0" borderId="0" xfId="1" applyNumberFormat="1" applyFont="1" applyFill="1" applyBorder="1" applyAlignment="1">
      <alignment wrapText="1"/>
    </xf>
    <xf numFmtId="43" fontId="0" fillId="0" borderId="0" xfId="1" applyFont="1" applyBorder="1"/>
    <xf numFmtId="43" fontId="0" fillId="0" borderId="0" xfId="0" applyNumberFormat="1" applyBorder="1"/>
    <xf numFmtId="39" fontId="33" fillId="0" borderId="0" xfId="1" applyNumberFormat="1" applyFont="1" applyFill="1" applyBorder="1" applyAlignment="1">
      <alignment horizontal="right"/>
    </xf>
    <xf numFmtId="39" fontId="33" fillId="0" borderId="0" xfId="1" applyNumberFormat="1" applyFont="1" applyFill="1" applyBorder="1" applyAlignment="1">
      <alignment horizontal="right" wrapText="1"/>
    </xf>
    <xf numFmtId="39" fontId="33" fillId="0" borderId="0" xfId="0" applyNumberFormat="1" applyFont="1" applyFill="1" applyBorder="1"/>
    <xf numFmtId="39" fontId="33" fillId="0" borderId="9" xfId="0" applyNumberFormat="1" applyFont="1" applyFill="1" applyBorder="1"/>
    <xf numFmtId="39" fontId="33" fillId="0" borderId="1" xfId="1" applyNumberFormat="1" applyFont="1" applyFill="1" applyBorder="1" applyAlignment="1">
      <alignment horizontal="right"/>
    </xf>
    <xf numFmtId="39" fontId="33" fillId="0" borderId="1" xfId="1" applyNumberFormat="1" applyFont="1" applyFill="1" applyBorder="1" applyAlignment="1">
      <alignment horizontal="right" wrapText="1"/>
    </xf>
    <xf numFmtId="39" fontId="33" fillId="0" borderId="1" xfId="0" applyNumberFormat="1" applyFont="1" applyFill="1" applyBorder="1"/>
    <xf numFmtId="39" fontId="33" fillId="0" borderId="8" xfId="0" applyNumberFormat="1" applyFont="1" applyFill="1" applyBorder="1"/>
    <xf numFmtId="164" fontId="5" fillId="4" borderId="10" xfId="2" applyNumberFormat="1" applyFont="1" applyFill="1" applyBorder="1" applyAlignment="1">
      <alignment horizontal="center"/>
    </xf>
    <xf numFmtId="3" fontId="12" fillId="0" borderId="0" xfId="1" applyNumberFormat="1" applyFont="1" applyFill="1" applyBorder="1"/>
    <xf numFmtId="3" fontId="12" fillId="0" borderId="0" xfId="0" applyNumberFormat="1" applyFont="1" applyFill="1" applyBorder="1" applyAlignment="1">
      <alignment horizontal="right"/>
    </xf>
    <xf numFmtId="9" fontId="12" fillId="0" borderId="0" xfId="18" applyFont="1" applyBorder="1" applyAlignment="1">
      <alignment horizontal="center"/>
    </xf>
    <xf numFmtId="3" fontId="12" fillId="0" borderId="0" xfId="0" applyNumberFormat="1" applyFont="1" applyBorder="1" applyAlignment="1">
      <alignment horizontal="right"/>
    </xf>
    <xf numFmtId="164" fontId="12" fillId="4" borderId="29" xfId="1" applyNumberFormat="1" applyFont="1" applyFill="1" applyBorder="1"/>
    <xf numFmtId="3" fontId="12" fillId="4" borderId="4" xfId="1" applyNumberFormat="1" applyFont="1" applyFill="1" applyBorder="1"/>
    <xf numFmtId="3" fontId="12" fillId="0" borderId="4" xfId="0" applyNumberFormat="1" applyFont="1" applyFill="1" applyBorder="1" applyAlignment="1">
      <alignment horizontal="right"/>
    </xf>
    <xf numFmtId="9" fontId="12" fillId="0" borderId="0" xfId="18" applyNumberFormat="1" applyFont="1" applyBorder="1" applyAlignment="1">
      <alignment horizontal="center"/>
    </xf>
    <xf numFmtId="3" fontId="12" fillId="0" borderId="4" xfId="0" applyNumberFormat="1" applyFont="1" applyBorder="1" applyAlignment="1">
      <alignment horizontal="right"/>
    </xf>
    <xf numFmtId="164" fontId="88" fillId="0" borderId="10" xfId="18" applyNumberFormat="1" applyFont="1" applyFill="1" applyBorder="1" applyAlignment="1">
      <alignment horizontal="center"/>
    </xf>
    <xf numFmtId="3" fontId="88" fillId="0" borderId="0" xfId="1" applyNumberFormat="1" applyFont="1" applyFill="1" applyBorder="1" applyAlignment="1">
      <alignment horizontal="right" wrapText="1"/>
    </xf>
    <xf numFmtId="3" fontId="88" fillId="0" borderId="0" xfId="1" applyNumberFormat="1" applyFont="1" applyFill="1" applyBorder="1" applyAlignment="1">
      <alignment horizontal="center" wrapText="1"/>
    </xf>
    <xf numFmtId="0" fontId="12" fillId="0" borderId="0" xfId="0" applyFont="1" applyFill="1" applyBorder="1" applyAlignment="1">
      <alignment horizontal="center" wrapText="1"/>
    </xf>
    <xf numFmtId="3" fontId="12" fillId="0" borderId="0" xfId="1" applyNumberFormat="1" applyFont="1" applyFill="1" applyBorder="1" applyAlignment="1">
      <alignment horizontal="right"/>
    </xf>
    <xf numFmtId="164" fontId="87" fillId="4" borderId="0" xfId="1" applyNumberFormat="1" applyFont="1" applyFill="1"/>
    <xf numFmtId="164" fontId="12" fillId="4" borderId="4" xfId="1" applyNumberFormat="1" applyFont="1" applyFill="1" applyBorder="1"/>
    <xf numFmtId="0" fontId="2" fillId="0" borderId="0" xfId="0" quotePrefix="1" applyFont="1" applyBorder="1" applyAlignment="1">
      <alignment horizontal="center"/>
    </xf>
    <xf numFmtId="0" fontId="12" fillId="0" borderId="0" xfId="16" applyFont="1" applyFill="1"/>
    <xf numFmtId="8" fontId="46" fillId="0" borderId="0" xfId="16" applyNumberFormat="1" applyFont="1" applyFill="1" applyBorder="1"/>
    <xf numFmtId="0" fontId="46" fillId="4" borderId="0" xfId="16" applyFont="1" applyFill="1" applyBorder="1" applyAlignment="1">
      <alignment horizontal="center"/>
    </xf>
    <xf numFmtId="164" fontId="46" fillId="4" borderId="9" xfId="1" applyNumberFormat="1" applyFont="1" applyFill="1" applyBorder="1" applyAlignment="1">
      <alignment horizontal="center"/>
    </xf>
    <xf numFmtId="0" fontId="46" fillId="4" borderId="0" xfId="16" applyFont="1" applyFill="1" applyBorder="1"/>
    <xf numFmtId="0" fontId="46" fillId="4" borderId="1" xfId="16" applyFont="1" applyFill="1" applyBorder="1"/>
    <xf numFmtId="10" fontId="0" fillId="0" borderId="0" xfId="0" applyNumberFormat="1" applyFill="1" applyBorder="1"/>
    <xf numFmtId="0" fontId="12" fillId="0" borderId="0" xfId="16" applyBorder="1"/>
    <xf numFmtId="49" fontId="92" fillId="4" borderId="12" xfId="0" applyNumberFormat="1" applyFont="1" applyFill="1" applyBorder="1" applyAlignment="1">
      <alignment horizontal="center"/>
    </xf>
    <xf numFmtId="0" fontId="92" fillId="4" borderId="11" xfId="0" applyFont="1" applyFill="1" applyBorder="1" applyAlignment="1">
      <alignment horizontal="center"/>
    </xf>
    <xf numFmtId="164" fontId="92" fillId="4" borderId="11" xfId="1" applyNumberFormat="1" applyFont="1" applyFill="1" applyBorder="1"/>
    <xf numFmtId="0" fontId="5" fillId="4" borderId="11" xfId="16" applyFont="1" applyFill="1" applyBorder="1"/>
    <xf numFmtId="49" fontId="92" fillId="4" borderId="10" xfId="0" applyNumberFormat="1" applyFont="1" applyFill="1" applyBorder="1" applyAlignment="1">
      <alignment horizontal="center"/>
    </xf>
    <xf numFmtId="0" fontId="92" fillId="4" borderId="0" xfId="0" applyFont="1" applyFill="1" applyBorder="1" applyAlignment="1">
      <alignment horizontal="center"/>
    </xf>
    <xf numFmtId="164" fontId="92" fillId="4" borderId="0" xfId="1" applyNumberFormat="1" applyFont="1" applyFill="1" applyBorder="1"/>
    <xf numFmtId="164" fontId="5" fillId="4" borderId="0" xfId="1" applyNumberFormat="1" applyFont="1" applyFill="1" applyBorder="1"/>
    <xf numFmtId="164" fontId="12" fillId="0" borderId="0" xfId="16" applyNumberFormat="1"/>
    <xf numFmtId="164" fontId="13" fillId="4" borderId="0" xfId="3" applyNumberFormat="1" applyFont="1" applyFill="1" applyBorder="1"/>
    <xf numFmtId="0" fontId="5" fillId="4" borderId="0" xfId="16" applyFont="1" applyFill="1" applyBorder="1"/>
    <xf numFmtId="14" fontId="92" fillId="4" borderId="10" xfId="0" applyNumberFormat="1" applyFont="1" applyFill="1" applyBorder="1" applyAlignment="1">
      <alignment horizontal="center"/>
    </xf>
    <xf numFmtId="0" fontId="12" fillId="0" borderId="0" xfId="16" applyFont="1" applyBorder="1"/>
    <xf numFmtId="0" fontId="12" fillId="0" borderId="0" xfId="16" applyFont="1" applyFill="1" applyBorder="1"/>
    <xf numFmtId="0" fontId="12" fillId="0" borderId="0" xfId="16" applyFont="1" applyBorder="1" applyAlignment="1">
      <alignment horizontal="center"/>
    </xf>
    <xf numFmtId="0" fontId="12" fillId="0" borderId="0" xfId="16" applyBorder="1" applyAlignment="1">
      <alignment horizontal="center"/>
    </xf>
    <xf numFmtId="43" fontId="12" fillId="0" borderId="0" xfId="1" applyFont="1" applyBorder="1"/>
    <xf numFmtId="164" fontId="12" fillId="0" borderId="0" xfId="16" applyNumberFormat="1" applyBorder="1"/>
    <xf numFmtId="0" fontId="12" fillId="0" borderId="0" xfId="16" applyFont="1" applyFill="1" applyBorder="1" applyAlignment="1">
      <alignment horizontal="center"/>
    </xf>
    <xf numFmtId="164" fontId="12" fillId="0" borderId="0" xfId="16" applyNumberFormat="1" applyBorder="1" applyAlignment="1">
      <alignment horizontal="center"/>
    </xf>
    <xf numFmtId="166" fontId="12" fillId="0" borderId="0" xfId="16" applyNumberFormat="1" applyBorder="1"/>
    <xf numFmtId="164" fontId="5" fillId="0" borderId="0" xfId="16" applyNumberFormat="1" applyFont="1" applyBorder="1"/>
    <xf numFmtId="164" fontId="3" fillId="0" borderId="0" xfId="1" applyNumberFormat="1" applyFont="1" applyFill="1" applyBorder="1" applyAlignment="1">
      <alignment horizontal="right"/>
    </xf>
    <xf numFmtId="3" fontId="6" fillId="0" borderId="0" xfId="1" applyNumberFormat="1" applyFont="1" applyFill="1" applyBorder="1"/>
    <xf numFmtId="3" fontId="15" fillId="0" borderId="0" xfId="0" applyNumberFormat="1" applyFont="1" applyBorder="1"/>
    <xf numFmtId="3" fontId="64" fillId="0" borderId="0" xfId="1" applyNumberFormat="1" applyFont="1" applyFill="1" applyBorder="1" applyAlignment="1"/>
    <xf numFmtId="3" fontId="15" fillId="0" borderId="21" xfId="0" applyNumberFormat="1" applyFont="1" applyBorder="1"/>
    <xf numFmtId="166" fontId="15" fillId="0" borderId="21" xfId="9" applyNumberFormat="1" applyFont="1" applyBorder="1" applyAlignment="1">
      <alignment horizontal="center"/>
    </xf>
    <xf numFmtId="164" fontId="5" fillId="0" borderId="33" xfId="0" applyNumberFormat="1" applyFont="1" applyBorder="1"/>
    <xf numFmtId="41" fontId="5" fillId="0" borderId="33" xfId="0" applyNumberFormat="1" applyFont="1" applyBorder="1"/>
    <xf numFmtId="0" fontId="2" fillId="0" borderId="1" xfId="14" applyFont="1" applyBorder="1" applyAlignment="1">
      <alignment horizontal="center" wrapText="1"/>
    </xf>
    <xf numFmtId="187" fontId="12" fillId="0" borderId="0" xfId="14" applyNumberFormat="1" applyFont="1" applyBorder="1"/>
    <xf numFmtId="166" fontId="7" fillId="0" borderId="10" xfId="0" applyNumberFormat="1" applyFont="1" applyFill="1" applyBorder="1" applyAlignment="1">
      <alignment horizontal="center"/>
    </xf>
    <xf numFmtId="0" fontId="38" fillId="0" borderId="1" xfId="0" applyNumberFormat="1" applyFont="1" applyFill="1" applyBorder="1" applyAlignment="1">
      <alignment horizontal="left"/>
    </xf>
    <xf numFmtId="0" fontId="5" fillId="0" borderId="1" xfId="0" applyFont="1" applyBorder="1" applyAlignment="1">
      <alignment horizontal="center"/>
    </xf>
    <xf numFmtId="0" fontId="33" fillId="0" borderId="1" xfId="0" applyFont="1" applyBorder="1" applyAlignment="1"/>
    <xf numFmtId="41" fontId="5" fillId="0" borderId="0" xfId="0" applyNumberFormat="1" applyFont="1" applyBorder="1"/>
    <xf numFmtId="0" fontId="45" fillId="0" borderId="13" xfId="0" applyFont="1" applyBorder="1" applyAlignment="1">
      <alignment horizontal="center"/>
    </xf>
    <xf numFmtId="0" fontId="45" fillId="0" borderId="6" xfId="0" applyFont="1" applyBorder="1" applyAlignment="1">
      <alignment horizontal="center" wrapText="1"/>
    </xf>
    <xf numFmtId="164" fontId="47" fillId="0" borderId="0" xfId="1" applyNumberFormat="1" applyFont="1" applyFill="1" applyBorder="1" applyAlignment="1">
      <alignment horizontal="center" wrapText="1"/>
    </xf>
    <xf numFmtId="164" fontId="66" fillId="0" borderId="0" xfId="1" applyNumberFormat="1" applyFont="1" applyFill="1" applyBorder="1" applyAlignment="1">
      <alignment horizontal="center" wrapText="1"/>
    </xf>
    <xf numFmtId="164" fontId="2" fillId="0" borderId="0" xfId="0" applyNumberFormat="1" applyFont="1" applyFill="1" applyBorder="1"/>
    <xf numFmtId="0" fontId="66" fillId="0" borderId="0" xfId="0" applyFont="1" applyAlignment="1">
      <alignment wrapText="1"/>
    </xf>
    <xf numFmtId="0" fontId="2" fillId="0" borderId="0" xfId="0" applyNumberFormat="1" applyFont="1" applyFill="1" applyBorder="1" applyAlignment="1">
      <alignment horizontal="center"/>
    </xf>
    <xf numFmtId="3" fontId="12" fillId="0" borderId="4" xfId="1" applyNumberFormat="1" applyFont="1" applyBorder="1" applyAlignment="1">
      <alignment horizontal="right"/>
    </xf>
    <xf numFmtId="3" fontId="12" fillId="4" borderId="4" xfId="1" applyNumberFormat="1" applyFont="1" applyFill="1" applyBorder="1" applyAlignment="1"/>
    <xf numFmtId="37" fontId="2" fillId="0" borderId="0" xfId="0" applyNumberFormat="1" applyFont="1" applyFill="1"/>
    <xf numFmtId="3" fontId="87" fillId="4" borderId="4" xfId="1" applyNumberFormat="1" applyFont="1" applyFill="1" applyBorder="1" applyAlignment="1">
      <alignment horizontal="right" wrapText="1"/>
    </xf>
    <xf numFmtId="3" fontId="12" fillId="0" borderId="4" xfId="1" applyNumberFormat="1" applyFont="1" applyBorder="1"/>
    <xf numFmtId="3" fontId="87" fillId="4" borderId="0" xfId="1" applyNumberFormat="1" applyFont="1" applyFill="1" applyBorder="1" applyAlignment="1">
      <alignment horizontal="right" wrapText="1"/>
    </xf>
    <xf numFmtId="172" fontId="12" fillId="4" borderId="0" xfId="18" applyNumberFormat="1" applyFont="1" applyFill="1" applyBorder="1" applyAlignment="1">
      <alignment horizontal="center" wrapText="1"/>
    </xf>
    <xf numFmtId="3" fontId="12" fillId="0" borderId="0" xfId="1" applyNumberFormat="1" applyFont="1" applyBorder="1"/>
    <xf numFmtId="0" fontId="71" fillId="0" borderId="0" xfId="16" applyFont="1" applyBorder="1"/>
    <xf numFmtId="188" fontId="46" fillId="0" borderId="0" xfId="18" applyNumberFormat="1" applyFont="1" applyFill="1" applyBorder="1"/>
    <xf numFmtId="0" fontId="2" fillId="0" borderId="0" xfId="16" applyFont="1" applyFill="1" applyBorder="1"/>
    <xf numFmtId="10" fontId="0" fillId="4" borderId="0" xfId="0" applyNumberFormat="1" applyFill="1" applyBorder="1"/>
    <xf numFmtId="0" fontId="5" fillId="0" borderId="13" xfId="16" applyFont="1" applyFill="1" applyBorder="1"/>
    <xf numFmtId="0" fontId="5" fillId="0" borderId="26" xfId="16" applyFont="1" applyFill="1" applyBorder="1"/>
    <xf numFmtId="164" fontId="13" fillId="0" borderId="9" xfId="3" applyNumberFormat="1" applyFont="1" applyFill="1" applyBorder="1"/>
    <xf numFmtId="164" fontId="13" fillId="0" borderId="14" xfId="3" applyNumberFormat="1" applyFont="1" applyFill="1" applyBorder="1"/>
    <xf numFmtId="164" fontId="12" fillId="0" borderId="0" xfId="16" applyNumberFormat="1" applyFont="1" applyBorder="1" applyAlignment="1">
      <alignment horizontal="center"/>
    </xf>
    <xf numFmtId="0" fontId="12" fillId="0" borderId="0" xfId="16" applyBorder="1" applyAlignment="1">
      <alignment horizontal="right"/>
    </xf>
    <xf numFmtId="164" fontId="13" fillId="0" borderId="10" xfId="3" applyNumberFormat="1" applyFont="1" applyFill="1" applyBorder="1"/>
    <xf numFmtId="164" fontId="5" fillId="0" borderId="8" xfId="16" applyNumberFormat="1" applyFont="1" applyBorder="1"/>
    <xf numFmtId="164" fontId="5" fillId="0" borderId="22" xfId="16" applyNumberFormat="1" applyFont="1" applyBorder="1"/>
    <xf numFmtId="10" fontId="12" fillId="4" borderId="35" xfId="0" applyNumberFormat="1" applyFont="1" applyFill="1" applyBorder="1" applyAlignment="1">
      <alignment wrapText="1"/>
    </xf>
    <xf numFmtId="167" fontId="12" fillId="4" borderId="35" xfId="18" applyNumberFormat="1" applyFont="1" applyFill="1" applyBorder="1"/>
    <xf numFmtId="166" fontId="12" fillId="4" borderId="35" xfId="9" applyNumberFormat="1" applyFont="1" applyFill="1" applyBorder="1"/>
    <xf numFmtId="10" fontId="12" fillId="4" borderId="35" xfId="0" applyNumberFormat="1" applyFont="1" applyFill="1" applyBorder="1"/>
    <xf numFmtId="167" fontId="12" fillId="4" borderId="35" xfId="0" applyNumberFormat="1" applyFont="1" applyFill="1" applyBorder="1"/>
    <xf numFmtId="167" fontId="12" fillId="4" borderId="0" xfId="18" applyNumberFormat="1" applyFont="1" applyFill="1" applyBorder="1"/>
    <xf numFmtId="0" fontId="12" fillId="4" borderId="0" xfId="16" applyFill="1"/>
    <xf numFmtId="0" fontId="12" fillId="4" borderId="0" xfId="16" applyFont="1" applyFill="1"/>
    <xf numFmtId="43" fontId="13" fillId="4" borderId="0" xfId="3" applyNumberFormat="1" applyFont="1" applyFill="1" applyBorder="1"/>
    <xf numFmtId="49" fontId="12" fillId="4" borderId="0" xfId="16" applyNumberFormat="1" applyFont="1" applyFill="1" applyAlignment="1">
      <alignment horizontal="right"/>
    </xf>
    <xf numFmtId="0" fontId="4" fillId="0" borderId="0" xfId="16" applyFont="1" applyFill="1"/>
    <xf numFmtId="0" fontId="12" fillId="4" borderId="35" xfId="0" applyFont="1" applyFill="1" applyBorder="1" applyAlignment="1">
      <alignment wrapText="1"/>
    </xf>
    <xf numFmtId="43" fontId="5" fillId="4" borderId="0" xfId="1" applyNumberFormat="1" applyFont="1" applyFill="1" applyBorder="1"/>
    <xf numFmtId="10" fontId="5" fillId="0" borderId="0" xfId="0" applyNumberFormat="1" applyFont="1"/>
    <xf numFmtId="41" fontId="45" fillId="0" borderId="0" xfId="1" applyNumberFormat="1" applyFont="1" applyFill="1"/>
    <xf numFmtId="166" fontId="33" fillId="4" borderId="10" xfId="9" applyNumberFormat="1" applyFont="1" applyFill="1" applyBorder="1"/>
    <xf numFmtId="166" fontId="33" fillId="4" borderId="0" xfId="9" applyNumberFormat="1" applyFont="1" applyFill="1" applyBorder="1"/>
    <xf numFmtId="3" fontId="12" fillId="0" borderId="0" xfId="0" applyNumberFormat="1" applyFont="1"/>
    <xf numFmtId="43" fontId="1" fillId="0" borderId="0" xfId="1" applyNumberFormat="1" applyFont="1"/>
    <xf numFmtId="41" fontId="12" fillId="0" borderId="10" xfId="1" applyNumberFormat="1" applyFont="1" applyBorder="1" applyAlignment="1">
      <alignment horizontal="center"/>
    </xf>
    <xf numFmtId="41" fontId="12" fillId="0" borderId="0" xfId="1" applyNumberFormat="1" applyFont="1" applyBorder="1" applyAlignment="1">
      <alignment horizontal="center"/>
    </xf>
    <xf numFmtId="41" fontId="12" fillId="0" borderId="0" xfId="14" applyNumberFormat="1" applyFont="1" applyBorder="1" applyAlignment="1">
      <alignment horizontal="center"/>
    </xf>
    <xf numFmtId="41" fontId="12" fillId="0" borderId="0" xfId="1" applyNumberFormat="1" applyFont="1" applyFill="1" applyBorder="1" applyAlignment="1">
      <alignment horizontal="center" wrapText="1"/>
    </xf>
    <xf numFmtId="164" fontId="73" fillId="0" borderId="10" xfId="1" applyNumberFormat="1" applyFont="1" applyBorder="1" applyAlignment="1"/>
    <xf numFmtId="0" fontId="2" fillId="0" borderId="9" xfId="0" applyFont="1" applyBorder="1" applyAlignment="1">
      <alignment horizontal="center" wrapText="1"/>
    </xf>
    <xf numFmtId="164" fontId="12" fillId="4" borderId="9" xfId="1" applyNumberFormat="1" applyFont="1" applyFill="1" applyBorder="1" applyAlignment="1"/>
    <xf numFmtId="164" fontId="12" fillId="4" borderId="9" xfId="1" applyNumberFormat="1" applyFont="1" applyFill="1" applyBorder="1"/>
    <xf numFmtId="164" fontId="12" fillId="0" borderId="9" xfId="1" applyNumberFormat="1" applyFont="1" applyFill="1" applyBorder="1" applyAlignment="1"/>
    <xf numFmtId="164" fontId="12" fillId="0" borderId="9" xfId="1" applyNumberFormat="1" applyFont="1" applyFill="1" applyBorder="1"/>
    <xf numFmtId="41" fontId="12" fillId="0" borderId="9" xfId="1" applyNumberFormat="1" applyFont="1" applyFill="1" applyBorder="1"/>
    <xf numFmtId="43" fontId="5" fillId="0" borderId="4" xfId="1" applyFont="1" applyBorder="1"/>
    <xf numFmtId="3" fontId="5" fillId="0" borderId="0" xfId="0" applyNumberFormat="1" applyFont="1" applyFill="1" applyAlignment="1">
      <alignment horizontal="right"/>
    </xf>
    <xf numFmtId="3" fontId="5" fillId="0" borderId="4" xfId="0" applyNumberFormat="1" applyFont="1" applyFill="1" applyBorder="1" applyAlignment="1">
      <alignment horizontal="right"/>
    </xf>
    <xf numFmtId="172" fontId="5" fillId="0" borderId="4" xfId="0" applyNumberFormat="1" applyFont="1" applyBorder="1" applyAlignment="1">
      <alignment horizontal="right"/>
    </xf>
    <xf numFmtId="3" fontId="5" fillId="0" borderId="0" xfId="0" applyNumberFormat="1" applyFont="1" applyAlignment="1"/>
    <xf numFmtId="3" fontId="5" fillId="4" borderId="0" xfId="0" applyNumberFormat="1" applyFont="1" applyFill="1" applyBorder="1" applyAlignment="1"/>
    <xf numFmtId="3" fontId="5" fillId="4" borderId="0" xfId="0" applyNumberFormat="1" applyFont="1" applyFill="1" applyAlignment="1">
      <alignment horizontal="right"/>
    </xf>
    <xf numFmtId="0" fontId="105" fillId="0" borderId="0" xfId="0" applyFont="1"/>
    <xf numFmtId="43" fontId="1" fillId="0" borderId="0" xfId="1" applyNumberFormat="1" applyFont="1" applyFill="1" applyBorder="1"/>
    <xf numFmtId="41" fontId="12" fillId="0" borderId="0" xfId="1" applyNumberFormat="1" applyFont="1" applyBorder="1" applyAlignment="1"/>
    <xf numFmtId="43" fontId="12" fillId="0" borderId="0" xfId="1" applyFont="1" applyBorder="1" applyAlignment="1"/>
    <xf numFmtId="41" fontId="58" fillId="4" borderId="14" xfId="1" applyNumberFormat="1" applyFont="1" applyFill="1" applyBorder="1"/>
    <xf numFmtId="41" fontId="12" fillId="4" borderId="14" xfId="1" applyNumberFormat="1" applyFont="1" applyFill="1" applyBorder="1"/>
    <xf numFmtId="41" fontId="60" fillId="4" borderId="36" xfId="1" applyNumberFormat="1" applyFont="1" applyFill="1" applyBorder="1" applyAlignment="1">
      <alignment wrapText="1"/>
    </xf>
    <xf numFmtId="41" fontId="12" fillId="0" borderId="22" xfId="1" applyNumberFormat="1" applyFont="1" applyFill="1" applyBorder="1"/>
    <xf numFmtId="0" fontId="41" fillId="0" borderId="0" xfId="0" applyFont="1" applyBorder="1"/>
    <xf numFmtId="0" fontId="8" fillId="0" borderId="0" xfId="16" applyFont="1" applyFill="1" applyBorder="1"/>
    <xf numFmtId="174" fontId="107" fillId="4" borderId="13" xfId="20" applyNumberFormat="1" applyFont="1" applyFill="1" applyBorder="1"/>
    <xf numFmtId="174" fontId="107" fillId="0" borderId="0" xfId="20" applyNumberFormat="1" applyFont="1" applyFill="1" applyBorder="1"/>
    <xf numFmtId="174" fontId="77" fillId="0" borderId="0" xfId="18" applyNumberFormat="1" applyFont="1" applyFill="1" applyBorder="1"/>
    <xf numFmtId="167" fontId="35" fillId="0" borderId="0" xfId="18" applyNumberFormat="1" applyFont="1" applyFill="1" applyBorder="1" applyAlignment="1">
      <alignment horizontal="right"/>
    </xf>
    <xf numFmtId="164" fontId="77" fillId="0" borderId="0" xfId="1" applyNumberFormat="1" applyFont="1" applyFill="1" applyBorder="1"/>
    <xf numFmtId="174" fontId="71" fillId="0" borderId="0" xfId="20" applyNumberFormat="1" applyFont="1" applyFill="1" applyBorder="1"/>
    <xf numFmtId="174" fontId="46" fillId="0" borderId="0" xfId="16" applyNumberFormat="1" applyFont="1" applyFill="1" applyBorder="1"/>
    <xf numFmtId="0" fontId="12" fillId="0" borderId="1" xfId="16" applyFill="1" applyBorder="1" applyAlignment="1">
      <alignment horizontal="center"/>
    </xf>
    <xf numFmtId="0" fontId="46" fillId="0" borderId="12" xfId="16" applyFont="1" applyFill="1" applyBorder="1"/>
    <xf numFmtId="0" fontId="12" fillId="0" borderId="11" xfId="16" applyFill="1" applyBorder="1"/>
    <xf numFmtId="0" fontId="46" fillId="0" borderId="29" xfId="16" applyFont="1" applyFill="1" applyBorder="1"/>
    <xf numFmtId="164" fontId="46" fillId="0" borderId="4" xfId="3" applyNumberFormat="1" applyFont="1" applyFill="1" applyBorder="1"/>
    <xf numFmtId="0" fontId="46" fillId="0" borderId="4" xfId="16" applyFont="1" applyFill="1" applyBorder="1"/>
    <xf numFmtId="164" fontId="46" fillId="0" borderId="15" xfId="3" applyNumberFormat="1" applyFont="1" applyFill="1" applyBorder="1"/>
    <xf numFmtId="164" fontId="46" fillId="0" borderId="11" xfId="3" applyNumberFormat="1" applyFont="1" applyFill="1" applyBorder="1"/>
    <xf numFmtId="164" fontId="46" fillId="0" borderId="13" xfId="3" applyNumberFormat="1" applyFont="1" applyFill="1" applyBorder="1"/>
    <xf numFmtId="0" fontId="12" fillId="0" borderId="6" xfId="16" applyFill="1" applyBorder="1"/>
    <xf numFmtId="0" fontId="2" fillId="0" borderId="33" xfId="16" applyFont="1" applyFill="1" applyBorder="1"/>
    <xf numFmtId="0" fontId="2" fillId="0" borderId="5" xfId="16" applyFont="1" applyFill="1" applyBorder="1"/>
    <xf numFmtId="0" fontId="12" fillId="0" borderId="7" xfId="16" applyFill="1" applyBorder="1"/>
    <xf numFmtId="0" fontId="2" fillId="4" borderId="10" xfId="0" applyFont="1" applyFill="1" applyBorder="1" applyAlignment="1">
      <alignment wrapText="1"/>
    </xf>
    <xf numFmtId="10" fontId="0" fillId="4" borderId="14" xfId="0" applyNumberFormat="1" applyFill="1" applyBorder="1"/>
    <xf numFmtId="10" fontId="0" fillId="0" borderId="35" xfId="0" applyNumberFormat="1" applyFill="1" applyBorder="1"/>
    <xf numFmtId="0" fontId="12" fillId="0" borderId="13" xfId="16" applyFill="1" applyBorder="1" applyAlignment="1">
      <alignment horizontal="center"/>
    </xf>
    <xf numFmtId="0" fontId="2" fillId="0" borderId="9" xfId="16" applyFont="1" applyFill="1" applyBorder="1" applyAlignment="1">
      <alignment horizontal="center" wrapText="1"/>
    </xf>
    <xf numFmtId="0" fontId="2" fillId="0" borderId="8" xfId="16" applyFont="1" applyFill="1" applyBorder="1" applyAlignment="1">
      <alignment horizontal="center" wrapText="1"/>
    </xf>
    <xf numFmtId="0" fontId="12" fillId="0" borderId="13" xfId="16" applyFill="1" applyBorder="1"/>
    <xf numFmtId="43" fontId="12" fillId="0" borderId="0" xfId="1" applyFont="1"/>
    <xf numFmtId="164" fontId="12" fillId="0" borderId="0" xfId="1" applyNumberFormat="1" applyFont="1" applyFill="1"/>
    <xf numFmtId="0" fontId="12" fillId="0" borderId="0" xfId="16" applyFont="1" applyFill="1" applyBorder="1" applyAlignment="1">
      <alignment horizontal="center" wrapText="1"/>
    </xf>
    <xf numFmtId="0" fontId="2" fillId="0" borderId="0" xfId="16" applyFont="1"/>
    <xf numFmtId="164" fontId="12" fillId="0" borderId="0" xfId="1" applyNumberFormat="1" applyFont="1" applyFill="1" applyAlignment="1">
      <alignment horizontal="center" wrapText="1"/>
    </xf>
    <xf numFmtId="166" fontId="12" fillId="0" borderId="0" xfId="16" applyNumberFormat="1"/>
    <xf numFmtId="0" fontId="12" fillId="0" borderId="0" xfId="16" applyFont="1" applyAlignment="1">
      <alignment horizontal="center"/>
    </xf>
    <xf numFmtId="14" fontId="12" fillId="0" borderId="0" xfId="1" applyNumberFormat="1" applyFont="1" applyFill="1"/>
    <xf numFmtId="1" fontId="12" fillId="0" borderId="0" xfId="16" applyNumberFormat="1" applyFont="1" applyAlignment="1">
      <alignment horizontal="center"/>
    </xf>
    <xf numFmtId="14" fontId="12" fillId="0" borderId="0" xfId="16" applyNumberFormat="1"/>
    <xf numFmtId="1" fontId="12" fillId="0" borderId="0" xfId="16" applyNumberFormat="1" applyAlignment="1">
      <alignment horizontal="center"/>
    </xf>
    <xf numFmtId="1" fontId="2" fillId="0" borderId="0" xfId="16" applyNumberFormat="1" applyFont="1" applyAlignment="1">
      <alignment horizontal="center"/>
    </xf>
    <xf numFmtId="164" fontId="12" fillId="7" borderId="0" xfId="1" applyNumberFormat="1" applyFont="1" applyFill="1"/>
    <xf numFmtId="0" fontId="2" fillId="0" borderId="0" xfId="16" applyFont="1" applyAlignment="1">
      <alignment horizontal="center"/>
    </xf>
    <xf numFmtId="164" fontId="12" fillId="8" borderId="0" xfId="1" applyNumberFormat="1" applyFont="1" applyFill="1"/>
    <xf numFmtId="164" fontId="12" fillId="8" borderId="0" xfId="16" applyNumberFormat="1" applyFill="1"/>
    <xf numFmtId="164" fontId="12" fillId="0" borderId="0" xfId="16" applyNumberFormat="1" applyFill="1" applyBorder="1"/>
    <xf numFmtId="15" fontId="2" fillId="0" borderId="0" xfId="16" applyNumberFormat="1" applyFont="1" applyFill="1" applyBorder="1"/>
    <xf numFmtId="164" fontId="11" fillId="0" borderId="0" xfId="1" applyNumberFormat="1" applyFont="1" applyFill="1" applyBorder="1"/>
    <xf numFmtId="49" fontId="2" fillId="0" borderId="0" xfId="1" applyNumberFormat="1" applyFont="1" applyFill="1" applyBorder="1" applyAlignment="1">
      <alignment horizontal="center"/>
    </xf>
    <xf numFmtId="0" fontId="11" fillId="0" borderId="0" xfId="16" applyFont="1" applyFill="1" applyBorder="1"/>
    <xf numFmtId="43" fontId="3" fillId="0" borderId="0" xfId="1" applyNumberFormat="1" applyFont="1" applyFill="1" applyBorder="1"/>
    <xf numFmtId="43" fontId="72" fillId="0" borderId="0" xfId="1" applyNumberFormat="1" applyFont="1" applyFill="1" applyBorder="1"/>
    <xf numFmtId="164" fontId="12" fillId="0" borderId="0" xfId="16" applyNumberFormat="1" applyFont="1" applyFill="1" applyBorder="1"/>
    <xf numFmtId="164" fontId="12" fillId="0" borderId="0" xfId="16" applyNumberFormat="1" applyFill="1" applyBorder="1" applyAlignment="1">
      <alignment horizontal="center"/>
    </xf>
    <xf numFmtId="2" fontId="12" fillId="0" borderId="0" xfId="16" applyNumberFormat="1" applyBorder="1"/>
    <xf numFmtId="164" fontId="12" fillId="0" borderId="0" xfId="16" applyNumberFormat="1" applyFont="1" applyFill="1" applyBorder="1" applyAlignment="1">
      <alignment horizontal="center"/>
    </xf>
    <xf numFmtId="1" fontId="12" fillId="0" borderId="0" xfId="16" applyNumberFormat="1" applyFill="1" applyBorder="1"/>
    <xf numFmtId="164" fontId="2" fillId="0" borderId="0" xfId="16" applyNumberFormat="1" applyFont="1" applyFill="1" applyBorder="1"/>
    <xf numFmtId="43" fontId="11" fillId="0" borderId="0" xfId="1" applyFont="1" applyFill="1" applyBorder="1"/>
    <xf numFmtId="43" fontId="12" fillId="0" borderId="0" xfId="1" applyFont="1" applyFill="1" applyBorder="1"/>
    <xf numFmtId="179" fontId="12" fillId="0" borderId="0" xfId="16" applyNumberFormat="1" applyFill="1" applyBorder="1"/>
    <xf numFmtId="14" fontId="92" fillId="0" borderId="10" xfId="0" applyNumberFormat="1" applyFont="1" applyBorder="1" applyAlignment="1">
      <alignment horizontal="center"/>
    </xf>
    <xf numFmtId="0" fontId="92" fillId="0" borderId="0" xfId="0" applyFont="1" applyBorder="1" applyAlignment="1">
      <alignment horizontal="center"/>
    </xf>
    <xf numFmtId="164" fontId="92" fillId="0" borderId="0" xfId="1" applyNumberFormat="1" applyFont="1" applyBorder="1"/>
    <xf numFmtId="164" fontId="92" fillId="0" borderId="0" xfId="1" applyNumberFormat="1" applyFont="1" applyFill="1" applyBorder="1"/>
    <xf numFmtId="14" fontId="92" fillId="0" borderId="7" xfId="0" applyNumberFormat="1" applyFont="1" applyBorder="1" applyAlignment="1">
      <alignment horizontal="center"/>
    </xf>
    <xf numFmtId="0" fontId="92" fillId="0" borderId="1" xfId="0" applyFont="1" applyBorder="1" applyAlignment="1">
      <alignment horizontal="center"/>
    </xf>
    <xf numFmtId="164" fontId="92" fillId="0" borderId="1" xfId="1" applyNumberFormat="1" applyFont="1" applyBorder="1"/>
    <xf numFmtId="0" fontId="5" fillId="0" borderId="1" xfId="16" applyFont="1" applyBorder="1"/>
    <xf numFmtId="164" fontId="5" fillId="0" borderId="1" xfId="16" applyNumberFormat="1" applyFont="1" applyBorder="1"/>
    <xf numFmtId="164" fontId="12" fillId="0" borderId="0" xfId="16" applyNumberFormat="1" applyFont="1"/>
    <xf numFmtId="43" fontId="12" fillId="0" borderId="0" xfId="16" applyNumberFormat="1" applyBorder="1"/>
    <xf numFmtId="178" fontId="12" fillId="0" borderId="0" xfId="16" applyNumberFormat="1"/>
    <xf numFmtId="10" fontId="35" fillId="5" borderId="25" xfId="0" applyNumberFormat="1" applyFont="1" applyFill="1" applyBorder="1"/>
    <xf numFmtId="0" fontId="2" fillId="4" borderId="35" xfId="0" applyFont="1" applyFill="1" applyBorder="1" applyAlignment="1">
      <alignment wrapText="1"/>
    </xf>
    <xf numFmtId="166" fontId="0" fillId="4" borderId="35" xfId="9" applyNumberFormat="1" applyFont="1" applyFill="1" applyBorder="1"/>
    <xf numFmtId="10" fontId="0" fillId="4" borderId="35" xfId="0" applyNumberFormat="1" applyFill="1" applyBorder="1"/>
    <xf numFmtId="167" fontId="0" fillId="4" borderId="35" xfId="0" applyNumberFormat="1" applyFill="1" applyBorder="1"/>
    <xf numFmtId="10" fontId="0" fillId="4" borderId="35" xfId="0" applyNumberFormat="1" applyFill="1" applyBorder="1" applyAlignment="1">
      <alignment wrapText="1"/>
    </xf>
    <xf numFmtId="10" fontId="4" fillId="4" borderId="35" xfId="0" applyNumberFormat="1" applyFont="1" applyFill="1" applyBorder="1"/>
    <xf numFmtId="167" fontId="4" fillId="4" borderId="35" xfId="18" applyNumberFormat="1" applyFont="1" applyFill="1" applyBorder="1"/>
    <xf numFmtId="0" fontId="2" fillId="4" borderId="0" xfId="0" applyFont="1" applyFill="1" applyBorder="1" applyAlignment="1">
      <alignment wrapText="1"/>
    </xf>
    <xf numFmtId="166" fontId="0" fillId="4" borderId="0" xfId="9" applyNumberFormat="1" applyFont="1" applyFill="1" applyBorder="1"/>
    <xf numFmtId="10" fontId="2" fillId="4" borderId="0" xfId="0" applyNumberFormat="1" applyFont="1" applyFill="1" applyBorder="1" applyAlignment="1">
      <alignment wrapText="1"/>
    </xf>
    <xf numFmtId="0" fontId="12" fillId="4" borderId="12" xfId="16" applyFill="1" applyBorder="1" applyAlignment="1">
      <alignment horizontal="center"/>
    </xf>
    <xf numFmtId="0" fontId="12" fillId="4" borderId="11" xfId="16" applyFill="1" applyBorder="1" applyAlignment="1">
      <alignment horizontal="center"/>
    </xf>
    <xf numFmtId="0" fontId="2" fillId="4" borderId="10" xfId="16" applyFont="1" applyFill="1" applyBorder="1" applyAlignment="1">
      <alignment horizontal="center"/>
    </xf>
    <xf numFmtId="0" fontId="12" fillId="4" borderId="0" xfId="16" applyFill="1" applyBorder="1" applyAlignment="1">
      <alignment horizontal="center"/>
    </xf>
    <xf numFmtId="0" fontId="2" fillId="4" borderId="0" xfId="16" applyFont="1" applyFill="1" applyBorder="1" applyAlignment="1">
      <alignment horizontal="center" wrapText="1"/>
    </xf>
    <xf numFmtId="0" fontId="2" fillId="4" borderId="7" xfId="16" applyFont="1" applyFill="1" applyBorder="1" applyAlignment="1">
      <alignment horizontal="center"/>
    </xf>
    <xf numFmtId="0" fontId="12" fillId="4" borderId="1" xfId="16" applyFill="1" applyBorder="1" applyAlignment="1">
      <alignment horizontal="center"/>
    </xf>
    <xf numFmtId="0" fontId="2" fillId="4" borderId="1" xfId="16" applyFont="1" applyFill="1" applyBorder="1" applyAlignment="1">
      <alignment horizontal="center" wrapText="1"/>
    </xf>
    <xf numFmtId="0" fontId="12" fillId="4" borderId="11" xfId="16" applyFill="1" applyBorder="1"/>
    <xf numFmtId="43" fontId="5" fillId="4" borderId="11" xfId="16" applyNumberFormat="1" applyFont="1" applyFill="1" applyBorder="1"/>
    <xf numFmtId="43" fontId="5" fillId="4" borderId="0" xfId="16" applyNumberFormat="1" applyFont="1" applyFill="1" applyBorder="1"/>
    <xf numFmtId="43" fontId="9" fillId="4" borderId="0" xfId="16" applyNumberFormat="1" applyFont="1" applyFill="1" applyBorder="1"/>
    <xf numFmtId="43" fontId="13" fillId="4" borderId="0" xfId="1" applyNumberFormat="1" applyFont="1" applyFill="1" applyBorder="1"/>
    <xf numFmtId="43" fontId="92" fillId="4" borderId="0" xfId="1" applyNumberFormat="1" applyFont="1" applyFill="1" applyBorder="1"/>
    <xf numFmtId="43" fontId="108" fillId="4" borderId="0" xfId="1" applyNumberFormat="1" applyFont="1" applyFill="1" applyBorder="1"/>
    <xf numFmtId="43" fontId="109" fillId="4" borderId="0" xfId="1" applyNumberFormat="1" applyFont="1" applyFill="1" applyBorder="1"/>
    <xf numFmtId="164" fontId="108" fillId="4" borderId="0" xfId="1" applyNumberFormat="1" applyFont="1" applyFill="1" applyBorder="1"/>
    <xf numFmtId="43" fontId="110" fillId="4" borderId="0" xfId="3" applyNumberFormat="1" applyFont="1" applyFill="1" applyBorder="1"/>
    <xf numFmtId="164" fontId="3" fillId="4" borderId="0" xfId="1" applyNumberFormat="1" applyFont="1" applyFill="1" applyBorder="1"/>
    <xf numFmtId="164" fontId="109" fillId="4" borderId="0" xfId="3" applyNumberFormat="1" applyFont="1" applyFill="1" applyBorder="1"/>
    <xf numFmtId="164" fontId="111" fillId="4" borderId="0" xfId="1" applyNumberFormat="1" applyFont="1" applyFill="1" applyBorder="1"/>
    <xf numFmtId="43" fontId="112" fillId="4" borderId="0" xfId="3" applyNumberFormat="1" applyFont="1" applyFill="1" applyBorder="1"/>
    <xf numFmtId="164" fontId="113" fillId="4" borderId="0" xfId="1" applyNumberFormat="1" applyFont="1" applyFill="1" applyBorder="1"/>
    <xf numFmtId="164" fontId="114" fillId="4" borderId="0" xfId="1" applyNumberFormat="1" applyFont="1" applyFill="1" applyBorder="1"/>
    <xf numFmtId="43" fontId="115" fillId="4" borderId="0" xfId="3" applyNumberFormat="1" applyFont="1" applyFill="1" applyBorder="1"/>
    <xf numFmtId="164" fontId="7" fillId="4" borderId="0" xfId="1" applyNumberFormat="1" applyFont="1" applyFill="1" applyBorder="1"/>
    <xf numFmtId="164" fontId="115" fillId="4" borderId="0" xfId="3" applyNumberFormat="1" applyFont="1" applyFill="1" applyBorder="1"/>
    <xf numFmtId="41" fontId="45" fillId="0" borderId="0" xfId="1" applyNumberFormat="1" applyFont="1" applyFill="1" applyBorder="1"/>
    <xf numFmtId="41" fontId="45" fillId="0" borderId="0" xfId="1" applyNumberFormat="1" applyFont="1" applyFill="1" applyBorder="1" applyAlignment="1">
      <alignment horizontal="center" wrapText="1"/>
    </xf>
    <xf numFmtId="41" fontId="45" fillId="0" borderId="1" xfId="1" applyNumberFormat="1" applyFont="1" applyFill="1" applyBorder="1"/>
    <xf numFmtId="41" fontId="66" fillId="0" borderId="0" xfId="1" applyNumberFormat="1" applyFont="1" applyFill="1" applyBorder="1" applyAlignment="1">
      <alignment horizontal="center" wrapText="1"/>
    </xf>
    <xf numFmtId="41" fontId="66" fillId="0" borderId="9" xfId="1" applyNumberFormat="1" applyFont="1" applyFill="1" applyBorder="1" applyAlignment="1">
      <alignment horizontal="center" wrapText="1"/>
    </xf>
    <xf numFmtId="41" fontId="66" fillId="0" borderId="1" xfId="1" applyNumberFormat="1" applyFont="1" applyFill="1" applyBorder="1" applyAlignment="1">
      <alignment horizontal="center" wrapText="1"/>
    </xf>
    <xf numFmtId="41" fontId="66" fillId="0" borderId="8" xfId="1" applyNumberFormat="1" applyFont="1" applyFill="1" applyBorder="1" applyAlignment="1">
      <alignment horizontal="center" wrapText="1"/>
    </xf>
    <xf numFmtId="164" fontId="0" fillId="0" borderId="9" xfId="1" applyNumberFormat="1" applyFont="1" applyFill="1" applyBorder="1"/>
    <xf numFmtId="3" fontId="33" fillId="0" borderId="0" xfId="0" applyNumberFormat="1" applyFont="1" applyBorder="1"/>
    <xf numFmtId="164" fontId="1" fillId="4" borderId="0" xfId="1" applyNumberFormat="1" applyFont="1" applyFill="1" applyBorder="1" applyAlignment="1"/>
    <xf numFmtId="164" fontId="1" fillId="0" borderId="0" xfId="1" applyNumberFormat="1" applyFont="1" applyBorder="1" applyAlignment="1"/>
    <xf numFmtId="164" fontId="0" fillId="0" borderId="0" xfId="1" applyNumberFormat="1" applyFont="1"/>
    <xf numFmtId="43" fontId="0" fillId="0" borderId="0" xfId="1" applyNumberFormat="1" applyFont="1"/>
    <xf numFmtId="165" fontId="5" fillId="0" borderId="0" xfId="0" applyNumberFormat="1" applyFont="1"/>
    <xf numFmtId="44" fontId="35" fillId="0" borderId="24" xfId="0" applyNumberFormat="1" applyFont="1" applyBorder="1"/>
    <xf numFmtId="0" fontId="12" fillId="0" borderId="0" xfId="0" applyFont="1" applyBorder="1" applyAlignment="1">
      <alignment horizontal="center"/>
    </xf>
    <xf numFmtId="0" fontId="82" fillId="0" borderId="17" xfId="0" applyFont="1" applyBorder="1" applyAlignment="1">
      <alignment horizontal="center"/>
    </xf>
    <xf numFmtId="0" fontId="35" fillId="0" borderId="23" xfId="0" applyFont="1" applyBorder="1"/>
    <xf numFmtId="42" fontId="35" fillId="0" borderId="17" xfId="0" applyNumberFormat="1" applyFont="1" applyBorder="1"/>
    <xf numFmtId="172" fontId="5" fillId="0" borderId="0" xfId="18" applyNumberFormat="1" applyFont="1" applyAlignment="1"/>
    <xf numFmtId="172" fontId="6" fillId="0" borderId="0" xfId="18" applyNumberFormat="1" applyFont="1" applyFill="1" applyBorder="1" applyAlignment="1"/>
    <xf numFmtId="41" fontId="94" fillId="0" borderId="0" xfId="1" applyNumberFormat="1" applyFont="1" applyFill="1" applyBorder="1" applyAlignment="1"/>
    <xf numFmtId="41" fontId="1" fillId="0" borderId="7" xfId="1" applyNumberFormat="1" applyFont="1" applyFill="1" applyBorder="1"/>
    <xf numFmtId="41" fontId="1" fillId="0" borderId="1" xfId="1" applyNumberFormat="1" applyFont="1" applyFill="1" applyBorder="1"/>
    <xf numFmtId="41" fontId="33" fillId="0" borderId="1" xfId="1" applyNumberFormat="1" applyFont="1" applyFill="1" applyBorder="1"/>
    <xf numFmtId="41" fontId="1" fillId="0" borderId="1" xfId="0" applyNumberFormat="1" applyFont="1" applyBorder="1"/>
    <xf numFmtId="41" fontId="33" fillId="0" borderId="1" xfId="0" applyNumberFormat="1" applyFont="1" applyFill="1" applyBorder="1" applyAlignment="1"/>
    <xf numFmtId="41" fontId="0" fillId="0" borderId="1" xfId="0" applyNumberFormat="1" applyBorder="1"/>
    <xf numFmtId="164" fontId="12" fillId="0" borderId="14" xfId="1" applyNumberFormat="1" applyFont="1" applyFill="1" applyBorder="1"/>
    <xf numFmtId="172" fontId="12" fillId="0" borderId="0" xfId="18" applyNumberFormat="1" applyFont="1" applyFill="1" applyBorder="1"/>
    <xf numFmtId="167" fontId="12" fillId="0" borderId="0" xfId="18" applyNumberFormat="1" applyFont="1" applyFill="1" applyBorder="1"/>
    <xf numFmtId="164" fontId="3" fillId="0" borderId="3" xfId="1" applyNumberFormat="1" applyFont="1" applyFill="1" applyBorder="1" applyAlignment="1"/>
    <xf numFmtId="164" fontId="3" fillId="0" borderId="28" xfId="1" applyNumberFormat="1" applyFont="1" applyFill="1" applyBorder="1" applyAlignment="1"/>
    <xf numFmtId="43" fontId="1" fillId="0" borderId="0" xfId="1" applyFont="1"/>
    <xf numFmtId="43" fontId="1" fillId="0" borderId="0" xfId="0" applyNumberFormat="1" applyFont="1"/>
    <xf numFmtId="164" fontId="4" fillId="4" borderId="0" xfId="1" applyNumberFormat="1" applyFont="1" applyFill="1"/>
    <xf numFmtId="164" fontId="4" fillId="4" borderId="26" xfId="1" applyNumberFormat="1" applyFont="1" applyFill="1" applyBorder="1"/>
    <xf numFmtId="0" fontId="45" fillId="0" borderId="37" xfId="0" applyFont="1" applyFill="1" applyBorder="1" applyAlignment="1">
      <alignment horizontal="center" wrapText="1"/>
    </xf>
    <xf numFmtId="164" fontId="45" fillId="0" borderId="37" xfId="0" applyNumberFormat="1" applyFont="1" applyFill="1" applyBorder="1" applyAlignment="1">
      <alignment horizontal="center" wrapText="1"/>
    </xf>
    <xf numFmtId="3" fontId="5" fillId="4" borderId="0" xfId="1" applyNumberFormat="1" applyFont="1" applyFill="1" applyAlignment="1"/>
    <xf numFmtId="4" fontId="3" fillId="0" borderId="0" xfId="1" applyNumberFormat="1" applyFont="1" applyFill="1" applyAlignment="1"/>
    <xf numFmtId="4" fontId="3" fillId="0" borderId="0" xfId="1" applyNumberFormat="1" applyFont="1" applyFill="1" applyBorder="1" applyAlignment="1"/>
    <xf numFmtId="164" fontId="45" fillId="0" borderId="38" xfId="0" applyNumberFormat="1" applyFont="1" applyFill="1" applyBorder="1" applyAlignment="1">
      <alignment horizontal="center" wrapText="1"/>
    </xf>
    <xf numFmtId="0" fontId="61" fillId="4" borderId="0" xfId="0" applyFont="1" applyFill="1" applyBorder="1" applyAlignment="1">
      <alignment horizontal="center" wrapText="1"/>
    </xf>
    <xf numFmtId="0" fontId="124" fillId="0" borderId="0" xfId="0" applyFont="1" applyFill="1" applyBorder="1" applyAlignment="1">
      <alignment horizontal="center" wrapText="1"/>
    </xf>
    <xf numFmtId="164" fontId="125" fillId="4" borderId="0" xfId="1" applyNumberFormat="1" applyFont="1" applyFill="1"/>
    <xf numFmtId="164" fontId="126" fillId="0" borderId="0" xfId="1" applyNumberFormat="1" applyFont="1"/>
    <xf numFmtId="0" fontId="3" fillId="0" borderId="36" xfId="14" applyFont="1" applyBorder="1" applyAlignment="1">
      <alignment horizontal="center"/>
    </xf>
    <xf numFmtId="0" fontId="125" fillId="0" borderId="0" xfId="14" applyFont="1"/>
    <xf numFmtId="43" fontId="47" fillId="0" borderId="0" xfId="2" applyFont="1" applyFill="1" applyBorder="1" applyAlignment="1">
      <alignment horizontal="center" wrapText="1"/>
    </xf>
    <xf numFmtId="43" fontId="47" fillId="0" borderId="0" xfId="2" applyFont="1" applyFill="1" applyBorder="1" applyAlignment="1">
      <alignment wrapText="1"/>
    </xf>
    <xf numFmtId="43" fontId="2" fillId="0" borderId="0" xfId="2" applyFont="1" applyBorder="1" applyAlignment="1">
      <alignment wrapText="1"/>
    </xf>
    <xf numFmtId="0" fontId="2" fillId="0" borderId="0" xfId="14" applyFont="1" applyBorder="1" applyAlignment="1">
      <alignment horizontal="center" wrapText="1"/>
    </xf>
    <xf numFmtId="0" fontId="2" fillId="0" borderId="0" xfId="14" applyFont="1" applyBorder="1"/>
    <xf numFmtId="0" fontId="2" fillId="0" borderId="0" xfId="14" applyFont="1" applyBorder="1" applyAlignment="1">
      <alignment horizontal="center"/>
    </xf>
    <xf numFmtId="43" fontId="3" fillId="0" borderId="0" xfId="2" applyFont="1" applyBorder="1" applyAlignment="1"/>
    <xf numFmtId="164" fontId="6" fillId="0" borderId="0" xfId="1" applyNumberFormat="1" applyFont="1" applyBorder="1"/>
    <xf numFmtId="164" fontId="33" fillId="0" borderId="7" xfId="2" applyNumberFormat="1" applyFont="1" applyFill="1" applyBorder="1"/>
    <xf numFmtId="164" fontId="33" fillId="0" borderId="1" xfId="2" applyNumberFormat="1" applyFont="1" applyFill="1" applyBorder="1"/>
    <xf numFmtId="164" fontId="33" fillId="0" borderId="8" xfId="2" applyNumberFormat="1" applyFont="1" applyFill="1" applyBorder="1"/>
    <xf numFmtId="39" fontId="33" fillId="0" borderId="0" xfId="2" applyNumberFormat="1" applyFont="1" applyFill="1" applyBorder="1" applyAlignment="1">
      <alignment horizontal="right"/>
    </xf>
    <xf numFmtId="39" fontId="33" fillId="0" borderId="1" xfId="2" applyNumberFormat="1" applyFont="1" applyFill="1" applyBorder="1" applyAlignment="1">
      <alignment horizontal="right"/>
    </xf>
    <xf numFmtId="43" fontId="0" fillId="0" borderId="0" xfId="2" applyFont="1"/>
    <xf numFmtId="0" fontId="118" fillId="0" borderId="0" xfId="0" applyFont="1" applyFill="1" applyBorder="1" applyAlignment="1">
      <alignment horizontal="right"/>
    </xf>
    <xf numFmtId="10" fontId="33" fillId="0" borderId="10" xfId="20" applyNumberFormat="1" applyFont="1" applyFill="1" applyBorder="1" applyAlignment="1">
      <alignment horizontal="right"/>
    </xf>
    <xf numFmtId="37" fontId="33" fillId="0" borderId="0" xfId="2" applyNumberFormat="1" applyFont="1" applyFill="1" applyBorder="1" applyAlignment="1">
      <alignment horizontal="right"/>
    </xf>
    <xf numFmtId="37" fontId="33" fillId="0" borderId="1" xfId="2" applyNumberFormat="1" applyFont="1" applyFill="1" applyBorder="1" applyAlignment="1">
      <alignment horizontal="right"/>
    </xf>
    <xf numFmtId="0" fontId="24" fillId="0" borderId="0" xfId="0" applyFont="1" applyAlignment="1">
      <alignment horizontal="left"/>
    </xf>
    <xf numFmtId="0" fontId="45" fillId="0" borderId="7" xfId="0" applyFont="1" applyBorder="1" applyAlignment="1">
      <alignment horizontal="center" wrapText="1"/>
    </xf>
    <xf numFmtId="0" fontId="45" fillId="0" borderId="39" xfId="0" applyFont="1" applyFill="1" applyBorder="1" applyAlignment="1">
      <alignment horizontal="center" wrapText="1"/>
    </xf>
    <xf numFmtId="0" fontId="45" fillId="0" borderId="40" xfId="0" applyFont="1" applyFill="1" applyBorder="1" applyAlignment="1">
      <alignment horizontal="center" wrapText="1"/>
    </xf>
    <xf numFmtId="0" fontId="45" fillId="0" borderId="6" xfId="0" applyFont="1" applyBorder="1"/>
    <xf numFmtId="0" fontId="45" fillId="0" borderId="6" xfId="0" applyFont="1" applyBorder="1" applyAlignment="1">
      <alignment horizontal="center"/>
    </xf>
    <xf numFmtId="0" fontId="45" fillId="9" borderId="5" xfId="0" applyFont="1" applyFill="1" applyBorder="1" applyAlignment="1">
      <alignment horizontal="center" wrapText="1"/>
    </xf>
    <xf numFmtId="0" fontId="33" fillId="0" borderId="12" xfId="0" applyFont="1" applyFill="1" applyBorder="1" applyAlignment="1">
      <alignment horizontal="center" wrapText="1"/>
    </xf>
    <xf numFmtId="164" fontId="47" fillId="0" borderId="0" xfId="2" applyNumberFormat="1" applyFont="1" applyFill="1" applyBorder="1" applyAlignment="1">
      <alignment horizontal="center" wrapText="1"/>
    </xf>
    <xf numFmtId="164" fontId="0" fillId="0" borderId="11" xfId="2" applyNumberFormat="1" applyFont="1" applyFill="1" applyBorder="1"/>
    <xf numFmtId="164" fontId="66" fillId="0" borderId="0" xfId="2" applyNumberFormat="1" applyFont="1" applyFill="1" applyBorder="1" applyAlignment="1">
      <alignment horizontal="center" wrapText="1"/>
    </xf>
    <xf numFmtId="164" fontId="0" fillId="0" borderId="0" xfId="2" applyNumberFormat="1" applyFont="1" applyFill="1" applyBorder="1"/>
    <xf numFmtId="164" fontId="0" fillId="0" borderId="1" xfId="2" applyNumberFormat="1" applyFont="1" applyFill="1" applyBorder="1"/>
    <xf numFmtId="41" fontId="45" fillId="0" borderId="0" xfId="2" applyNumberFormat="1" applyFont="1" applyFill="1"/>
    <xf numFmtId="43" fontId="45" fillId="0" borderId="0" xfId="2" applyNumberFormat="1" applyFont="1" applyFill="1" applyBorder="1"/>
    <xf numFmtId="41" fontId="33" fillId="0" borderId="9" xfId="2" applyNumberFormat="1" applyFont="1" applyFill="1" applyBorder="1" applyAlignment="1">
      <alignment horizontal="center" wrapText="1"/>
    </xf>
    <xf numFmtId="164" fontId="0" fillId="0" borderId="13" xfId="2" applyNumberFormat="1" applyFont="1" applyFill="1" applyBorder="1"/>
    <xf numFmtId="164" fontId="0" fillId="0" borderId="9" xfId="2" applyNumberFormat="1" applyFont="1" applyFill="1" applyBorder="1"/>
    <xf numFmtId="41" fontId="33" fillId="0" borderId="8" xfId="2" applyNumberFormat="1" applyFont="1" applyFill="1" applyBorder="1" applyAlignment="1">
      <alignment horizontal="center" wrapText="1"/>
    </xf>
    <xf numFmtId="164" fontId="0" fillId="0" borderId="8" xfId="2" applyNumberFormat="1" applyFont="1" applyFill="1" applyBorder="1"/>
    <xf numFmtId="41" fontId="0" fillId="0" borderId="41" xfId="2" applyNumberFormat="1" applyFont="1" applyFill="1" applyBorder="1"/>
    <xf numFmtId="41" fontId="45" fillId="0" borderId="41" xfId="2" applyNumberFormat="1" applyFont="1" applyFill="1" applyBorder="1"/>
    <xf numFmtId="41" fontId="12" fillId="0" borderId="41" xfId="2" applyNumberFormat="1" applyFont="1" applyFill="1" applyBorder="1" applyAlignment="1">
      <alignment horizontal="left"/>
    </xf>
    <xf numFmtId="41" fontId="0" fillId="0" borderId="42" xfId="2" applyNumberFormat="1" applyFont="1" applyFill="1" applyBorder="1"/>
    <xf numFmtId="0" fontId="45" fillId="0" borderId="43" xfId="0" applyFont="1" applyFill="1" applyBorder="1" applyAlignment="1">
      <alignment horizontal="center" wrapText="1"/>
    </xf>
    <xf numFmtId="0" fontId="45" fillId="0" borderId="30" xfId="0" applyFont="1" applyFill="1" applyBorder="1" applyAlignment="1">
      <alignment horizontal="center" wrapText="1"/>
    </xf>
    <xf numFmtId="41" fontId="45" fillId="0" borderId="31" xfId="0" applyNumberFormat="1" applyFont="1" applyFill="1" applyBorder="1" applyAlignment="1">
      <alignment horizontal="center" wrapText="1"/>
    </xf>
    <xf numFmtId="41" fontId="0" fillId="0" borderId="44" xfId="2" applyNumberFormat="1" applyFont="1" applyFill="1" applyBorder="1"/>
    <xf numFmtId="41" fontId="0" fillId="0" borderId="0" xfId="2" applyNumberFormat="1" applyFont="1" applyFill="1" applyBorder="1"/>
    <xf numFmtId="41" fontId="45" fillId="0" borderId="0" xfId="2" applyNumberFormat="1" applyFont="1" applyFill="1" applyBorder="1"/>
    <xf numFmtId="41" fontId="106" fillId="0" borderId="0" xfId="2" applyNumberFormat="1" applyFont="1" applyFill="1" applyBorder="1" applyAlignment="1">
      <alignment horizontal="left"/>
    </xf>
    <xf numFmtId="39" fontId="0" fillId="0" borderId="41" xfId="0" applyNumberFormat="1" applyFill="1" applyBorder="1"/>
    <xf numFmtId="39" fontId="12" fillId="0" borderId="41" xfId="0" applyNumberFormat="1" applyFont="1" applyFill="1" applyBorder="1"/>
    <xf numFmtId="41" fontId="12" fillId="0" borderId="41" xfId="2" applyNumberFormat="1" applyFont="1" applyFill="1" applyBorder="1"/>
    <xf numFmtId="39" fontId="0" fillId="0" borderId="0" xfId="0" applyNumberFormat="1"/>
    <xf numFmtId="0" fontId="45" fillId="0" borderId="32" xfId="0" applyFont="1" applyFill="1" applyBorder="1" applyAlignment="1">
      <alignment horizontal="center" wrapText="1"/>
    </xf>
    <xf numFmtId="164" fontId="46" fillId="4" borderId="4" xfId="2" applyNumberFormat="1" applyFont="1" applyFill="1" applyBorder="1" applyAlignment="1">
      <alignment wrapText="1"/>
    </xf>
    <xf numFmtId="164" fontId="2" fillId="0" borderId="1" xfId="1" applyNumberFormat="1" applyFont="1" applyBorder="1" applyAlignment="1">
      <alignment horizontal="center" wrapText="1"/>
    </xf>
    <xf numFmtId="0" fontId="12" fillId="0" borderId="5" xfId="0" applyFont="1" applyFill="1" applyBorder="1" applyAlignment="1">
      <alignment horizontal="center"/>
    </xf>
    <xf numFmtId="164" fontId="46" fillId="4" borderId="0" xfId="2" applyNumberFormat="1" applyFont="1" applyFill="1" applyBorder="1" applyAlignment="1">
      <alignment wrapText="1"/>
    </xf>
    <xf numFmtId="0" fontId="33" fillId="0" borderId="12" xfId="0" applyFont="1" applyFill="1" applyBorder="1" applyAlignment="1">
      <alignment horizontal="center"/>
    </xf>
    <xf numFmtId="0" fontId="0" fillId="0" borderId="13" xfId="0" applyFill="1" applyBorder="1" applyAlignment="1">
      <alignment horizontal="center"/>
    </xf>
    <xf numFmtId="0" fontId="33" fillId="0" borderId="10" xfId="0" applyFont="1" applyFill="1" applyBorder="1" applyAlignment="1">
      <alignment horizontal="center"/>
    </xf>
    <xf numFmtId="43" fontId="0" fillId="0" borderId="10" xfId="0" applyNumberFormat="1" applyFill="1" applyBorder="1"/>
    <xf numFmtId="164" fontId="33" fillId="0" borderId="0" xfId="2" applyNumberFormat="1" applyFont="1" applyFill="1" applyBorder="1"/>
    <xf numFmtId="164" fontId="36" fillId="0" borderId="13" xfId="2" applyNumberFormat="1" applyFont="1" applyFill="1" applyBorder="1" applyAlignment="1">
      <alignment horizontal="center"/>
    </xf>
    <xf numFmtId="39" fontId="33" fillId="0" borderId="9" xfId="2" applyNumberFormat="1" applyFont="1" applyFill="1" applyBorder="1" applyAlignment="1">
      <alignment horizontal="right"/>
    </xf>
    <xf numFmtId="37" fontId="33" fillId="0" borderId="7" xfId="2" applyNumberFormat="1" applyFont="1" applyFill="1" applyBorder="1" applyAlignment="1">
      <alignment horizontal="right"/>
    </xf>
    <xf numFmtId="39" fontId="33" fillId="0" borderId="8" xfId="2" applyNumberFormat="1" applyFont="1" applyFill="1" applyBorder="1" applyAlignment="1">
      <alignment horizontal="right"/>
    </xf>
    <xf numFmtId="0" fontId="0" fillId="5" borderId="0" xfId="0" applyFill="1" applyBorder="1"/>
    <xf numFmtId="42" fontId="43" fillId="0" borderId="45" xfId="11" applyNumberFormat="1" applyFont="1" applyFill="1" applyBorder="1" applyAlignment="1">
      <alignment horizontal="left"/>
    </xf>
    <xf numFmtId="0" fontId="91" fillId="0" borderId="0" xfId="0" applyFont="1" applyFill="1" applyBorder="1" applyAlignment="1">
      <alignment horizontal="center" wrapText="1"/>
    </xf>
    <xf numFmtId="0" fontId="61" fillId="0" borderId="0" xfId="0" applyFont="1" applyFill="1" applyBorder="1" applyAlignment="1">
      <alignment horizontal="center" wrapText="1"/>
    </xf>
    <xf numFmtId="172" fontId="6" fillId="0" borderId="0" xfId="18" applyNumberFormat="1" applyFont="1" applyFill="1" applyAlignment="1"/>
    <xf numFmtId="3" fontId="3" fillId="0" borderId="2" xfId="0" applyNumberFormat="1" applyFont="1" applyFill="1" applyBorder="1" applyAlignment="1"/>
    <xf numFmtId="172" fontId="5" fillId="0" borderId="0" xfId="0" applyNumberFormat="1" applyFont="1" applyFill="1" applyAlignment="1">
      <alignment horizontal="right"/>
    </xf>
    <xf numFmtId="170" fontId="6" fillId="0" borderId="0" xfId="18" applyNumberFormat="1" applyFont="1" applyFill="1" applyAlignment="1">
      <alignment horizontal="right"/>
    </xf>
    <xf numFmtId="3" fontId="124" fillId="0" borderId="0" xfId="0" applyNumberFormat="1" applyFont="1" applyFill="1" applyBorder="1" applyAlignment="1"/>
    <xf numFmtId="3" fontId="5" fillId="0" borderId="0" xfId="0" applyNumberFormat="1" applyFont="1" applyFill="1" applyBorder="1" applyAlignment="1"/>
    <xf numFmtId="172" fontId="7" fillId="0" borderId="0" xfId="0" applyNumberFormat="1" applyFont="1" applyFill="1" applyAlignment="1">
      <alignment horizontal="right"/>
    </xf>
    <xf numFmtId="3" fontId="10" fillId="0" borderId="0" xfId="0" applyNumberFormat="1" applyFont="1" applyFill="1" applyBorder="1" applyAlignment="1">
      <alignment horizontal="right"/>
    </xf>
    <xf numFmtId="3" fontId="5" fillId="0" borderId="0" xfId="0" applyNumberFormat="1" applyFont="1" applyFill="1" applyBorder="1" applyAlignment="1">
      <alignment horizontal="center" wrapText="1"/>
    </xf>
    <xf numFmtId="3" fontId="3" fillId="0" borderId="0" xfId="18" applyNumberFormat="1" applyFont="1" applyFill="1" applyAlignment="1"/>
    <xf numFmtId="3" fontId="124" fillId="0" borderId="0" xfId="1" applyNumberFormat="1" applyFont="1" applyFill="1" applyBorder="1"/>
    <xf numFmtId="3" fontId="104" fillId="0" borderId="0" xfId="1" applyNumberFormat="1" applyFont="1" applyFill="1" applyBorder="1"/>
    <xf numFmtId="3" fontId="5" fillId="0" borderId="0" xfId="1" applyNumberFormat="1" applyFont="1" applyFill="1" applyAlignment="1"/>
    <xf numFmtId="165" fontId="3" fillId="0" borderId="0" xfId="0" applyNumberFormat="1" applyFont="1" applyFill="1" applyAlignment="1"/>
    <xf numFmtId="10" fontId="5" fillId="0" borderId="0" xfId="0" applyNumberFormat="1" applyFont="1" applyFill="1"/>
    <xf numFmtId="3" fontId="5" fillId="0" borderId="0" xfId="1" applyNumberFormat="1" applyFont="1" applyFill="1"/>
    <xf numFmtId="3" fontId="25" fillId="0" borderId="0" xfId="0" applyNumberFormat="1" applyFont="1" applyFill="1" applyBorder="1"/>
    <xf numFmtId="166" fontId="3" fillId="0" borderId="0" xfId="9" applyNumberFormat="1" applyFont="1" applyFill="1" applyBorder="1" applyAlignment="1">
      <alignment horizontal="center"/>
    </xf>
    <xf numFmtId="166" fontId="12" fillId="0" borderId="0" xfId="9" applyNumberFormat="1" applyFont="1" applyFill="1"/>
    <xf numFmtId="43" fontId="6" fillId="0" borderId="0" xfId="1" applyFont="1" applyFill="1"/>
    <xf numFmtId="174" fontId="6" fillId="0" borderId="0" xfId="18" applyNumberFormat="1" applyFont="1" applyFill="1"/>
    <xf numFmtId="43" fontId="6" fillId="0" borderId="0" xfId="0" applyNumberFormat="1" applyFont="1" applyFill="1"/>
    <xf numFmtId="0" fontId="10" fillId="0" borderId="0" xfId="0" applyFont="1" applyFill="1" applyBorder="1" applyAlignment="1">
      <alignment horizontal="center" wrapText="1"/>
    </xf>
    <xf numFmtId="172" fontId="3" fillId="0" borderId="0" xfId="18" applyNumberFormat="1" applyFont="1" applyFill="1" applyBorder="1" applyAlignment="1"/>
    <xf numFmtId="3" fontId="5" fillId="0" borderId="0" xfId="0" applyNumberFormat="1" applyFont="1" applyFill="1" applyBorder="1"/>
    <xf numFmtId="164" fontId="5" fillId="0" borderId="0" xfId="1" applyNumberFormat="1" applyFont="1" applyFill="1" applyBorder="1"/>
    <xf numFmtId="3" fontId="10" fillId="0" borderId="0" xfId="0" applyNumberFormat="1" applyFont="1" applyFill="1" applyBorder="1" applyAlignment="1"/>
    <xf numFmtId="172" fontId="5"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3" fontId="10" fillId="0" borderId="0" xfId="0" applyNumberFormat="1" applyFont="1" applyFill="1" applyBorder="1"/>
    <xf numFmtId="170" fontId="6" fillId="0" borderId="0" xfId="18" applyNumberFormat="1" applyFont="1" applyFill="1" applyBorder="1" applyAlignment="1">
      <alignment horizontal="right"/>
    </xf>
    <xf numFmtId="172" fontId="10" fillId="0" borderId="0" xfId="18" applyNumberFormat="1" applyFont="1" applyFill="1" applyBorder="1" applyAlignment="1"/>
    <xf numFmtId="3" fontId="6" fillId="0" borderId="0" xfId="1" applyNumberFormat="1" applyFont="1" applyFill="1" applyBorder="1" applyAlignment="1">
      <alignment horizontal="right"/>
    </xf>
    <xf numFmtId="172" fontId="7" fillId="0" borderId="0" xfId="0" applyNumberFormat="1" applyFont="1" applyFill="1" applyBorder="1" applyAlignment="1">
      <alignment horizontal="right"/>
    </xf>
    <xf numFmtId="3" fontId="3" fillId="0" borderId="0" xfId="1" applyNumberFormat="1" applyFont="1" applyFill="1" applyBorder="1"/>
    <xf numFmtId="181" fontId="5" fillId="0" borderId="0" xfId="0" applyNumberFormat="1" applyFont="1" applyFill="1" applyBorder="1"/>
    <xf numFmtId="3" fontId="3" fillId="0" borderId="0" xfId="18" applyNumberFormat="1" applyFont="1" applyFill="1" applyBorder="1" applyAlignment="1"/>
    <xf numFmtId="3" fontId="124" fillId="0" borderId="0" xfId="1" applyNumberFormat="1" applyFont="1" applyFill="1" applyBorder="1" applyAlignment="1"/>
    <xf numFmtId="3" fontId="5" fillId="0" borderId="0" xfId="1" applyNumberFormat="1" applyFont="1" applyFill="1" applyBorder="1" applyAlignment="1"/>
    <xf numFmtId="3" fontId="7" fillId="0" borderId="0" xfId="0" applyNumberFormat="1" applyFont="1" applyFill="1" applyBorder="1" applyAlignment="1"/>
    <xf numFmtId="185" fontId="6" fillId="0" borderId="0" xfId="0" applyNumberFormat="1" applyFont="1" applyFill="1" applyBorder="1" applyAlignment="1">
      <alignment horizontal="center"/>
    </xf>
    <xf numFmtId="172" fontId="5" fillId="0" borderId="0" xfId="18" applyNumberFormat="1" applyFont="1" applyFill="1" applyBorder="1" applyAlignment="1"/>
    <xf numFmtId="3" fontId="5" fillId="0" borderId="0" xfId="0" applyNumberFormat="1" applyFont="1" applyFill="1" applyBorder="1" applyAlignment="1">
      <alignment horizontal="center"/>
    </xf>
    <xf numFmtId="165" fontId="5" fillId="0" borderId="0" xfId="0" applyNumberFormat="1" applyFont="1" applyFill="1" applyBorder="1"/>
    <xf numFmtId="165" fontId="6" fillId="0" borderId="0" xfId="0" applyNumberFormat="1" applyFont="1" applyFill="1" applyBorder="1" applyAlignment="1"/>
    <xf numFmtId="165" fontId="3" fillId="0" borderId="0" xfId="0" applyNumberFormat="1" applyFont="1" applyFill="1" applyBorder="1" applyAlignment="1"/>
    <xf numFmtId="10" fontId="5" fillId="0" borderId="0" xfId="0" applyNumberFormat="1" applyFont="1" applyFill="1" applyBorder="1"/>
    <xf numFmtId="10" fontId="6" fillId="0" borderId="0" xfId="0" applyNumberFormat="1" applyFont="1" applyFill="1" applyBorder="1" applyAlignment="1">
      <alignment horizontal="right"/>
    </xf>
    <xf numFmtId="10" fontId="6" fillId="0" borderId="0" xfId="0" applyNumberFormat="1" applyFont="1" applyFill="1" applyBorder="1"/>
    <xf numFmtId="10" fontId="8" fillId="0" borderId="0" xfId="0" applyNumberFormat="1" applyFont="1" applyFill="1" applyBorder="1" applyAlignment="1">
      <alignment horizontal="right"/>
    </xf>
    <xf numFmtId="164" fontId="3" fillId="0" borderId="0" xfId="1" applyNumberFormat="1" applyFont="1" applyFill="1" applyBorder="1" applyAlignment="1"/>
    <xf numFmtId="173" fontId="6" fillId="0" borderId="0" xfId="18" applyNumberFormat="1" applyFont="1" applyFill="1" applyBorder="1" applyAlignment="1">
      <alignment horizontal="right"/>
    </xf>
    <xf numFmtId="3" fontId="5" fillId="0" borderId="0" xfId="1" applyNumberFormat="1" applyFont="1" applyFill="1" applyBorder="1"/>
    <xf numFmtId="3" fontId="6" fillId="0" borderId="0" xfId="1" applyNumberFormat="1" applyFont="1" applyFill="1" applyBorder="1" applyAlignment="1"/>
    <xf numFmtId="3" fontId="15" fillId="0" borderId="0" xfId="0" applyNumberFormat="1" applyFont="1" applyFill="1" applyBorder="1"/>
    <xf numFmtId="4" fontId="3" fillId="0" borderId="0" xfId="1" applyNumberFormat="1" applyFont="1" applyFill="1" applyBorder="1"/>
    <xf numFmtId="4" fontId="64" fillId="0" borderId="0" xfId="1" applyNumberFormat="1" applyFont="1" applyFill="1" applyBorder="1" applyAlignment="1"/>
    <xf numFmtId="175" fontId="3" fillId="0" borderId="0" xfId="1" applyNumberFormat="1" applyFont="1" applyFill="1" applyBorder="1" applyAlignment="1">
      <alignment horizontal="center"/>
    </xf>
    <xf numFmtId="166" fontId="15" fillId="0" borderId="0" xfId="9" applyNumberFormat="1" applyFont="1" applyFill="1" applyBorder="1" applyAlignment="1">
      <alignment horizontal="center"/>
    </xf>
    <xf numFmtId="166" fontId="12" fillId="0" borderId="0" xfId="9" applyNumberFormat="1" applyFont="1" applyFill="1" applyBorder="1"/>
    <xf numFmtId="43" fontId="6" fillId="0" borderId="0" xfId="1" applyFont="1" applyFill="1" applyBorder="1"/>
    <xf numFmtId="174" fontId="6" fillId="0" borderId="0" xfId="18" applyNumberFormat="1" applyFont="1" applyFill="1" applyBorder="1"/>
    <xf numFmtId="43" fontId="6" fillId="0" borderId="0" xfId="0" applyNumberFormat="1" applyFont="1" applyFill="1" applyBorder="1"/>
    <xf numFmtId="0" fontId="3" fillId="10" borderId="33" xfId="0" applyFont="1" applyFill="1" applyBorder="1" applyAlignment="1">
      <alignment horizontal="center" wrapText="1"/>
    </xf>
    <xf numFmtId="0" fontId="61" fillId="3" borderId="0" xfId="0" applyFont="1" applyFill="1" applyBorder="1" applyAlignment="1">
      <alignment horizontal="center" wrapText="1"/>
    </xf>
    <xf numFmtId="3" fontId="5" fillId="0" borderId="2" xfId="0" applyNumberFormat="1" applyFont="1" applyBorder="1" applyAlignment="1"/>
    <xf numFmtId="3" fontId="5" fillId="0" borderId="2" xfId="0" applyNumberFormat="1" applyFont="1" applyFill="1" applyBorder="1" applyAlignment="1"/>
    <xf numFmtId="3" fontId="5" fillId="0" borderId="0" xfId="0" applyNumberFormat="1" applyFont="1" applyBorder="1" applyAlignment="1"/>
    <xf numFmtId="172" fontId="5" fillId="0" borderId="0" xfId="18" applyNumberFormat="1" applyFont="1" applyBorder="1" applyAlignment="1"/>
    <xf numFmtId="170" fontId="5" fillId="0" borderId="0" xfId="18" applyNumberFormat="1" applyFont="1" applyAlignment="1">
      <alignment horizontal="right"/>
    </xf>
    <xf numFmtId="3" fontId="17" fillId="0" borderId="0" xfId="0" applyNumberFormat="1" applyFont="1" applyFill="1" applyAlignment="1">
      <alignment horizontal="right"/>
    </xf>
    <xf numFmtId="3" fontId="5" fillId="0" borderId="0" xfId="1" applyNumberFormat="1" applyFont="1" applyFill="1" applyAlignment="1">
      <alignment horizontal="right"/>
    </xf>
    <xf numFmtId="3" fontId="3" fillId="0" borderId="3" xfId="0" applyNumberFormat="1" applyFont="1" applyBorder="1" applyAlignment="1">
      <alignment horizontal="right"/>
    </xf>
    <xf numFmtId="3" fontId="5" fillId="4" borderId="4" xfId="0" applyNumberFormat="1" applyFont="1" applyFill="1" applyBorder="1" applyAlignment="1"/>
    <xf numFmtId="185" fontId="5" fillId="0" borderId="0" xfId="0" applyNumberFormat="1" applyFont="1" applyAlignment="1">
      <alignment horizontal="center"/>
    </xf>
    <xf numFmtId="165" fontId="5" fillId="0" borderId="0" xfId="0" applyNumberFormat="1" applyFont="1" applyAlignment="1"/>
    <xf numFmtId="165" fontId="5" fillId="0" borderId="0" xfId="0" applyNumberFormat="1" applyFont="1" applyFill="1" applyAlignment="1"/>
    <xf numFmtId="165" fontId="5" fillId="0" borderId="4" xfId="0" applyNumberFormat="1" applyFont="1" applyBorder="1" applyAlignment="1"/>
    <xf numFmtId="10" fontId="5" fillId="0" borderId="0" xfId="0" applyNumberFormat="1" applyFont="1" applyFill="1" applyAlignment="1">
      <alignment horizontal="right"/>
    </xf>
    <xf numFmtId="10" fontId="3" fillId="0" borderId="0" xfId="0" applyNumberFormat="1" applyFont="1" applyFill="1" applyAlignment="1">
      <alignment horizontal="right"/>
    </xf>
    <xf numFmtId="173" fontId="5" fillId="0" borderId="0" xfId="18" applyNumberFormat="1" applyFont="1" applyFill="1" applyAlignment="1">
      <alignment horizontal="right"/>
    </xf>
    <xf numFmtId="3" fontId="5" fillId="0" borderId="4" xfId="1" applyNumberFormat="1" applyFont="1" applyFill="1" applyBorder="1"/>
    <xf numFmtId="10" fontId="5" fillId="0" borderId="0" xfId="18" applyNumberFormat="1" applyFont="1" applyFill="1" applyBorder="1"/>
    <xf numFmtId="3" fontId="5" fillId="0" borderId="4" xfId="0" applyNumberFormat="1" applyFont="1" applyFill="1" applyBorder="1"/>
    <xf numFmtId="4" fontId="120" fillId="0" borderId="33" xfId="1" applyNumberFormat="1" applyFont="1" applyFill="1" applyBorder="1" applyAlignment="1"/>
    <xf numFmtId="174" fontId="5" fillId="0" borderId="0" xfId="18" applyNumberFormat="1" applyFont="1"/>
    <xf numFmtId="170" fontId="6" fillId="0" borderId="0" xfId="0" applyNumberFormat="1" applyFont="1" applyFill="1" applyAlignment="1"/>
    <xf numFmtId="182" fontId="5" fillId="0" borderId="0" xfId="0" applyNumberFormat="1" applyFont="1" applyFill="1"/>
    <xf numFmtId="168" fontId="6" fillId="0" borderId="0" xfId="0" applyNumberFormat="1" applyFont="1" applyFill="1" applyAlignment="1"/>
    <xf numFmtId="168" fontId="3" fillId="0" borderId="0" xfId="0" applyNumberFormat="1" applyFont="1" applyFill="1" applyAlignment="1"/>
    <xf numFmtId="3" fontId="12" fillId="4" borderId="0" xfId="1" applyNumberFormat="1" applyFont="1" applyFill="1" applyAlignment="1">
      <alignment horizontal="right" wrapText="1"/>
    </xf>
    <xf numFmtId="3" fontId="12" fillId="4" borderId="0" xfId="1" applyNumberFormat="1" applyFont="1" applyFill="1" applyBorder="1" applyAlignment="1">
      <alignment horizontal="right" wrapText="1"/>
    </xf>
    <xf numFmtId="164" fontId="12" fillId="4" borderId="0" xfId="1" applyNumberFormat="1" applyFont="1" applyFill="1" applyAlignment="1"/>
    <xf numFmtId="164" fontId="12" fillId="4" borderId="0" xfId="1" applyNumberFormat="1" applyFont="1" applyFill="1" applyAlignment="1">
      <alignment wrapText="1"/>
    </xf>
    <xf numFmtId="164" fontId="12" fillId="0" borderId="0" xfId="1" applyNumberFormat="1" applyFont="1" applyAlignment="1"/>
    <xf numFmtId="164" fontId="12" fillId="0" borderId="0" xfId="1" applyNumberFormat="1" applyFont="1" applyAlignment="1">
      <alignment vertical="center" wrapText="1"/>
    </xf>
    <xf numFmtId="165" fontId="5" fillId="0" borderId="0" xfId="0" applyNumberFormat="1" applyFont="1" applyBorder="1"/>
    <xf numFmtId="0" fontId="2" fillId="0" borderId="0" xfId="14" applyFont="1" applyFill="1" applyBorder="1" applyAlignment="1">
      <alignment horizontal="left"/>
    </xf>
    <xf numFmtId="0" fontId="12" fillId="5" borderId="12" xfId="14" applyFont="1" applyFill="1" applyBorder="1" applyAlignment="1">
      <alignment horizontal="center" wrapText="1"/>
    </xf>
    <xf numFmtId="0" fontId="12" fillId="0" borderId="0" xfId="14" applyFont="1" applyFill="1" applyBorder="1" applyAlignment="1">
      <alignment horizontal="center"/>
    </xf>
    <xf numFmtId="0" fontId="2" fillId="0" borderId="10" xfId="14" applyFont="1" applyFill="1" applyBorder="1" applyAlignment="1">
      <alignment horizontal="center" wrapText="1"/>
    </xf>
    <xf numFmtId="0" fontId="2" fillId="0" borderId="10" xfId="14" applyFont="1" applyBorder="1" applyAlignment="1">
      <alignment horizontal="center"/>
    </xf>
    <xf numFmtId="41" fontId="12" fillId="4" borderId="0" xfId="1" applyNumberFormat="1" applyFont="1" applyFill="1" applyBorder="1" applyAlignment="1"/>
    <xf numFmtId="43" fontId="12" fillId="0" borderId="0" xfId="14" applyNumberFormat="1" applyFont="1"/>
    <xf numFmtId="43" fontId="12" fillId="0" borderId="14" xfId="2" applyNumberFormat="1" applyFont="1" applyBorder="1" applyAlignment="1"/>
    <xf numFmtId="164" fontId="5" fillId="0" borderId="4" xfId="1" applyNumberFormat="1" applyFont="1" applyFill="1" applyBorder="1" applyAlignment="1" applyProtection="1">
      <alignment wrapText="1"/>
      <protection locked="0"/>
    </xf>
    <xf numFmtId="41" fontId="72" fillId="0" borderId="3" xfId="1" applyNumberFormat="1" applyFont="1" applyFill="1" applyBorder="1" applyAlignment="1"/>
    <xf numFmtId="164" fontId="72" fillId="0" borderId="28" xfId="1" applyNumberFormat="1" applyFont="1" applyFill="1" applyBorder="1" applyAlignment="1"/>
    <xf numFmtId="43" fontId="72" fillId="0" borderId="0" xfId="14" applyNumberFormat="1" applyFont="1"/>
    <xf numFmtId="164" fontId="12" fillId="0" borderId="0" xfId="14" applyNumberFormat="1" applyFont="1" applyBorder="1"/>
    <xf numFmtId="41" fontId="2" fillId="0" borderId="3" xfId="1" applyNumberFormat="1" applyFont="1" applyFill="1" applyBorder="1" applyAlignment="1"/>
    <xf numFmtId="164" fontId="12" fillId="4" borderId="4" xfId="1" applyNumberFormat="1" applyFont="1" applyFill="1" applyBorder="1" applyAlignment="1"/>
    <xf numFmtId="164" fontId="12" fillId="5" borderId="12" xfId="1" applyNumberFormat="1" applyFont="1" applyFill="1" applyBorder="1" applyAlignment="1">
      <alignment wrapText="1"/>
    </xf>
    <xf numFmtId="164" fontId="2" fillId="0" borderId="7" xfId="1" applyNumberFormat="1" applyFont="1" applyFill="1" applyBorder="1" applyAlignment="1">
      <alignment horizontal="center" wrapText="1"/>
    </xf>
    <xf numFmtId="164" fontId="12" fillId="4" borderId="0" xfId="2" applyNumberFormat="1" applyFont="1" applyFill="1" applyBorder="1"/>
    <xf numFmtId="43" fontId="12" fillId="0" borderId="10" xfId="1" applyFont="1" applyBorder="1" applyAlignment="1"/>
    <xf numFmtId="187" fontId="73" fillId="0" borderId="0" xfId="1" applyNumberFormat="1" applyFont="1" applyFill="1" applyBorder="1" applyAlignment="1">
      <alignment wrapText="1"/>
    </xf>
    <xf numFmtId="164" fontId="2" fillId="0" borderId="10" xfId="1" applyNumberFormat="1" applyFont="1" applyBorder="1" applyAlignment="1"/>
    <xf numFmtId="164" fontId="2" fillId="0" borderId="10" xfId="1" applyNumberFormat="1" applyFont="1" applyBorder="1"/>
    <xf numFmtId="164" fontId="12" fillId="0" borderId="1" xfId="1" applyNumberFormat="1" applyFont="1" applyFill="1" applyBorder="1" applyAlignment="1">
      <alignment horizontal="center"/>
    </xf>
    <xf numFmtId="164" fontId="33" fillId="4" borderId="4" xfId="1" applyNumberFormat="1" applyFont="1" applyFill="1" applyBorder="1" applyAlignment="1">
      <alignment horizontal="left"/>
    </xf>
    <xf numFmtId="0" fontId="33" fillId="0" borderId="7" xfId="0" applyFont="1" applyFill="1" applyBorder="1" applyAlignment="1">
      <alignment horizontal="center"/>
    </xf>
    <xf numFmtId="0" fontId="33" fillId="4" borderId="1" xfId="0" applyFont="1" applyFill="1" applyBorder="1" applyAlignment="1">
      <alignment horizontal="center"/>
    </xf>
    <xf numFmtId="41" fontId="33" fillId="4" borderId="7" xfId="1" applyNumberFormat="1" applyFont="1" applyFill="1" applyBorder="1" applyAlignment="1">
      <alignment horizontal="center"/>
    </xf>
    <xf numFmtId="41" fontId="33" fillId="4" borderId="1" xfId="1" applyNumberFormat="1" applyFont="1" applyFill="1" applyBorder="1" applyAlignment="1">
      <alignment horizontal="center"/>
    </xf>
    <xf numFmtId="164" fontId="33" fillId="4" borderId="7" xfId="1" applyNumberFormat="1" applyFont="1" applyFill="1" applyBorder="1" applyAlignment="1">
      <alignment horizontal="center"/>
    </xf>
    <xf numFmtId="164" fontId="33" fillId="4" borderId="1" xfId="1" applyNumberFormat="1" applyFont="1" applyFill="1" applyBorder="1" applyAlignment="1">
      <alignment horizontal="center"/>
    </xf>
    <xf numFmtId="164" fontId="33" fillId="4" borderId="7" xfId="0" applyNumberFormat="1" applyFont="1" applyFill="1" applyBorder="1" applyAlignment="1">
      <alignment horizontal="center"/>
    </xf>
    <xf numFmtId="164" fontId="5" fillId="4" borderId="29" xfId="2" applyNumberFormat="1" applyFont="1" applyFill="1" applyBorder="1" applyAlignment="1">
      <alignment horizontal="center"/>
    </xf>
    <xf numFmtId="166" fontId="5" fillId="0" borderId="10" xfId="0" applyNumberFormat="1" applyFont="1" applyFill="1" applyBorder="1" applyAlignment="1">
      <alignment horizontal="center"/>
    </xf>
    <xf numFmtId="187" fontId="12" fillId="0" borderId="0" xfId="14" applyNumberFormat="1" applyFont="1" applyFill="1" applyBorder="1"/>
    <xf numFmtId="41" fontId="12" fillId="0" borderId="0" xfId="1" applyNumberFormat="1" applyFont="1" applyFill="1" applyBorder="1"/>
    <xf numFmtId="41" fontId="58" fillId="0" borderId="0" xfId="1" applyNumberFormat="1" applyFont="1" applyFill="1" applyBorder="1"/>
    <xf numFmtId="0" fontId="2" fillId="0" borderId="0" xfId="14" applyFont="1" applyFill="1" applyBorder="1" applyAlignment="1">
      <alignment horizontal="center" wrapText="1"/>
    </xf>
    <xf numFmtId="41" fontId="0" fillId="0" borderId="8" xfId="0" applyNumberFormat="1" applyBorder="1"/>
    <xf numFmtId="41" fontId="12" fillId="0" borderId="22" xfId="1" applyNumberFormat="1" applyFont="1" applyBorder="1"/>
    <xf numFmtId="0" fontId="119" fillId="0" borderId="0" xfId="0" applyFont="1" applyFill="1"/>
    <xf numFmtId="6" fontId="119" fillId="0" borderId="0" xfId="0" applyNumberFormat="1" applyFont="1" applyFill="1"/>
    <xf numFmtId="184" fontId="12" fillId="4" borderId="0" xfId="0" applyNumberFormat="1" applyFont="1" applyFill="1" applyBorder="1"/>
    <xf numFmtId="3" fontId="12" fillId="4" borderId="0" xfId="0" applyNumberFormat="1" applyFont="1" applyFill="1" applyBorder="1"/>
    <xf numFmtId="0" fontId="0" fillId="0" borderId="12" xfId="0" applyFill="1" applyBorder="1"/>
    <xf numFmtId="0" fontId="0" fillId="0" borderId="7" xfId="0" applyFill="1" applyBorder="1"/>
    <xf numFmtId="43" fontId="45" fillId="0" borderId="0" xfId="2" applyFont="1" applyFill="1"/>
    <xf numFmtId="0" fontId="90" fillId="0" borderId="0" xfId="0" applyFont="1" applyFill="1" applyAlignment="1">
      <alignment horizontal="center"/>
    </xf>
    <xf numFmtId="0" fontId="45" fillId="0" borderId="5" xfId="0" applyFont="1" applyFill="1" applyBorder="1" applyAlignment="1">
      <alignment horizontal="center"/>
    </xf>
    <xf numFmtId="0" fontId="45" fillId="0" borderId="21" xfId="0" applyFont="1" applyFill="1" applyBorder="1" applyAlignment="1">
      <alignment horizontal="center"/>
    </xf>
    <xf numFmtId="0" fontId="45" fillId="0" borderId="6" xfId="0" applyFont="1" applyFill="1" applyBorder="1" applyAlignment="1">
      <alignment horizontal="center" wrapText="1"/>
    </xf>
    <xf numFmtId="0" fontId="45" fillId="0" borderId="6" xfId="0" applyFont="1" applyFill="1" applyBorder="1" applyAlignment="1">
      <alignment horizontal="center"/>
    </xf>
    <xf numFmtId="43" fontId="45" fillId="0" borderId="0" xfId="1" applyFont="1" applyFill="1"/>
    <xf numFmtId="43" fontId="12" fillId="0" borderId="0" xfId="0" applyNumberFormat="1" applyFont="1" applyFill="1" applyAlignment="1">
      <alignment horizontal="center"/>
    </xf>
    <xf numFmtId="43" fontId="45" fillId="0" borderId="0" xfId="0" applyNumberFormat="1" applyFont="1" applyFill="1"/>
    <xf numFmtId="166" fontId="45" fillId="0" borderId="0" xfId="0" applyNumberFormat="1" applyFont="1" applyFill="1" applyBorder="1"/>
    <xf numFmtId="178" fontId="45" fillId="0" borderId="0" xfId="0" applyNumberFormat="1" applyFont="1" applyFill="1" applyAlignment="1">
      <alignment horizontal="center"/>
    </xf>
    <xf numFmtId="0" fontId="45" fillId="0" borderId="1" xfId="0" applyFont="1" applyFill="1" applyBorder="1"/>
    <xf numFmtId="189" fontId="103" fillId="0" borderId="45" xfId="11" applyNumberFormat="1" applyFont="1" applyFill="1" applyBorder="1" applyAlignment="1">
      <alignment horizontal="left"/>
    </xf>
    <xf numFmtId="164" fontId="45" fillId="0" borderId="30" xfId="0" applyNumberFormat="1" applyFont="1" applyFill="1" applyBorder="1" applyAlignment="1">
      <alignment horizontal="center" wrapText="1"/>
    </xf>
    <xf numFmtId="0" fontId="45" fillId="0" borderId="46" xfId="0" applyFont="1" applyFill="1" applyBorder="1" applyAlignment="1">
      <alignment horizontal="center" wrapText="1"/>
    </xf>
    <xf numFmtId="0" fontId="45" fillId="0" borderId="38" xfId="0" applyFont="1" applyFill="1" applyBorder="1" applyAlignment="1">
      <alignment horizontal="center" wrapText="1"/>
    </xf>
    <xf numFmtId="189" fontId="89" fillId="0" borderId="0" xfId="11" applyNumberFormat="1" applyFont="1" applyFill="1" applyBorder="1" applyAlignment="1">
      <alignment horizontal="left"/>
    </xf>
    <xf numFmtId="41" fontId="0" fillId="0" borderId="45" xfId="2" applyNumberFormat="1" applyFont="1" applyFill="1" applyBorder="1"/>
    <xf numFmtId="0" fontId="12" fillId="0" borderId="12" xfId="0" applyFont="1" applyFill="1" applyBorder="1"/>
    <xf numFmtId="164" fontId="12" fillId="0" borderId="11" xfId="2" applyNumberFormat="1" applyFont="1" applyFill="1" applyBorder="1"/>
    <xf numFmtId="164" fontId="12" fillId="0" borderId="13" xfId="2" applyNumberFormat="1" applyFont="1" applyFill="1" applyBorder="1"/>
    <xf numFmtId="41" fontId="12" fillId="0" borderId="0" xfId="2" applyNumberFormat="1" applyFont="1" applyFill="1" applyBorder="1"/>
    <xf numFmtId="0" fontId="12" fillId="0" borderId="10" xfId="0" applyFont="1" applyFill="1" applyBorder="1"/>
    <xf numFmtId="164" fontId="12" fillId="0" borderId="0" xfId="2" applyNumberFormat="1" applyFont="1" applyFill="1" applyBorder="1"/>
    <xf numFmtId="164" fontId="12" fillId="0" borderId="9" xfId="2" applyNumberFormat="1" applyFont="1" applyFill="1" applyBorder="1"/>
    <xf numFmtId="41" fontId="12" fillId="0" borderId="1" xfId="2" applyNumberFormat="1" applyFont="1" applyFill="1" applyBorder="1"/>
    <xf numFmtId="0" fontId="12" fillId="0" borderId="7" xfId="0" applyFont="1" applyFill="1" applyBorder="1"/>
    <xf numFmtId="164" fontId="12" fillId="0" borderId="1" xfId="2" applyNumberFormat="1" applyFont="1" applyFill="1" applyBorder="1"/>
    <xf numFmtId="164" fontId="12" fillId="0" borderId="8" xfId="2" applyNumberFormat="1" applyFont="1" applyFill="1" applyBorder="1"/>
    <xf numFmtId="164" fontId="12" fillId="0" borderId="0" xfId="0" applyNumberFormat="1" applyFont="1" applyFill="1" applyBorder="1"/>
    <xf numFmtId="0" fontId="12" fillId="0" borderId="0" xfId="0" applyFont="1" applyFill="1" applyBorder="1" applyAlignment="1">
      <alignment horizontal="center"/>
    </xf>
    <xf numFmtId="43" fontId="12" fillId="0" borderId="0" xfId="0" applyNumberFormat="1" applyFont="1" applyFill="1" applyBorder="1"/>
    <xf numFmtId="39" fontId="12" fillId="0" borderId="45" xfId="0" applyNumberFormat="1" applyFont="1" applyFill="1" applyBorder="1"/>
    <xf numFmtId="41" fontId="12" fillId="0" borderId="44" xfId="2" applyNumberFormat="1" applyFont="1" applyFill="1" applyBorder="1"/>
    <xf numFmtId="41" fontId="12" fillId="0" borderId="42" xfId="2" applyNumberFormat="1" applyFont="1" applyFill="1" applyBorder="1"/>
    <xf numFmtId="41" fontId="0" fillId="0" borderId="0" xfId="1" applyNumberFormat="1" applyFont="1" applyFill="1" applyBorder="1"/>
    <xf numFmtId="41" fontId="0" fillId="0" borderId="1" xfId="1" applyNumberFormat="1" applyFont="1" applyFill="1" applyBorder="1"/>
    <xf numFmtId="0" fontId="45" fillId="0" borderId="10" xfId="0" applyFont="1" applyFill="1" applyBorder="1" applyAlignment="1">
      <alignment horizontal="center" wrapText="1"/>
    </xf>
    <xf numFmtId="166" fontId="103" fillId="0" borderId="33" xfId="11" applyNumberFormat="1" applyFont="1" applyFill="1" applyBorder="1" applyAlignment="1">
      <alignment horizontal="left"/>
    </xf>
    <xf numFmtId="166" fontId="46" fillId="0" borderId="0" xfId="0" applyNumberFormat="1" applyFont="1" applyFill="1"/>
    <xf numFmtId="164" fontId="45" fillId="0" borderId="47" xfId="0" applyNumberFormat="1" applyFont="1" applyFill="1" applyBorder="1" applyAlignment="1">
      <alignment horizontal="center" wrapText="1"/>
    </xf>
    <xf numFmtId="43" fontId="33" fillId="0" borderId="10" xfId="2" applyNumberFormat="1" applyFont="1" applyFill="1" applyBorder="1"/>
    <xf numFmtId="164" fontId="33" fillId="0" borderId="0" xfId="0" applyNumberFormat="1" applyFont="1" applyFill="1" applyBorder="1"/>
    <xf numFmtId="0" fontId="15" fillId="0" borderId="0" xfId="0" applyFont="1" applyFill="1" applyAlignment="1"/>
    <xf numFmtId="39" fontId="0" fillId="0" borderId="0" xfId="0" applyNumberFormat="1" applyFill="1"/>
    <xf numFmtId="0" fontId="45" fillId="0" borderId="0" xfId="0" applyFont="1" applyAlignment="1">
      <alignment vertical="top" wrapText="1"/>
    </xf>
    <xf numFmtId="4" fontId="3" fillId="0" borderId="0" xfId="1" applyNumberFormat="1" applyFont="1" applyFill="1"/>
    <xf numFmtId="0" fontId="2" fillId="0" borderId="32" xfId="14" applyFont="1" applyBorder="1" applyAlignment="1">
      <alignment horizontal="center"/>
    </xf>
    <xf numFmtId="43" fontId="12" fillId="0" borderId="48" xfId="2" applyNumberFormat="1" applyFont="1" applyBorder="1" applyAlignment="1"/>
    <xf numFmtId="164" fontId="72" fillId="0" borderId="2" xfId="1" applyNumberFormat="1" applyFont="1" applyFill="1" applyBorder="1" applyAlignment="1"/>
    <xf numFmtId="164" fontId="12" fillId="0" borderId="9" xfId="14" applyNumberFormat="1" applyFont="1" applyBorder="1"/>
    <xf numFmtId="164" fontId="12" fillId="0" borderId="15" xfId="14" applyNumberFormat="1" applyFont="1" applyBorder="1"/>
    <xf numFmtId="0" fontId="2" fillId="0" borderId="9" xfId="14" applyFont="1" applyBorder="1" applyAlignment="1">
      <alignment horizontal="center"/>
    </xf>
    <xf numFmtId="164" fontId="46" fillId="4" borderId="10" xfId="2" applyNumberFormat="1" applyFont="1" applyFill="1" applyBorder="1" applyAlignment="1">
      <alignment wrapText="1"/>
    </xf>
    <xf numFmtId="164" fontId="46" fillId="4" borderId="29" xfId="2" applyNumberFormat="1" applyFont="1" applyFill="1" applyBorder="1" applyAlignment="1">
      <alignment wrapText="1"/>
    </xf>
    <xf numFmtId="0" fontId="12" fillId="0" borderId="10" xfId="14" applyFont="1" applyFill="1" applyBorder="1" applyAlignment="1">
      <alignment horizontal="center"/>
    </xf>
    <xf numFmtId="187" fontId="12" fillId="4" borderId="26" xfId="14" applyNumberFormat="1" applyFont="1" applyFill="1" applyBorder="1"/>
    <xf numFmtId="41" fontId="94" fillId="0" borderId="14" xfId="1" applyNumberFormat="1" applyFont="1" applyFill="1" applyBorder="1" applyAlignment="1"/>
    <xf numFmtId="0" fontId="0" fillId="0" borderId="5" xfId="0" applyBorder="1" applyAlignment="1">
      <alignment horizontal="center"/>
    </xf>
    <xf numFmtId="0" fontId="12" fillId="5" borderId="0" xfId="14" applyFont="1" applyFill="1" applyBorder="1" applyAlignment="1">
      <alignment horizontal="center" wrapText="1"/>
    </xf>
    <xf numFmtId="164" fontId="12" fillId="5" borderId="0" xfId="1" applyNumberFormat="1" applyFont="1" applyFill="1" applyBorder="1" applyAlignment="1">
      <alignment horizontal="center" wrapText="1"/>
    </xf>
    <xf numFmtId="164" fontId="2" fillId="0" borderId="0" xfId="1" applyNumberFormat="1" applyFont="1" applyBorder="1" applyAlignment="1">
      <alignment horizontal="center" wrapText="1"/>
    </xf>
    <xf numFmtId="0" fontId="47" fillId="0" borderId="49" xfId="0" applyFont="1" applyFill="1" applyBorder="1" applyAlignment="1">
      <alignment horizontal="center" wrapText="1"/>
    </xf>
    <xf numFmtId="0" fontId="47" fillId="0" borderId="11" xfId="0" applyFont="1" applyFill="1" applyBorder="1" applyAlignment="1">
      <alignment horizontal="center" wrapText="1"/>
    </xf>
    <xf numFmtId="0" fontId="47" fillId="0" borderId="32" xfId="0" applyFont="1" applyFill="1" applyBorder="1" applyAlignment="1">
      <alignment horizontal="center" wrapText="1"/>
    </xf>
    <xf numFmtId="0" fontId="2" fillId="0" borderId="34" xfId="14" applyFont="1" applyBorder="1"/>
    <xf numFmtId="164" fontId="12" fillId="4" borderId="2" xfId="14" applyNumberFormat="1" applyFont="1" applyFill="1" applyBorder="1"/>
    <xf numFmtId="164" fontId="12" fillId="4" borderId="0" xfId="14" applyNumberFormat="1" applyFont="1" applyFill="1" applyBorder="1"/>
    <xf numFmtId="164" fontId="12" fillId="4" borderId="4" xfId="14" applyNumberFormat="1" applyFont="1" applyFill="1" applyBorder="1"/>
    <xf numFmtId="164" fontId="72" fillId="0" borderId="10" xfId="2" applyNumberFormat="1" applyFont="1" applyFill="1" applyBorder="1" applyAlignment="1"/>
    <xf numFmtId="164" fontId="72" fillId="0" borderId="0" xfId="2" applyNumberFormat="1" applyFont="1" applyFill="1" applyBorder="1" applyAlignment="1"/>
    <xf numFmtId="164" fontId="72" fillId="0" borderId="2" xfId="2" applyNumberFormat="1" applyFont="1" applyFill="1" applyBorder="1" applyAlignment="1"/>
    <xf numFmtId="164" fontId="72" fillId="0" borderId="0" xfId="14" applyNumberFormat="1" applyFont="1"/>
    <xf numFmtId="164" fontId="2" fillId="0" borderId="10" xfId="2" applyNumberFormat="1" applyFont="1" applyFill="1" applyBorder="1" applyAlignment="1"/>
    <xf numFmtId="164" fontId="2" fillId="0" borderId="0" xfId="2" applyNumberFormat="1" applyFont="1" applyFill="1" applyBorder="1" applyAlignment="1"/>
    <xf numFmtId="172" fontId="33" fillId="4" borderId="1" xfId="20" applyNumberFormat="1" applyFont="1" applyFill="1" applyBorder="1" applyAlignment="1">
      <alignment horizontal="center"/>
    </xf>
    <xf numFmtId="41" fontId="12" fillId="0" borderId="10" xfId="2" applyNumberFormat="1" applyFont="1" applyFill="1" applyBorder="1" applyAlignment="1"/>
    <xf numFmtId="41" fontId="12" fillId="0" borderId="0" xfId="2" applyNumberFormat="1" applyFont="1" applyFill="1" applyBorder="1" applyAlignment="1"/>
    <xf numFmtId="0" fontId="45" fillId="0" borderId="5" xfId="0" applyFont="1" applyBorder="1" applyAlignment="1">
      <alignment horizontal="center"/>
    </xf>
    <xf numFmtId="0" fontId="45" fillId="0" borderId="21" xfId="0" applyFont="1" applyBorder="1" applyAlignment="1">
      <alignment horizontal="center"/>
    </xf>
    <xf numFmtId="0" fontId="90" fillId="0" borderId="0" xfId="0" applyFont="1" applyAlignment="1">
      <alignment horizontal="center"/>
    </xf>
    <xf numFmtId="189" fontId="43" fillId="0" borderId="45" xfId="11" applyNumberFormat="1" applyFont="1" applyFill="1" applyBorder="1" applyAlignment="1">
      <alignment horizontal="left"/>
    </xf>
    <xf numFmtId="0" fontId="45" fillId="0" borderId="50" xfId="0" applyFont="1" applyFill="1" applyBorder="1" applyAlignment="1">
      <alignment horizontal="center" wrapText="1"/>
    </xf>
    <xf numFmtId="41" fontId="0" fillId="0" borderId="51" xfId="2" applyNumberFormat="1" applyFont="1" applyFill="1" applyBorder="1"/>
    <xf numFmtId="164" fontId="33" fillId="4" borderId="0" xfId="2" applyNumberFormat="1" applyFont="1" applyFill="1"/>
    <xf numFmtId="43" fontId="47" fillId="0" borderId="6" xfId="2" applyFont="1" applyFill="1" applyBorder="1" applyAlignment="1">
      <alignment horizontal="center" wrapText="1"/>
    </xf>
    <xf numFmtId="0" fontId="2" fillId="0" borderId="5" xfId="14" applyFont="1" applyBorder="1" applyAlignment="1">
      <alignment horizontal="center"/>
    </xf>
    <xf numFmtId="43" fontId="47" fillId="0" borderId="5" xfId="2" applyFont="1" applyFill="1" applyBorder="1" applyAlignment="1">
      <alignment horizontal="center" wrapText="1"/>
    </xf>
    <xf numFmtId="43" fontId="2" fillId="0" borderId="5" xfId="2" applyFont="1" applyBorder="1" applyAlignment="1">
      <alignment horizontal="center" wrapText="1"/>
    </xf>
    <xf numFmtId="43" fontId="3" fillId="0" borderId="21" xfId="2" applyFont="1" applyBorder="1" applyAlignment="1">
      <alignment horizontal="center"/>
    </xf>
    <xf numFmtId="0" fontId="47" fillId="0" borderId="30" xfId="0" applyFont="1" applyFill="1" applyBorder="1" applyAlignment="1">
      <alignment horizontal="center" wrapText="1"/>
    </xf>
    <xf numFmtId="0" fontId="33" fillId="0" borderId="26" xfId="0" applyFont="1" applyFill="1" applyBorder="1"/>
    <xf numFmtId="164" fontId="36" fillId="0" borderId="13" xfId="1" applyNumberFormat="1" applyFont="1" applyFill="1" applyBorder="1" applyAlignment="1">
      <alignment horizontal="center"/>
    </xf>
    <xf numFmtId="7" fontId="0" fillId="0" borderId="0" xfId="0" applyNumberFormat="1" applyFill="1"/>
    <xf numFmtId="0" fontId="33" fillId="0" borderId="14" xfId="0" applyFont="1" applyFill="1" applyBorder="1"/>
    <xf numFmtId="39" fontId="33" fillId="0" borderId="10" xfId="1" applyNumberFormat="1" applyFont="1" applyFill="1" applyBorder="1" applyAlignment="1">
      <alignment horizontal="right"/>
    </xf>
    <xf numFmtId="39" fontId="33" fillId="0" borderId="9" xfId="1" applyNumberFormat="1" applyFont="1" applyFill="1" applyBorder="1" applyAlignment="1">
      <alignment horizontal="right"/>
    </xf>
    <xf numFmtId="39" fontId="33" fillId="0" borderId="10" xfId="2" applyNumberFormat="1" applyFont="1" applyFill="1" applyBorder="1" applyAlignment="1">
      <alignment horizontal="right"/>
    </xf>
    <xf numFmtId="39" fontId="33" fillId="0" borderId="14" xfId="9" applyNumberFormat="1" applyFont="1" applyFill="1" applyBorder="1"/>
    <xf numFmtId="0" fontId="33" fillId="0" borderId="22" xfId="0" applyFont="1" applyFill="1" applyBorder="1"/>
    <xf numFmtId="39" fontId="33" fillId="0" borderId="7" xfId="1" applyNumberFormat="1" applyFont="1" applyFill="1" applyBorder="1" applyAlignment="1">
      <alignment horizontal="right"/>
    </xf>
    <xf numFmtId="39" fontId="33" fillId="0" borderId="8" xfId="1" applyNumberFormat="1" applyFont="1" applyFill="1" applyBorder="1" applyAlignment="1">
      <alignment horizontal="right"/>
    </xf>
    <xf numFmtId="39" fontId="33" fillId="0" borderId="7" xfId="2" applyNumberFormat="1" applyFont="1" applyFill="1" applyBorder="1" applyAlignment="1">
      <alignment horizontal="right"/>
    </xf>
    <xf numFmtId="0" fontId="2" fillId="0" borderId="0" xfId="14" applyFont="1" applyBorder="1" applyAlignment="1"/>
    <xf numFmtId="0" fontId="12" fillId="0" borderId="0" xfId="14" applyFont="1" applyFill="1" applyBorder="1" applyAlignment="1"/>
    <xf numFmtId="166" fontId="35" fillId="0" borderId="0" xfId="12" applyNumberFormat="1" applyFont="1" applyBorder="1" applyAlignment="1">
      <alignment horizontal="center"/>
    </xf>
    <xf numFmtId="164" fontId="84" fillId="0" borderId="0" xfId="5" applyNumberFormat="1" applyFont="1" applyFill="1" applyBorder="1"/>
    <xf numFmtId="166" fontId="84" fillId="0" borderId="0" xfId="12" applyNumberFormat="1" applyFont="1" applyFill="1" applyBorder="1"/>
    <xf numFmtId="166" fontId="35" fillId="0" borderId="0" xfId="12" applyNumberFormat="1" applyFont="1" applyFill="1" applyBorder="1"/>
    <xf numFmtId="167" fontId="84" fillId="0" borderId="0" xfId="5" applyNumberFormat="1" applyFont="1" applyFill="1" applyBorder="1" applyAlignment="1"/>
    <xf numFmtId="164" fontId="35" fillId="0" borderId="0" xfId="5" applyNumberFormat="1" applyFont="1" applyFill="1" applyBorder="1"/>
    <xf numFmtId="167" fontId="35" fillId="0" borderId="0" xfId="5" applyNumberFormat="1" applyFont="1" applyBorder="1" applyAlignment="1"/>
    <xf numFmtId="166" fontId="35" fillId="0" borderId="0" xfId="12" applyNumberFormat="1" applyFont="1" applyFill="1" applyBorder="1" applyAlignment="1">
      <alignment horizontal="center"/>
    </xf>
    <xf numFmtId="166" fontId="35" fillId="0" borderId="4" xfId="12" applyNumberFormat="1" applyFont="1" applyFill="1" applyBorder="1"/>
    <xf numFmtId="166" fontId="35" fillId="0" borderId="0" xfId="12" applyNumberFormat="1" applyFont="1" applyBorder="1"/>
    <xf numFmtId="0" fontId="4" fillId="0" borderId="0" xfId="0" applyFont="1" applyBorder="1"/>
    <xf numFmtId="42" fontId="35" fillId="0" borderId="17" xfId="5" applyNumberFormat="1" applyFont="1" applyBorder="1"/>
    <xf numFmtId="167" fontId="35" fillId="0" borderId="17" xfId="5" applyNumberFormat="1" applyFont="1" applyBorder="1" applyAlignment="1">
      <alignment horizontal="center"/>
    </xf>
    <xf numFmtId="164" fontId="35" fillId="0" borderId="0" xfId="5" applyNumberFormat="1" applyFont="1" applyBorder="1"/>
    <xf numFmtId="1" fontId="35" fillId="0" borderId="17" xfId="5" applyNumberFormat="1" applyFont="1" applyBorder="1"/>
    <xf numFmtId="164" fontId="35" fillId="0" borderId="4" xfId="5" applyNumberFormat="1" applyFont="1" applyBorder="1"/>
    <xf numFmtId="42" fontId="35" fillId="0" borderId="0" xfId="5" applyNumberFormat="1" applyFont="1" applyBorder="1"/>
    <xf numFmtId="10" fontId="35" fillId="0" borderId="17" xfId="5" applyNumberFormat="1" applyFont="1" applyBorder="1" applyAlignment="1">
      <alignment horizontal="center"/>
    </xf>
    <xf numFmtId="43" fontId="35" fillId="0" borderId="4" xfId="5" applyFont="1" applyBorder="1"/>
    <xf numFmtId="43" fontId="35" fillId="0" borderId="0" xfId="5" applyFont="1"/>
    <xf numFmtId="10" fontId="35" fillId="0" borderId="0" xfId="20" applyNumberFormat="1" applyFont="1" applyBorder="1"/>
    <xf numFmtId="166" fontId="35" fillId="0" borderId="0" xfId="11" applyNumberFormat="1" applyFont="1" applyBorder="1"/>
    <xf numFmtId="166" fontId="121" fillId="0" borderId="0" xfId="11" applyNumberFormat="1" applyFont="1" applyBorder="1"/>
    <xf numFmtId="10" fontId="121" fillId="0" borderId="0" xfId="20" applyNumberFormat="1" applyFont="1" applyBorder="1"/>
    <xf numFmtId="164" fontId="121" fillId="0" borderId="0" xfId="5" applyNumberFormat="1" applyFont="1" applyBorder="1"/>
    <xf numFmtId="164" fontId="12" fillId="0" borderId="0" xfId="5" applyNumberFormat="1" applyFont="1" applyBorder="1"/>
    <xf numFmtId="43" fontId="46" fillId="0" borderId="0" xfId="5" applyFont="1" applyBorder="1"/>
    <xf numFmtId="167" fontId="46" fillId="0" borderId="0" xfId="20" applyNumberFormat="1" applyFont="1" applyBorder="1"/>
    <xf numFmtId="10" fontId="35" fillId="0" borderId="0" xfId="0" applyNumberFormat="1" applyFont="1" applyFill="1" applyBorder="1" applyAlignment="1"/>
    <xf numFmtId="10" fontId="35" fillId="0" borderId="0" xfId="0" applyNumberFormat="1" applyFont="1" applyBorder="1"/>
    <xf numFmtId="0" fontId="2" fillId="0" borderId="6" xfId="14" applyFont="1" applyBorder="1" applyAlignment="1">
      <alignment horizontal="center"/>
    </xf>
    <xf numFmtId="0" fontId="12" fillId="5" borderId="6" xfId="14" applyFont="1" applyFill="1" applyBorder="1" applyAlignment="1"/>
    <xf numFmtId="0" fontId="12" fillId="5" borderId="5" xfId="14" applyFont="1" applyFill="1" applyBorder="1" applyAlignment="1"/>
    <xf numFmtId="0" fontId="2" fillId="0" borderId="6" xfId="14" applyFont="1" applyBorder="1" applyAlignment="1"/>
    <xf numFmtId="0" fontId="2" fillId="0" borderId="5" xfId="14" applyFont="1" applyBorder="1" applyAlignment="1"/>
    <xf numFmtId="0" fontId="12" fillId="5" borderId="5" xfId="14" applyFont="1" applyFill="1" applyBorder="1" applyAlignment="1">
      <alignment horizontal="center"/>
    </xf>
    <xf numFmtId="164" fontId="12" fillId="5" borderId="6" xfId="1" applyNumberFormat="1" applyFont="1" applyFill="1" applyBorder="1" applyAlignment="1"/>
    <xf numFmtId="164" fontId="12" fillId="5" borderId="5" xfId="1" applyNumberFormat="1" applyFont="1" applyFill="1" applyBorder="1" applyAlignment="1"/>
    <xf numFmtId="164" fontId="2" fillId="0" borderId="6" xfId="1" applyNumberFormat="1" applyFont="1" applyBorder="1" applyAlignment="1"/>
    <xf numFmtId="164" fontId="2" fillId="0" borderId="5" xfId="1" applyNumberFormat="1" applyFont="1" applyBorder="1" applyAlignment="1"/>
    <xf numFmtId="164" fontId="2" fillId="0" borderId="6" xfId="1" applyNumberFormat="1" applyFont="1" applyBorder="1" applyAlignment="1">
      <alignment horizontal="center"/>
    </xf>
    <xf numFmtId="164" fontId="12" fillId="5" borderId="5" xfId="1" applyNumberFormat="1" applyFont="1" applyFill="1" applyBorder="1" applyAlignment="1">
      <alignment horizontal="center"/>
    </xf>
    <xf numFmtId="3" fontId="124" fillId="0" borderId="0" xfId="0" applyNumberFormat="1" applyFont="1" applyFill="1" applyBorder="1" applyAlignment="1">
      <alignment horizontal="left"/>
    </xf>
    <xf numFmtId="186" fontId="12" fillId="0" borderId="0" xfId="0" applyNumberFormat="1" applyFont="1" applyAlignment="1">
      <alignment horizontal="center"/>
    </xf>
    <xf numFmtId="3" fontId="12" fillId="4" borderId="0" xfId="2" applyNumberFormat="1" applyFont="1" applyFill="1" applyAlignment="1">
      <alignment horizontal="right" wrapText="1"/>
    </xf>
    <xf numFmtId="164" fontId="12" fillId="0" borderId="0" xfId="14" applyNumberFormat="1" applyFont="1"/>
    <xf numFmtId="3" fontId="0" fillId="0" borderId="0" xfId="0" applyNumberFormat="1" applyAlignment="1">
      <alignment horizontal="center"/>
    </xf>
    <xf numFmtId="44" fontId="45" fillId="0" borderId="0" xfId="0" applyNumberFormat="1" applyFont="1"/>
    <xf numFmtId="0" fontId="12" fillId="0" borderId="0" xfId="14" applyFont="1" applyFill="1"/>
    <xf numFmtId="164" fontId="46" fillId="4" borderId="0" xfId="1" applyNumberFormat="1" applyFont="1" applyFill="1" applyBorder="1" applyAlignment="1">
      <alignment wrapText="1"/>
    </xf>
    <xf numFmtId="164" fontId="46" fillId="4" borderId="4" xfId="1" applyNumberFormat="1" applyFont="1" applyFill="1" applyBorder="1" applyAlignment="1">
      <alignment wrapText="1"/>
    </xf>
    <xf numFmtId="164" fontId="1" fillId="4" borderId="0" xfId="1" applyNumberFormat="1" applyFont="1" applyFill="1" applyAlignment="1">
      <alignment wrapText="1"/>
    </xf>
    <xf numFmtId="164" fontId="1" fillId="4" borderId="0" xfId="1" applyNumberFormat="1" applyFont="1" applyFill="1" applyBorder="1" applyAlignment="1">
      <alignment wrapText="1"/>
    </xf>
    <xf numFmtId="44" fontId="35" fillId="0" borderId="0" xfId="12" applyNumberFormat="1" applyFont="1" applyFill="1" applyBorder="1" applyAlignment="1">
      <alignment horizontal="center"/>
    </xf>
    <xf numFmtId="3" fontId="0" fillId="0" borderId="0" xfId="0" applyNumberFormat="1"/>
    <xf numFmtId="164" fontId="35" fillId="0" borderId="0" xfId="6" applyNumberFormat="1" applyFont="1" applyBorder="1" applyAlignment="1">
      <alignment horizontal="center"/>
    </xf>
    <xf numFmtId="3" fontId="0" fillId="0" borderId="4" xfId="0" applyNumberFormat="1" applyBorder="1"/>
    <xf numFmtId="0" fontId="35" fillId="0" borderId="0" xfId="0" applyFont="1" applyBorder="1" applyAlignment="1"/>
    <xf numFmtId="0" fontId="45" fillId="0" borderId="11" xfId="0" applyFont="1" applyFill="1" applyBorder="1" applyAlignment="1">
      <alignment horizontal="center"/>
    </xf>
    <xf numFmtId="0" fontId="45" fillId="0" borderId="13" xfId="0" applyFont="1" applyFill="1" applyBorder="1" applyAlignment="1">
      <alignment horizontal="center"/>
    </xf>
    <xf numFmtId="0" fontId="45" fillId="0" borderId="29" xfId="0" applyFont="1" applyFill="1" applyBorder="1" applyAlignment="1">
      <alignment horizontal="center" wrapText="1"/>
    </xf>
    <xf numFmtId="0" fontId="45" fillId="0" borderId="7" xfId="0" applyFont="1" applyFill="1" applyBorder="1" applyAlignment="1">
      <alignment horizontal="center"/>
    </xf>
    <xf numFmtId="164" fontId="46" fillId="4" borderId="52" xfId="1" applyNumberFormat="1" applyFont="1" applyFill="1" applyBorder="1" applyAlignment="1"/>
    <xf numFmtId="164" fontId="46" fillId="4" borderId="2" xfId="1" applyNumberFormat="1" applyFont="1" applyFill="1" applyBorder="1" applyAlignment="1">
      <alignment wrapText="1"/>
    </xf>
    <xf numFmtId="164" fontId="12" fillId="4" borderId="2" xfId="1" applyNumberFormat="1" applyFont="1" applyFill="1" applyBorder="1"/>
    <xf numFmtId="164" fontId="12" fillId="4" borderId="0" xfId="1" applyNumberFormat="1" applyFont="1" applyFill="1" applyBorder="1"/>
    <xf numFmtId="164" fontId="46" fillId="4" borderId="10" xfId="1" applyNumberFormat="1" applyFont="1" applyFill="1" applyBorder="1" applyAlignment="1">
      <alignment wrapText="1"/>
    </xf>
    <xf numFmtId="164" fontId="46" fillId="4" borderId="29" xfId="1" applyNumberFormat="1" applyFont="1" applyFill="1" applyBorder="1" applyAlignment="1">
      <alignment wrapText="1"/>
    </xf>
    <xf numFmtId="164" fontId="12" fillId="4" borderId="11" xfId="2" applyNumberFormat="1" applyFont="1" applyFill="1" applyBorder="1"/>
    <xf numFmtId="187" fontId="33" fillId="4" borderId="10" xfId="1" applyNumberFormat="1" applyFont="1" applyFill="1" applyBorder="1" applyAlignment="1">
      <alignment horizontal="center" wrapText="1"/>
    </xf>
    <xf numFmtId="187" fontId="33" fillId="4" borderId="0" xfId="1" applyNumberFormat="1" applyFont="1" applyFill="1" applyBorder="1" applyAlignment="1">
      <alignment horizontal="center" wrapText="1"/>
    </xf>
    <xf numFmtId="41" fontId="33" fillId="4" borderId="10" xfId="1" applyNumberFormat="1" applyFont="1" applyFill="1" applyBorder="1" applyAlignment="1">
      <alignment wrapText="1"/>
    </xf>
    <xf numFmtId="41" fontId="33" fillId="4" borderId="0" xfId="1" applyNumberFormat="1" applyFont="1" applyFill="1" applyBorder="1" applyAlignment="1">
      <alignment wrapText="1"/>
    </xf>
    <xf numFmtId="189" fontId="103" fillId="0" borderId="0" xfId="11" applyNumberFormat="1" applyFont="1" applyFill="1" applyBorder="1" applyAlignment="1">
      <alignment horizontal="left"/>
    </xf>
    <xf numFmtId="39" fontId="12" fillId="0" borderId="0" xfId="0" applyNumberFormat="1" applyFont="1" applyFill="1" applyBorder="1"/>
    <xf numFmtId="164" fontId="12" fillId="4" borderId="0" xfId="1" applyNumberFormat="1" applyFont="1" applyFill="1" applyAlignment="1">
      <alignment horizontal="right" wrapText="1"/>
    </xf>
    <xf numFmtId="1" fontId="12" fillId="0" borderId="0" xfId="0" applyNumberFormat="1" applyFont="1" applyAlignment="1">
      <alignment horizontal="center"/>
    </xf>
    <xf numFmtId="3" fontId="12" fillId="4" borderId="0" xfId="1" applyNumberFormat="1" applyFont="1" applyFill="1" applyBorder="1"/>
    <xf numFmtId="37" fontId="1" fillId="0" borderId="0" xfId="0" applyNumberFormat="1" applyFont="1" applyFill="1"/>
    <xf numFmtId="164" fontId="12" fillId="4" borderId="0" xfId="8" applyNumberFormat="1" applyFont="1" applyFill="1" applyAlignment="1">
      <alignment wrapText="1"/>
    </xf>
    <xf numFmtId="0" fontId="45" fillId="0" borderId="36" xfId="0" applyFont="1" applyFill="1" applyBorder="1" applyAlignment="1">
      <alignment horizontal="center" wrapText="1"/>
    </xf>
    <xf numFmtId="41" fontId="12" fillId="0" borderId="53" xfId="2" applyNumberFormat="1" applyFont="1" applyFill="1" applyBorder="1"/>
    <xf numFmtId="41" fontId="12" fillId="0" borderId="51" xfId="2" applyNumberFormat="1" applyFont="1" applyFill="1" applyBorder="1"/>
    <xf numFmtId="41" fontId="12" fillId="0" borderId="54" xfId="2" applyNumberFormat="1" applyFont="1" applyFill="1" applyBorder="1"/>
    <xf numFmtId="41" fontId="12" fillId="0" borderId="45" xfId="2" applyNumberFormat="1" applyFont="1" applyFill="1" applyBorder="1"/>
    <xf numFmtId="41" fontId="12" fillId="0" borderId="55" xfId="2" applyNumberFormat="1" applyFont="1" applyFill="1" applyBorder="1"/>
    <xf numFmtId="41" fontId="33" fillId="4" borderId="14" xfId="1" applyNumberFormat="1" applyFont="1" applyFill="1" applyBorder="1" applyAlignment="1">
      <alignment wrapText="1"/>
    </xf>
    <xf numFmtId="41" fontId="33" fillId="4" borderId="14" xfId="1" applyNumberFormat="1" applyFont="1" applyFill="1" applyBorder="1" applyAlignment="1">
      <alignment horizontal="center" wrapText="1"/>
    </xf>
    <xf numFmtId="164" fontId="12" fillId="4" borderId="48" xfId="1" applyNumberFormat="1" applyFont="1" applyFill="1" applyBorder="1"/>
    <xf numFmtId="43" fontId="45" fillId="0" borderId="0" xfId="1" applyFont="1"/>
    <xf numFmtId="166" fontId="35" fillId="0" borderId="0" xfId="13" applyNumberFormat="1" applyFont="1" applyBorder="1" applyAlignment="1">
      <alignment horizontal="center"/>
    </xf>
    <xf numFmtId="164" fontId="122" fillId="4" borderId="0" xfId="1" applyNumberFormat="1" applyFont="1" applyFill="1"/>
    <xf numFmtId="164" fontId="33" fillId="4" borderId="0" xfId="3" applyNumberFormat="1" applyFont="1" applyFill="1"/>
    <xf numFmtId="164" fontId="12" fillId="4" borderId="0" xfId="3" applyNumberFormat="1" applyFont="1" applyFill="1"/>
    <xf numFmtId="164" fontId="12" fillId="4" borderId="0" xfId="3" applyNumberFormat="1" applyFont="1" applyFill="1" applyBorder="1"/>
    <xf numFmtId="41" fontId="12" fillId="0" borderId="11" xfId="2" applyNumberFormat="1" applyFont="1" applyFill="1" applyBorder="1"/>
    <xf numFmtId="41" fontId="45" fillId="0" borderId="11" xfId="2" applyNumberFormat="1" applyFont="1" applyFill="1" applyBorder="1"/>
    <xf numFmtId="41" fontId="33" fillId="0" borderId="13" xfId="2" applyNumberFormat="1" applyFont="1" applyFill="1" applyBorder="1" applyAlignment="1">
      <alignment horizontal="center" wrapText="1"/>
    </xf>
    <xf numFmtId="41" fontId="45" fillId="0" borderId="0" xfId="2" applyNumberFormat="1" applyFont="1" applyFill="1" applyBorder="1" applyAlignment="1">
      <alignment horizontal="center" wrapText="1"/>
    </xf>
    <xf numFmtId="41" fontId="45" fillId="0" borderId="1" xfId="2" applyNumberFormat="1" applyFont="1" applyFill="1" applyBorder="1"/>
    <xf numFmtId="41" fontId="12" fillId="0" borderId="9" xfId="2" applyNumberFormat="1" applyFont="1" applyFill="1" applyBorder="1"/>
    <xf numFmtId="4" fontId="3" fillId="0" borderId="0" xfId="1" applyNumberFormat="1" applyFont="1" applyFill="1" applyBorder="1" applyAlignment="1">
      <alignment horizontal="right"/>
    </xf>
    <xf numFmtId="0" fontId="12" fillId="5" borderId="33" xfId="14" applyFont="1" applyFill="1" applyBorder="1" applyAlignment="1"/>
    <xf numFmtId="0" fontId="2" fillId="0" borderId="14" xfId="14" applyFont="1" applyBorder="1" applyAlignment="1"/>
    <xf numFmtId="164" fontId="0" fillId="4" borderId="0" xfId="1" applyNumberFormat="1" applyFont="1" applyFill="1" applyAlignment="1">
      <alignment wrapText="1"/>
    </xf>
    <xf numFmtId="164" fontId="1" fillId="4" borderId="0" xfId="1" applyNumberFormat="1" applyFont="1" applyFill="1" applyAlignment="1"/>
    <xf numFmtId="0" fontId="0" fillId="11" borderId="11" xfId="0" applyFill="1" applyBorder="1"/>
    <xf numFmtId="0" fontId="2" fillId="0" borderId="33" xfId="14" applyFont="1" applyBorder="1" applyAlignment="1">
      <alignment horizontal="center" wrapText="1"/>
    </xf>
    <xf numFmtId="0" fontId="2" fillId="0" borderId="33" xfId="14" applyFont="1" applyBorder="1" applyAlignment="1"/>
    <xf numFmtId="41" fontId="12" fillId="0" borderId="9" xfId="2" applyNumberFormat="1" applyFont="1" applyFill="1" applyBorder="1" applyAlignment="1"/>
    <xf numFmtId="39" fontId="12" fillId="0" borderId="53" xfId="0" applyNumberFormat="1" applyFont="1" applyFill="1" applyBorder="1"/>
    <xf numFmtId="41" fontId="12" fillId="0" borderId="42" xfId="2" applyNumberFormat="1" applyFont="1" applyFill="1" applyBorder="1" applyAlignment="1">
      <alignment horizontal="left"/>
    </xf>
    <xf numFmtId="0" fontId="47" fillId="0" borderId="36" xfId="0" applyFont="1" applyFill="1" applyBorder="1" applyAlignment="1">
      <alignment horizontal="center" wrapText="1"/>
    </xf>
    <xf numFmtId="189" fontId="103" fillId="0" borderId="54" xfId="11" applyNumberFormat="1" applyFont="1" applyFill="1" applyBorder="1" applyAlignment="1">
      <alignment horizontal="left"/>
    </xf>
    <xf numFmtId="39" fontId="33" fillId="0" borderId="22" xfId="9" applyNumberFormat="1" applyFont="1" applyFill="1" applyBorder="1"/>
    <xf numFmtId="41" fontId="33" fillId="0" borderId="0" xfId="1" applyNumberFormat="1" applyFont="1" applyFill="1" applyBorder="1" applyAlignment="1">
      <alignment horizontal="center" wrapText="1"/>
    </xf>
    <xf numFmtId="41" fontId="33" fillId="0" borderId="1" xfId="1" applyNumberFormat="1" applyFont="1" applyFill="1" applyBorder="1" applyAlignment="1">
      <alignment horizontal="center" wrapText="1"/>
    </xf>
    <xf numFmtId="3" fontId="5" fillId="4" borderId="0" xfId="0" applyNumberFormat="1" applyFont="1" applyFill="1"/>
    <xf numFmtId="164" fontId="1" fillId="0" borderId="0" xfId="1" applyNumberFormat="1" applyFont="1" applyFill="1" applyBorder="1" applyAlignment="1"/>
    <xf numFmtId="164" fontId="1" fillId="0" borderId="4" xfId="1" applyNumberFormat="1" applyFont="1" applyFill="1" applyBorder="1" applyAlignment="1"/>
    <xf numFmtId="3" fontId="12" fillId="0" borderId="0" xfId="0" applyNumberFormat="1" applyFont="1" applyFill="1" applyBorder="1" applyAlignment="1">
      <alignment horizontal="right" wrapText="1"/>
    </xf>
    <xf numFmtId="187" fontId="33" fillId="4" borderId="0" xfId="0" applyNumberFormat="1" applyFont="1" applyFill="1" applyAlignment="1">
      <alignment horizontal="center" wrapText="1"/>
    </xf>
    <xf numFmtId="187" fontId="1" fillId="4" borderId="0" xfId="0" applyNumberFormat="1" applyFont="1" applyFill="1"/>
    <xf numFmtId="187" fontId="33" fillId="4" borderId="0" xfId="0" applyNumberFormat="1" applyFont="1" applyFill="1"/>
    <xf numFmtId="187" fontId="1" fillId="4" borderId="0" xfId="14" applyNumberFormat="1" applyFont="1" applyFill="1"/>
    <xf numFmtId="187" fontId="1" fillId="4" borderId="11" xfId="14" applyNumberFormat="1" applyFont="1" applyFill="1" applyBorder="1"/>
    <xf numFmtId="187" fontId="1" fillId="4" borderId="13" xfId="14" applyNumberFormat="1" applyFont="1" applyFill="1" applyBorder="1"/>
    <xf numFmtId="0" fontId="15" fillId="0" borderId="0" xfId="0" applyFont="1" applyFill="1" applyAlignment="1">
      <alignment horizontal="center"/>
    </xf>
    <xf numFmtId="169" fontId="5" fillId="0" borderId="0" xfId="17" applyFont="1" applyFill="1" applyAlignment="1" applyProtection="1">
      <alignment horizontal="left"/>
      <protection locked="0"/>
    </xf>
    <xf numFmtId="0" fontId="0" fillId="0" borderId="0" xfId="0" applyAlignment="1">
      <alignment horizontal="left"/>
    </xf>
    <xf numFmtId="0" fontId="2" fillId="0" borderId="0" xfId="0" applyFont="1" applyFill="1" applyBorder="1" applyAlignment="1">
      <alignment horizontal="center"/>
    </xf>
    <xf numFmtId="0" fontId="36" fillId="0" borderId="0" xfId="0" applyFont="1" applyFill="1"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164" fontId="3" fillId="0" borderId="0" xfId="1" applyNumberFormat="1" applyFont="1" applyAlignment="1">
      <alignment horizontal="center"/>
    </xf>
    <xf numFmtId="0" fontId="2" fillId="0" borderId="0" xfId="0" applyFont="1" applyAlignment="1">
      <alignment horizontal="center"/>
    </xf>
    <xf numFmtId="0" fontId="3" fillId="0" borderId="0" xfId="0" applyFont="1" applyFill="1" applyAlignment="1">
      <alignment horizontal="center"/>
    </xf>
    <xf numFmtId="0" fontId="2" fillId="0" borderId="0" xfId="0" applyFont="1" applyFill="1" applyAlignment="1">
      <alignment horizontal="left" wrapText="1"/>
    </xf>
    <xf numFmtId="0" fontId="2" fillId="0" borderId="0" xfId="0" applyNumberFormat="1" applyFont="1" applyFill="1" applyAlignment="1">
      <alignment horizontal="left" wrapText="1"/>
    </xf>
    <xf numFmtId="0" fontId="15" fillId="0" borderId="0" xfId="0" applyFont="1" applyAlignment="1">
      <alignment horizontal="center"/>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12" fillId="0" borderId="0" xfId="0" applyFont="1" applyAlignment="1"/>
    <xf numFmtId="0" fontId="30" fillId="0" borderId="0" xfId="0" applyFont="1" applyAlignment="1">
      <alignment horizontal="center"/>
    </xf>
    <xf numFmtId="0" fontId="6" fillId="0" borderId="0" xfId="0" applyFont="1" applyAlignment="1">
      <alignment horizontal="center"/>
    </xf>
    <xf numFmtId="0" fontId="40" fillId="0" borderId="0" xfId="0" applyFont="1" applyAlignment="1">
      <alignment horizontal="center"/>
    </xf>
    <xf numFmtId="0" fontId="41" fillId="0" borderId="12" xfId="0" applyFont="1" applyFill="1" applyBorder="1" applyAlignment="1">
      <alignment horizontal="center"/>
    </xf>
    <xf numFmtId="0" fontId="41" fillId="0" borderId="11" xfId="0" applyFont="1" applyFill="1" applyBorder="1" applyAlignment="1">
      <alignment horizontal="center"/>
    </xf>
    <xf numFmtId="0" fontId="41" fillId="0" borderId="13" xfId="0" applyFont="1" applyFill="1" applyBorder="1" applyAlignment="1">
      <alignment horizontal="center"/>
    </xf>
    <xf numFmtId="0" fontId="38" fillId="0" borderId="0" xfId="0" applyNumberFormat="1" applyFont="1" applyFill="1" applyBorder="1" applyAlignment="1">
      <alignment horizontal="center"/>
    </xf>
    <xf numFmtId="0" fontId="36" fillId="0" borderId="1" xfId="0" applyFont="1" applyFill="1" applyBorder="1" applyAlignment="1">
      <alignment horizontal="center" wrapText="1"/>
    </xf>
    <xf numFmtId="0" fontId="33" fillId="0" borderId="1" xfId="0" applyFont="1" applyFill="1" applyBorder="1" applyAlignment="1">
      <alignment horizontal="center" wrapText="1"/>
    </xf>
    <xf numFmtId="0" fontId="33" fillId="0" borderId="8" xfId="0" applyFont="1" applyFill="1" applyBorder="1" applyAlignment="1">
      <alignment horizontal="center" wrapText="1"/>
    </xf>
    <xf numFmtId="0" fontId="36" fillId="0" borderId="0" xfId="0" applyFont="1" applyFill="1" applyBorder="1" applyAlignment="1">
      <alignment horizontal="center" wrapText="1"/>
    </xf>
    <xf numFmtId="0" fontId="33" fillId="0" borderId="0" xfId="0" applyFont="1" applyFill="1" applyBorder="1" applyAlignment="1">
      <alignment horizontal="center" wrapText="1"/>
    </xf>
    <xf numFmtId="0" fontId="33" fillId="0" borderId="9" xfId="0" applyFont="1" applyFill="1" applyBorder="1" applyAlignment="1">
      <alignment horizontal="center" wrapText="1"/>
    </xf>
    <xf numFmtId="0" fontId="41" fillId="5" borderId="12" xfId="0" applyFont="1" applyFill="1" applyBorder="1" applyAlignment="1">
      <alignment horizontal="center"/>
    </xf>
    <xf numFmtId="0" fontId="41" fillId="5" borderId="11" xfId="0" applyFont="1" applyFill="1" applyBorder="1" applyAlignment="1">
      <alignment horizontal="center"/>
    </xf>
    <xf numFmtId="0" fontId="41" fillId="5" borderId="13" xfId="0" applyFont="1" applyFill="1" applyBorder="1" applyAlignment="1">
      <alignment horizontal="center"/>
    </xf>
    <xf numFmtId="0" fontId="32" fillId="5" borderId="11" xfId="0" applyFont="1" applyFill="1" applyBorder="1" applyAlignment="1">
      <alignment horizontal="center" wrapText="1"/>
    </xf>
    <xf numFmtId="0" fontId="32" fillId="5" borderId="13" xfId="0" applyFont="1" applyFill="1" applyBorder="1" applyAlignment="1">
      <alignment horizontal="center" wrapText="1"/>
    </xf>
    <xf numFmtId="3" fontId="33" fillId="0" borderId="0" xfId="0" applyNumberFormat="1" applyFont="1" applyFill="1" applyBorder="1" applyAlignment="1">
      <alignment horizontal="left" wrapText="1"/>
    </xf>
    <xf numFmtId="0" fontId="12" fillId="0" borderId="0" xfId="0" applyFont="1" applyFill="1" applyBorder="1" applyAlignment="1">
      <alignment wrapText="1"/>
    </xf>
    <xf numFmtId="0" fontId="12" fillId="0" borderId="9" xfId="0" applyFont="1" applyFill="1" applyBorder="1" applyAlignment="1">
      <alignment wrapText="1"/>
    </xf>
    <xf numFmtId="3" fontId="36" fillId="0" borderId="0" xfId="0" applyNumberFormat="1" applyFont="1" applyFill="1" applyBorder="1" applyAlignment="1">
      <alignment horizontal="left" wrapText="1"/>
    </xf>
    <xf numFmtId="0" fontId="88" fillId="0" borderId="0" xfId="0" applyFont="1" applyFill="1" applyBorder="1" applyAlignment="1">
      <alignment wrapText="1"/>
    </xf>
    <xf numFmtId="0" fontId="88" fillId="0" borderId="9" xfId="0" applyFont="1" applyFill="1" applyBorder="1" applyAlignment="1">
      <alignment wrapText="1"/>
    </xf>
    <xf numFmtId="3" fontId="33" fillId="0" borderId="0" xfId="0" applyNumberFormat="1" applyFont="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33" fillId="0" borderId="11" xfId="0" applyFont="1" applyBorder="1" applyAlignment="1">
      <alignment horizontal="center" wrapText="1"/>
    </xf>
    <xf numFmtId="0" fontId="33" fillId="0" borderId="13" xfId="0" applyFont="1" applyBorder="1" applyAlignment="1">
      <alignment horizontal="center" wrapText="1"/>
    </xf>
    <xf numFmtId="0" fontId="36" fillId="4" borderId="1" xfId="0" applyFont="1" applyFill="1" applyBorder="1" applyAlignment="1">
      <alignment horizontal="center" wrapText="1"/>
    </xf>
    <xf numFmtId="0" fontId="33" fillId="4" borderId="1" xfId="0" applyFont="1" applyFill="1" applyBorder="1" applyAlignment="1">
      <alignment horizontal="center" wrapText="1"/>
    </xf>
    <xf numFmtId="0" fontId="33" fillId="4" borderId="8" xfId="0" applyFont="1" applyFill="1" applyBorder="1" applyAlignment="1">
      <alignment horizontal="center" wrapText="1"/>
    </xf>
    <xf numFmtId="0" fontId="12" fillId="5" borderId="12" xfId="14" applyFont="1" applyFill="1" applyBorder="1" applyAlignment="1">
      <alignment horizontal="center"/>
    </xf>
    <xf numFmtId="0" fontId="12" fillId="5" borderId="11" xfId="14" applyFont="1" applyFill="1" applyBorder="1" applyAlignment="1">
      <alignment horizontal="center"/>
    </xf>
    <xf numFmtId="164" fontId="12" fillId="5" borderId="12" xfId="1" applyNumberFormat="1" applyFont="1" applyFill="1" applyBorder="1" applyAlignment="1"/>
    <xf numFmtId="164" fontId="12" fillId="5" borderId="11" xfId="1" applyNumberFormat="1" applyFont="1" applyFill="1" applyBorder="1" applyAlignment="1"/>
    <xf numFmtId="0" fontId="33" fillId="0" borderId="0" xfId="0" applyFont="1" applyAlignment="1">
      <alignment horizontal="center" wrapText="1"/>
    </xf>
    <xf numFmtId="0" fontId="33" fillId="0" borderId="9" xfId="0" applyFont="1" applyBorder="1" applyAlignment="1">
      <alignment horizontal="center" wrapText="1"/>
    </xf>
    <xf numFmtId="0" fontId="37" fillId="5" borderId="11" xfId="0" applyFont="1" applyFill="1" applyBorder="1" applyAlignment="1">
      <alignment horizontal="center" wrapText="1"/>
    </xf>
    <xf numFmtId="0" fontId="37" fillId="5" borderId="13" xfId="0" applyFont="1" applyFill="1" applyBorder="1" applyAlignment="1">
      <alignment horizontal="center" wrapText="1"/>
    </xf>
    <xf numFmtId="0" fontId="33" fillId="0" borderId="1" xfId="0" applyFont="1" applyBorder="1" applyAlignment="1">
      <alignment horizontal="center" wrapText="1"/>
    </xf>
    <xf numFmtId="0" fontId="33" fillId="0" borderId="8" xfId="0" applyFont="1" applyBorder="1" applyAlignment="1">
      <alignment horizontal="center" wrapText="1"/>
    </xf>
    <xf numFmtId="0" fontId="36" fillId="4" borderId="1" xfId="0" applyFont="1" applyFill="1" applyBorder="1" applyAlignment="1">
      <alignment horizontal="left" wrapText="1"/>
    </xf>
    <xf numFmtId="0" fontId="33" fillId="4" borderId="1" xfId="0" applyFont="1" applyFill="1" applyBorder="1" applyAlignment="1">
      <alignment horizontal="left" wrapText="1"/>
    </xf>
    <xf numFmtId="0" fontId="33" fillId="4" borderId="8" xfId="0" applyFont="1" applyFill="1" applyBorder="1" applyAlignment="1">
      <alignment horizontal="left" wrapText="1"/>
    </xf>
    <xf numFmtId="0" fontId="36" fillId="0" borderId="9" xfId="0" applyFont="1" applyFill="1" applyBorder="1" applyAlignment="1">
      <alignment horizontal="center" wrapText="1"/>
    </xf>
    <xf numFmtId="0" fontId="27" fillId="5" borderId="11" xfId="0" applyFont="1" applyFill="1" applyBorder="1" applyAlignment="1">
      <alignment horizontal="center"/>
    </xf>
    <xf numFmtId="0" fontId="0" fillId="0" borderId="11" xfId="0" applyBorder="1" applyAlignment="1">
      <alignment horizontal="center"/>
    </xf>
    <xf numFmtId="0" fontId="0" fillId="0" borderId="11"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xf>
    <xf numFmtId="0" fontId="0" fillId="0" borderId="0" xfId="0" applyFill="1" applyAlignment="1">
      <alignment wrapText="1"/>
    </xf>
    <xf numFmtId="0" fontId="0" fillId="0" borderId="0" xfId="0" applyAlignment="1">
      <alignment wrapText="1"/>
    </xf>
    <xf numFmtId="0" fontId="0" fillId="0" borderId="0" xfId="0" applyFill="1" applyBorder="1" applyAlignment="1">
      <alignment horizontal="left"/>
    </xf>
    <xf numFmtId="0" fontId="46" fillId="0" borderId="0" xfId="0" applyFont="1" applyAlignment="1">
      <alignment horizontal="left" vertical="top" wrapText="1"/>
    </xf>
    <xf numFmtId="0" fontId="0" fillId="0" borderId="0" xfId="0" applyAlignment="1">
      <alignment vertical="top"/>
    </xf>
    <xf numFmtId="0" fontId="57" fillId="0" borderId="0" xfId="0" applyFont="1" applyFill="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6" xfId="0" applyFont="1" applyFill="1" applyBorder="1" applyAlignment="1">
      <alignment horizontal="center"/>
    </xf>
    <xf numFmtId="0" fontId="12" fillId="0" borderId="5" xfId="0" applyFont="1" applyFill="1" applyBorder="1" applyAlignment="1">
      <alignment horizontal="center"/>
    </xf>
    <xf numFmtId="0" fontId="12" fillId="0" borderId="21" xfId="0" applyFont="1"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21" xfId="0" applyFill="1" applyBorder="1" applyAlignment="1">
      <alignment horizontal="center"/>
    </xf>
    <xf numFmtId="0" fontId="45" fillId="0" borderId="0" xfId="0" applyFont="1" applyAlignment="1">
      <alignment horizontal="left" vertical="top" wrapText="1"/>
    </xf>
    <xf numFmtId="0" fontId="0" fillId="0" borderId="0" xfId="0" applyFill="1" applyBorder="1" applyAlignment="1">
      <alignment horizontal="center"/>
    </xf>
    <xf numFmtId="0" fontId="45" fillId="0" borderId="0" xfId="0" applyFont="1" applyFill="1" applyAlignment="1">
      <alignment horizontal="left" vertical="top" wrapText="1"/>
    </xf>
    <xf numFmtId="0" fontId="0" fillId="0" borderId="0" xfId="0" applyFill="1" applyAlignment="1">
      <alignment vertical="top"/>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21" xfId="0" applyFont="1" applyFill="1" applyBorder="1" applyAlignment="1">
      <alignment horizontal="center" wrapText="1"/>
    </xf>
    <xf numFmtId="0" fontId="36" fillId="0" borderId="6" xfId="0" applyFont="1" applyFill="1" applyBorder="1" applyAlignment="1">
      <alignment horizontal="center" wrapText="1"/>
    </xf>
    <xf numFmtId="0" fontId="36" fillId="0" borderId="5" xfId="0" applyFont="1" applyFill="1" applyBorder="1" applyAlignment="1">
      <alignment horizontal="center" wrapText="1"/>
    </xf>
    <xf numFmtId="0" fontId="2" fillId="0" borderId="6" xfId="0" applyFont="1" applyFill="1" applyBorder="1" applyAlignment="1">
      <alignment horizontal="center"/>
    </xf>
    <xf numFmtId="0" fontId="2" fillId="0" borderId="5" xfId="0" applyFont="1" applyFill="1" applyBorder="1" applyAlignment="1">
      <alignment horizontal="center"/>
    </xf>
    <xf numFmtId="0" fontId="2" fillId="0" borderId="21" xfId="0" applyFont="1" applyFill="1" applyBorder="1" applyAlignment="1">
      <alignment horizontal="center"/>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36" fillId="0" borderId="6" xfId="0" applyFont="1" applyBorder="1" applyAlignment="1">
      <alignment horizontal="center" wrapText="1"/>
    </xf>
    <xf numFmtId="0" fontId="36" fillId="0" borderId="5" xfId="0" applyFont="1" applyBorder="1" applyAlignment="1">
      <alignment horizontal="center" wrapText="1"/>
    </xf>
    <xf numFmtId="0" fontId="36" fillId="0" borderId="21" xfId="0" applyFont="1" applyBorder="1" applyAlignment="1">
      <alignment horizontal="center" wrapText="1"/>
    </xf>
    <xf numFmtId="0" fontId="0" fillId="0" borderId="5"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cellXfs>
  <cellStyles count="27">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Comma 4 2" xfId="7" xr:uid="{00000000-0005-0000-0000-000006000000}"/>
    <cellStyle name="Comma 5" xfId="8" xr:uid="{00000000-0005-0000-0000-000007000000}"/>
    <cellStyle name="Currency" xfId="9" builtinId="4"/>
    <cellStyle name="Currency 2" xfId="10" xr:uid="{00000000-0005-0000-0000-000009000000}"/>
    <cellStyle name="Currency 2 2" xfId="11" xr:uid="{00000000-0005-0000-0000-00000A000000}"/>
    <cellStyle name="Currency 3" xfId="12" xr:uid="{00000000-0005-0000-0000-00000B000000}"/>
    <cellStyle name="Currency 3 2" xfId="13" xr:uid="{00000000-0005-0000-0000-00000C000000}"/>
    <cellStyle name="Normal" xfId="0" builtinId="0"/>
    <cellStyle name="Normal 2" xfId="14" xr:uid="{00000000-0005-0000-0000-00000E000000}"/>
    <cellStyle name="Normal 3" xfId="15" xr:uid="{00000000-0005-0000-0000-00000F000000}"/>
    <cellStyle name="Normal 3 2" xfId="16" xr:uid="{00000000-0005-0000-0000-000010000000}"/>
    <cellStyle name="Normal_FN1 Ratebase Draft SPP template (6-11-04) v2" xfId="17" xr:uid="{00000000-0005-0000-0000-000011000000}"/>
    <cellStyle name="Percent" xfId="18" builtinId="5"/>
    <cellStyle name="Percent 2" xfId="19" xr:uid="{00000000-0005-0000-0000-000013000000}"/>
    <cellStyle name="Percent 2 2" xfId="20" xr:uid="{00000000-0005-0000-0000-000014000000}"/>
    <cellStyle name="PSChar" xfId="21" xr:uid="{00000000-0005-0000-0000-000015000000}"/>
    <cellStyle name="PSDate" xfId="22" xr:uid="{00000000-0005-0000-0000-000016000000}"/>
    <cellStyle name="PSDec" xfId="23" xr:uid="{00000000-0005-0000-0000-000017000000}"/>
    <cellStyle name="PSHeading" xfId="24" xr:uid="{00000000-0005-0000-0000-000018000000}"/>
    <cellStyle name="PSInt" xfId="25" xr:uid="{00000000-0005-0000-0000-000019000000}"/>
    <cellStyle name="PSSpacer" xfId="26"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24</xdr:col>
      <xdr:colOff>0</xdr:colOff>
      <xdr:row>36</xdr:row>
      <xdr:rowOff>114300</xdr:rowOff>
    </xdr:from>
    <xdr:to>
      <xdr:col>24</xdr:col>
      <xdr:colOff>0</xdr:colOff>
      <xdr:row>37</xdr:row>
      <xdr:rowOff>85725</xdr:rowOff>
    </xdr:to>
    <xdr:sp macro="" textlink="">
      <xdr:nvSpPr>
        <xdr:cNvPr id="7173" name="WordArt 5">
          <a:extLst>
            <a:ext uri="{FF2B5EF4-FFF2-40B4-BE49-F238E27FC236}">
              <a16:creationId xmlns:a16="http://schemas.microsoft.com/office/drawing/2014/main" id="{00000000-0008-0000-0700-0000051C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133</xdr:row>
      <xdr:rowOff>107950</xdr:rowOff>
    </xdr:from>
    <xdr:to>
      <xdr:col>25</xdr:col>
      <xdr:colOff>0</xdr:colOff>
      <xdr:row>134</xdr:row>
      <xdr:rowOff>89323</xdr:rowOff>
    </xdr:to>
    <xdr:sp macro="" textlink="">
      <xdr:nvSpPr>
        <xdr:cNvPr id="8" name="WordArt 5">
          <a:extLst>
            <a:ext uri="{FF2B5EF4-FFF2-40B4-BE49-F238E27FC236}">
              <a16:creationId xmlns:a16="http://schemas.microsoft.com/office/drawing/2014/main" id="{00000000-0008-0000-0700-000008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textlink="">
      <xdr:nvSpPr>
        <xdr:cNvPr id="2" name="WordArt 5">
          <a:extLst>
            <a:ext uri="{FF2B5EF4-FFF2-40B4-BE49-F238E27FC236}">
              <a16:creationId xmlns:a16="http://schemas.microsoft.com/office/drawing/2014/main" id="{00000000-0008-0000-0700-000002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0</xdr:colOff>
      <xdr:row>133</xdr:row>
      <xdr:rowOff>107950</xdr:rowOff>
    </xdr:from>
    <xdr:to>
      <xdr:col>23</xdr:col>
      <xdr:colOff>0</xdr:colOff>
      <xdr:row>134</xdr:row>
      <xdr:rowOff>89323</xdr:rowOff>
    </xdr:to>
    <xdr:sp macro="" textlink="">
      <xdr:nvSpPr>
        <xdr:cNvPr id="4" name="WordArt 5">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textlink="">
      <xdr:nvSpPr>
        <xdr:cNvPr id="6" name="WordArt 5">
          <a:extLst>
            <a:ext uri="{FF2B5EF4-FFF2-40B4-BE49-F238E27FC236}">
              <a16:creationId xmlns:a16="http://schemas.microsoft.com/office/drawing/2014/main" id="{00000000-0008-0000-0700-000006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0</xdr:colOff>
      <xdr:row>133</xdr:row>
      <xdr:rowOff>107950</xdr:rowOff>
    </xdr:from>
    <xdr:to>
      <xdr:col>23</xdr:col>
      <xdr:colOff>0</xdr:colOff>
      <xdr:row>134</xdr:row>
      <xdr:rowOff>89323</xdr:rowOff>
    </xdr:to>
    <xdr:sp macro="" textlink="">
      <xdr:nvSpPr>
        <xdr:cNvPr id="10" name="WordArt 5">
          <a:extLst>
            <a:ext uri="{FF2B5EF4-FFF2-40B4-BE49-F238E27FC236}">
              <a16:creationId xmlns:a16="http://schemas.microsoft.com/office/drawing/2014/main" id="{00000000-0008-0000-0700-00000A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121920</xdr:colOff>
          <xdr:row>17</xdr:row>
          <xdr:rowOff>83820</xdr:rowOff>
        </xdr:from>
        <xdr:to>
          <xdr:col>5</xdr:col>
          <xdr:colOff>906780</xdr:colOff>
          <xdr:row>21</xdr:row>
          <xdr:rowOff>137160</xdr:rowOff>
        </xdr:to>
        <xdr:sp macro="" textlink="">
          <xdr:nvSpPr>
            <xdr:cNvPr id="21983" name="Object 479" hidden="1">
              <a:extLst>
                <a:ext uri="{63B3BB69-23CF-44E3-9099-C40C66FF867C}">
                  <a14:compatExt spid="_x0000_s21983"/>
                </a:ext>
                <a:ext uri="{FF2B5EF4-FFF2-40B4-BE49-F238E27FC236}">
                  <a16:creationId xmlns:a16="http://schemas.microsoft.com/office/drawing/2014/main" id="{00000000-0008-0000-0A00-0000DF5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9.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10" Type="http://schemas.openxmlformats.org/officeDocument/2006/relationships/drawing" Target="../drawings/drawing1.xml"/><Relationship Id="rId4" Type="http://schemas.openxmlformats.org/officeDocument/2006/relationships/printerSettings" Target="../printerSettings/printerSettings51.bin"/><Relationship Id="rId9" Type="http://schemas.openxmlformats.org/officeDocument/2006/relationships/printerSettings" Target="../printerSettings/printerSettings5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T1508"/>
  <sheetViews>
    <sheetView tabSelected="1" zoomScale="75" zoomScaleNormal="75" zoomScaleSheetLayoutView="50" workbookViewId="0">
      <selection activeCell="D12" sqref="D12"/>
    </sheetView>
  </sheetViews>
  <sheetFormatPr defaultColWidth="9.109375" defaultRowHeight="15"/>
  <cols>
    <col min="1" max="1" width="7.44140625" style="68" customWidth="1"/>
    <col min="2" max="2" width="3.44140625" style="32" customWidth="1"/>
    <col min="3" max="3" width="60.33203125" style="32" customWidth="1"/>
    <col min="4" max="4" width="34.109375" style="32" customWidth="1"/>
    <col min="5" max="5" width="20.109375" style="91" customWidth="1"/>
    <col min="6" max="6" width="50.88671875" style="51" customWidth="1"/>
    <col min="7" max="7" width="2.6640625" style="51" customWidth="1"/>
    <col min="8" max="8" width="31.6640625" style="51" customWidth="1"/>
    <col min="9" max="9" width="2" style="56" customWidth="1"/>
    <col min="10" max="11" width="31.6640625" style="104" customWidth="1"/>
    <col min="12" max="12" width="17.6640625" style="51" customWidth="1"/>
    <col min="13" max="13" width="21.6640625" style="51" customWidth="1"/>
    <col min="14" max="14" width="9.109375" style="51"/>
    <col min="15" max="15" width="20.109375" style="51" customWidth="1"/>
    <col min="16" max="16" width="9.109375" style="51"/>
    <col min="17" max="17" width="16.109375" style="51" customWidth="1"/>
    <col min="18" max="18" width="9.109375" style="51"/>
    <col min="19" max="19" width="16.44140625" style="51" bestFit="1" customWidth="1"/>
    <col min="20" max="16384" width="9.109375" style="51"/>
  </cols>
  <sheetData>
    <row r="1" spans="1:11" ht="28.5" customHeight="1">
      <c r="A1" s="227"/>
      <c r="B1" s="2000" t="s">
        <v>444</v>
      </c>
      <c r="C1" s="2000"/>
      <c r="D1" s="2000"/>
      <c r="E1" s="2000"/>
      <c r="F1" s="2000"/>
      <c r="G1" s="2000"/>
      <c r="H1" s="2000"/>
      <c r="I1" s="557"/>
    </row>
    <row r="2" spans="1:11" ht="25.5" customHeight="1" thickBot="1">
      <c r="E2" s="93"/>
      <c r="F2" s="56"/>
      <c r="G2" s="56"/>
      <c r="H2" s="56"/>
    </row>
    <row r="3" spans="1:11" ht="27.75" customHeight="1" thickBot="1">
      <c r="A3" s="390" t="s">
        <v>445</v>
      </c>
      <c r="B3" s="383"/>
      <c r="C3" s="383"/>
      <c r="D3" s="383"/>
      <c r="E3" s="384"/>
      <c r="F3" s="385"/>
      <c r="H3" s="56"/>
    </row>
    <row r="4" spans="1:11" s="73" customFormat="1" ht="42" customHeight="1" thickBot="1">
      <c r="A4" s="546" t="s">
        <v>866</v>
      </c>
      <c r="B4" s="386"/>
      <c r="C4" s="387"/>
      <c r="D4" s="387"/>
      <c r="E4" s="388" t="s">
        <v>626</v>
      </c>
      <c r="F4" s="389" t="s">
        <v>947</v>
      </c>
      <c r="G4" s="382"/>
      <c r="H4" s="1689" t="s">
        <v>739</v>
      </c>
      <c r="I4" s="1648"/>
      <c r="J4" s="1648"/>
      <c r="K4" s="1648"/>
    </row>
    <row r="5" spans="1:11" s="237" customFormat="1" ht="23.25" customHeight="1">
      <c r="A5" s="233" t="s">
        <v>406</v>
      </c>
      <c r="B5" s="234"/>
      <c r="C5" s="235"/>
      <c r="D5" s="235"/>
      <c r="E5" s="161"/>
      <c r="F5" s="236"/>
      <c r="G5" s="137"/>
      <c r="H5" s="1690"/>
      <c r="I5" s="1624"/>
      <c r="J5" s="1624"/>
      <c r="K5" s="1624"/>
    </row>
    <row r="6" spans="1:11" s="237" customFormat="1" ht="23.25" customHeight="1">
      <c r="A6" s="233"/>
      <c r="B6" s="234"/>
      <c r="C6" s="235"/>
      <c r="D6" s="235"/>
      <c r="E6" s="161"/>
      <c r="F6" s="236"/>
      <c r="G6" s="137"/>
      <c r="H6" s="1549" t="s">
        <v>1303</v>
      </c>
      <c r="I6" s="1624"/>
      <c r="J6" s="1625"/>
      <c r="K6" s="1624"/>
    </row>
    <row r="7" spans="1:11" s="56" customFormat="1" ht="15.6">
      <c r="A7" s="90" t="s">
        <v>551</v>
      </c>
      <c r="B7" s="89"/>
      <c r="C7" s="114"/>
      <c r="D7" s="114"/>
      <c r="E7" s="162"/>
      <c r="F7" s="115"/>
      <c r="G7" s="115"/>
      <c r="H7" s="125"/>
      <c r="I7" s="113"/>
      <c r="J7" s="113"/>
      <c r="K7" s="113"/>
    </row>
    <row r="8" spans="1:11" s="56" customFormat="1" ht="15.6">
      <c r="A8" s="97"/>
      <c r="B8" s="80"/>
      <c r="C8" s="80"/>
      <c r="D8" s="80"/>
      <c r="E8" s="161"/>
      <c r="F8" s="104"/>
      <c r="G8" s="104"/>
      <c r="H8" s="113"/>
      <c r="I8" s="113"/>
      <c r="J8" s="1550"/>
      <c r="K8" s="113"/>
    </row>
    <row r="9" spans="1:11" ht="15.6">
      <c r="A9" s="46"/>
      <c r="B9" s="24" t="s">
        <v>557</v>
      </c>
      <c r="E9" s="19"/>
      <c r="F9" s="10"/>
      <c r="G9" s="5"/>
      <c r="H9" s="1384"/>
      <c r="I9" s="10"/>
      <c r="J9" s="1631"/>
      <c r="K9" s="1631"/>
    </row>
    <row r="10" spans="1:11">
      <c r="A10" s="31">
        <v>1</v>
      </c>
      <c r="B10" s="31"/>
      <c r="C10" s="62" t="s">
        <v>523</v>
      </c>
      <c r="D10" s="198"/>
      <c r="E10" s="93"/>
      <c r="F10" s="10" t="s">
        <v>420</v>
      </c>
      <c r="G10" s="32"/>
      <c r="H10" s="976">
        <v>0</v>
      </c>
      <c r="I10" s="10"/>
      <c r="J10" s="1630"/>
      <c r="K10" s="1631"/>
    </row>
    <row r="11" spans="1:11">
      <c r="A11" s="91"/>
      <c r="C11" s="9"/>
      <c r="D11" s="9"/>
      <c r="F11" s="56"/>
      <c r="H11" s="56"/>
    </row>
    <row r="12" spans="1:11">
      <c r="A12" s="31">
        <f>+A10+1</f>
        <v>2</v>
      </c>
      <c r="B12" s="31"/>
      <c r="C12" s="62" t="s">
        <v>524</v>
      </c>
      <c r="D12" s="62"/>
      <c r="E12" s="163"/>
      <c r="F12" s="62" t="s">
        <v>421</v>
      </c>
      <c r="G12" s="32"/>
      <c r="H12" s="976">
        <v>0</v>
      </c>
      <c r="I12" s="10"/>
      <c r="J12" s="1630"/>
      <c r="K12" s="1631"/>
    </row>
    <row r="13" spans="1:11">
      <c r="A13" s="31">
        <f>+A12+1</f>
        <v>3</v>
      </c>
      <c r="B13" s="31"/>
      <c r="C13" s="62" t="s">
        <v>552</v>
      </c>
      <c r="D13" s="62"/>
      <c r="F13" s="62" t="s">
        <v>422</v>
      </c>
      <c r="G13" s="32"/>
      <c r="H13" s="976">
        <v>0</v>
      </c>
      <c r="I13" s="10"/>
      <c r="J13" s="1630"/>
      <c r="K13" s="1631"/>
    </row>
    <row r="14" spans="1:11">
      <c r="A14" s="31">
        <f>+A13+1</f>
        <v>4</v>
      </c>
      <c r="B14" s="31"/>
      <c r="C14" s="48" t="s">
        <v>694</v>
      </c>
      <c r="D14" s="35"/>
      <c r="E14" s="164"/>
      <c r="F14" s="60" t="str">
        <f>"(Line "&amp;A12&amp;" - Line "&amp;A13&amp;")"</f>
        <v>(Line 2 - Line 3)</v>
      </c>
      <c r="G14" s="61"/>
      <c r="H14" s="1691">
        <f>H12-H13</f>
        <v>0</v>
      </c>
      <c r="I14" s="43"/>
      <c r="J14" s="43"/>
      <c r="K14" s="43"/>
    </row>
    <row r="15" spans="1:11">
      <c r="A15" s="31"/>
      <c r="B15" s="31"/>
      <c r="C15" s="3"/>
      <c r="D15" s="9"/>
      <c r="E15" s="19"/>
      <c r="F15" s="55"/>
      <c r="G15" s="32"/>
      <c r="H15" s="1384"/>
      <c r="I15" s="10"/>
      <c r="J15" s="43"/>
      <c r="K15" s="43"/>
    </row>
    <row r="16" spans="1:11" ht="16.2" thickBot="1">
      <c r="A16" s="31">
        <v>5</v>
      </c>
      <c r="B16" s="41" t="s">
        <v>588</v>
      </c>
      <c r="C16" s="41"/>
      <c r="D16" s="116"/>
      <c r="E16" s="165"/>
      <c r="F16" s="496" t="str">
        <f>"(Line "&amp;A10&amp;" / Line "&amp;A14&amp;"), if line "&amp;A12&amp;" = 0, then 100%"</f>
        <v>(Line 1 / Line 4), if line 2 = 0, then 100%</v>
      </c>
      <c r="G16" s="117"/>
      <c r="H16" s="106">
        <v>1</v>
      </c>
      <c r="I16" s="1649"/>
      <c r="J16" s="1649"/>
      <c r="K16" s="1649"/>
    </row>
    <row r="17" spans="1:11" ht="16.2" thickTop="1">
      <c r="A17" s="31"/>
      <c r="B17" s="31"/>
      <c r="C17" s="24"/>
      <c r="D17" s="55"/>
      <c r="E17" s="28"/>
      <c r="F17" s="55"/>
      <c r="G17" s="32"/>
      <c r="H17" s="39"/>
      <c r="I17" s="775"/>
      <c r="J17" s="1649"/>
      <c r="K17" s="1649"/>
    </row>
    <row r="18" spans="1:11" ht="15.6">
      <c r="A18" s="91"/>
      <c r="B18" s="24" t="s">
        <v>600</v>
      </c>
      <c r="D18" s="51"/>
      <c r="F18" s="56"/>
    </row>
    <row r="19" spans="1:11">
      <c r="A19" s="77">
        <f>+A16+1</f>
        <v>6</v>
      </c>
      <c r="B19" s="51"/>
      <c r="C19" s="62" t="s">
        <v>608</v>
      </c>
      <c r="E19" s="191" t="str">
        <f>"(Note "&amp;B$264&amp;")"</f>
        <v>(Note B)</v>
      </c>
      <c r="F19" s="62" t="s">
        <v>416</v>
      </c>
      <c r="H19" s="855">
        <f>'5 - Cost Support'!G66</f>
        <v>2195698538.999999</v>
      </c>
      <c r="I19" s="10"/>
      <c r="J19" s="43"/>
      <c r="K19" s="43"/>
    </row>
    <row r="20" spans="1:11">
      <c r="A20" s="77">
        <f>+A19+1</f>
        <v>7</v>
      </c>
      <c r="B20" s="51"/>
      <c r="C20" s="49" t="s">
        <v>556</v>
      </c>
      <c r="D20" s="61"/>
      <c r="E20" s="168"/>
      <c r="F20" s="60" t="str">
        <f>"(Line "&amp;A19&amp;")"</f>
        <v>(Line 6)</v>
      </c>
      <c r="G20" s="58"/>
      <c r="H20" s="1692">
        <f>SUM(H19:H19)</f>
        <v>2195698538.999999</v>
      </c>
      <c r="I20" s="43"/>
      <c r="J20" s="43"/>
      <c r="K20" s="43"/>
    </row>
    <row r="21" spans="1:11">
      <c r="A21" s="93"/>
      <c r="B21" s="51"/>
      <c r="C21" s="62"/>
      <c r="E21" s="167"/>
      <c r="F21" s="62"/>
      <c r="H21" s="855"/>
      <c r="I21" s="10"/>
      <c r="J21" s="43"/>
      <c r="K21" s="43"/>
    </row>
    <row r="22" spans="1:11">
      <c r="A22" s="77">
        <f>+A20+1</f>
        <v>8</v>
      </c>
      <c r="B22" s="51"/>
      <c r="C22" s="62" t="s">
        <v>520</v>
      </c>
      <c r="F22" s="62" t="s">
        <v>416</v>
      </c>
      <c r="H22" s="855">
        <f>'5 - Cost Support'!G131</f>
        <v>324361784.99999994</v>
      </c>
      <c r="I22" s="10"/>
      <c r="J22" s="43"/>
      <c r="K22" s="43"/>
    </row>
    <row r="23" spans="1:11">
      <c r="A23" s="77">
        <f>+A22+1</f>
        <v>9</v>
      </c>
      <c r="C23" s="49" t="s">
        <v>555</v>
      </c>
      <c r="D23" s="61"/>
      <c r="E23" s="169"/>
      <c r="F23" s="60" t="str">
        <f>"(Line "&amp;A22&amp;")"</f>
        <v>(Line 8)</v>
      </c>
      <c r="G23" s="58"/>
      <c r="H23" s="1692">
        <f>SUM(H22:H22)</f>
        <v>324361784.99999994</v>
      </c>
      <c r="I23" s="43"/>
      <c r="J23" s="43"/>
      <c r="K23" s="43"/>
    </row>
    <row r="24" spans="1:11" ht="17.25" customHeight="1">
      <c r="A24" s="91"/>
      <c r="C24" s="37"/>
      <c r="F24" s="10"/>
      <c r="H24" s="87"/>
      <c r="I24" s="636"/>
      <c r="J24" s="1650"/>
      <c r="K24" s="1650"/>
    </row>
    <row r="25" spans="1:11">
      <c r="A25" s="31">
        <f>+A23+1</f>
        <v>10</v>
      </c>
      <c r="B25" s="51"/>
      <c r="C25" s="58" t="s">
        <v>594</v>
      </c>
      <c r="D25" s="58"/>
      <c r="E25" s="169"/>
      <c r="F25" s="60" t="str">
        <f>"(Line "&amp;A20&amp;" - Line "&amp;A23&amp;")"</f>
        <v>(Line 7 - Line 9)</v>
      </c>
      <c r="G25" s="58"/>
      <c r="H25" s="1691">
        <f>H20-H23</f>
        <v>1871336753.999999</v>
      </c>
      <c r="I25" s="43"/>
      <c r="J25" s="43"/>
      <c r="K25" s="43"/>
    </row>
    <row r="26" spans="1:11">
      <c r="A26" s="91"/>
      <c r="B26" s="51"/>
      <c r="C26" s="51"/>
      <c r="D26" s="51"/>
      <c r="F26" s="56"/>
    </row>
    <row r="27" spans="1:11">
      <c r="A27" s="77">
        <f>+A25+1</f>
        <v>11</v>
      </c>
      <c r="B27" s="51"/>
      <c r="C27" s="51" t="s">
        <v>553</v>
      </c>
      <c r="D27" s="51"/>
      <c r="F27" s="110" t="str">
        <f>"(Line "&amp;A36&amp;" + Line "&amp;A44&amp;")"</f>
        <v>(Line 15 + Line 21)</v>
      </c>
      <c r="G27" s="56"/>
      <c r="H27" s="636">
        <f>+H36+H44</f>
        <v>2195698538.999999</v>
      </c>
      <c r="I27" s="636"/>
      <c r="J27" s="1650"/>
      <c r="K27" s="1650"/>
    </row>
    <row r="28" spans="1:11" ht="16.2" thickBot="1">
      <c r="A28" s="31">
        <f>+A27+1</f>
        <v>12</v>
      </c>
      <c r="B28" s="44" t="s">
        <v>511</v>
      </c>
      <c r="C28" s="44"/>
      <c r="D28" s="107"/>
      <c r="E28" s="170"/>
      <c r="F28" s="496" t="str">
        <f>"(Line "&amp;A27&amp;" / Line "&amp;A20&amp;", if Line "&amp;A20&amp;"=0, enter 100%)"</f>
        <v>(Line 11 / Line 7, if Line 7=0, enter 100%)</v>
      </c>
      <c r="G28" s="107"/>
      <c r="H28" s="106">
        <v>1</v>
      </c>
      <c r="I28" s="1649"/>
      <c r="J28" s="1649"/>
      <c r="K28" s="1649"/>
    </row>
    <row r="29" spans="1:11" ht="15.6" thickTop="1">
      <c r="A29" s="91"/>
      <c r="F29" s="56"/>
    </row>
    <row r="30" spans="1:11" s="36" customFormat="1">
      <c r="A30" s="77">
        <f>+A28+1</f>
        <v>13</v>
      </c>
      <c r="B30" s="6"/>
      <c r="C30" s="26" t="s">
        <v>554</v>
      </c>
      <c r="D30" s="27"/>
      <c r="E30" s="28"/>
      <c r="F30" s="110" t="str">
        <f>"(Line "&amp;A27&amp;" - Line "&amp;A58&amp;")"</f>
        <v>(Line 11 - Line 29)</v>
      </c>
      <c r="G30" s="27"/>
      <c r="H30" s="636">
        <f>+H27-H58</f>
        <v>1871336753.999999</v>
      </c>
      <c r="I30" s="637"/>
      <c r="J30" s="8"/>
      <c r="K30" s="8"/>
    </row>
    <row r="31" spans="1:11" ht="16.2" thickBot="1">
      <c r="A31" s="31">
        <f>+A30+1</f>
        <v>14</v>
      </c>
      <c r="B31" s="44" t="s">
        <v>595</v>
      </c>
      <c r="C31" s="44"/>
      <c r="D31" s="107"/>
      <c r="E31" s="170"/>
      <c r="F31" s="496" t="str">
        <f>"(Line "&amp;A30&amp;" / Line "&amp;A25&amp;", if line "&amp;A25&amp;"=0, enter 100%)"</f>
        <v>(Line 13 / Line 10, if line 10=0, enter 100%)</v>
      </c>
      <c r="G31" s="107"/>
      <c r="H31" s="106">
        <v>1</v>
      </c>
      <c r="I31" s="1649"/>
      <c r="J31" s="1649"/>
      <c r="K31" s="1649"/>
    </row>
    <row r="32" spans="1:11" ht="16.2" thickTop="1">
      <c r="A32" s="52"/>
      <c r="B32" s="31"/>
      <c r="C32" s="24"/>
      <c r="D32" s="55"/>
      <c r="E32" s="28"/>
      <c r="F32" s="32"/>
      <c r="G32" s="32"/>
      <c r="H32" s="39"/>
      <c r="I32" s="775"/>
      <c r="J32" s="1649"/>
      <c r="K32" s="1649"/>
    </row>
    <row r="33" spans="1:13" s="56" customFormat="1" ht="15.6">
      <c r="A33" s="90" t="s">
        <v>593</v>
      </c>
      <c r="B33" s="89"/>
      <c r="C33" s="114"/>
      <c r="D33" s="114"/>
      <c r="E33" s="162"/>
      <c r="F33" s="115"/>
      <c r="G33" s="115"/>
      <c r="H33" s="125"/>
      <c r="I33" s="113"/>
      <c r="J33" s="113"/>
      <c r="K33" s="113"/>
    </row>
    <row r="34" spans="1:13" s="56" customFormat="1" ht="15.6">
      <c r="A34" s="118"/>
      <c r="B34" s="119"/>
      <c r="C34" s="80"/>
      <c r="D34" s="80"/>
      <c r="E34" s="161"/>
      <c r="F34" s="104"/>
      <c r="G34" s="104"/>
      <c r="H34" s="113"/>
      <c r="I34" s="113"/>
      <c r="J34" s="113"/>
      <c r="K34" s="113"/>
    </row>
    <row r="35" spans="1:13" ht="15.6">
      <c r="A35" s="92"/>
      <c r="B35" s="24" t="s">
        <v>736</v>
      </c>
      <c r="E35" s="28"/>
      <c r="F35" s="10"/>
      <c r="G35" s="46"/>
      <c r="H35" s="1384"/>
      <c r="I35" s="10"/>
      <c r="J35" s="43"/>
      <c r="K35" s="43"/>
    </row>
    <row r="36" spans="1:13">
      <c r="A36" s="29">
        <f>+A31+1</f>
        <v>15</v>
      </c>
      <c r="B36" s="31"/>
      <c r="C36" s="3" t="s">
        <v>592</v>
      </c>
      <c r="D36" s="55"/>
      <c r="E36" s="191" t="str">
        <f>"(Note "&amp;B$264&amp;")"</f>
        <v>(Note B)</v>
      </c>
      <c r="F36" s="62" t="s">
        <v>416</v>
      </c>
      <c r="G36" s="32"/>
      <c r="H36" s="855">
        <f>'5 - Cost Support'!G21</f>
        <v>2077329304.999999</v>
      </c>
      <c r="I36" s="10"/>
      <c r="J36" s="43"/>
      <c r="K36" s="43"/>
    </row>
    <row r="37" spans="1:13">
      <c r="F37" s="56"/>
      <c r="H37" s="475"/>
      <c r="I37" s="475"/>
      <c r="J37" s="1651"/>
      <c r="K37" s="1651"/>
      <c r="L37" s="56"/>
    </row>
    <row r="38" spans="1:13">
      <c r="A38" s="29">
        <f>+A36+1</f>
        <v>16</v>
      </c>
      <c r="B38" s="31"/>
      <c r="C38" s="158" t="s">
        <v>251</v>
      </c>
      <c r="D38" s="99"/>
      <c r="E38" s="196" t="str">
        <f>"(Note "&amp;B$264&amp;")"</f>
        <v>(Note B)</v>
      </c>
      <c r="F38" s="497" t="s">
        <v>412</v>
      </c>
      <c r="G38" s="99"/>
      <c r="H38" s="856">
        <f>'6- Est &amp; Reconcile WS'!O143+'6- Est &amp; Reconcile WS'!P143+'6- Est &amp; Reconcile WS'!Q143+'6- Est &amp; Reconcile WS'!R143+'6- Est &amp; Reconcile WS'!S143+'6- Est &amp; Reconcile WS'!T143+'6- Est &amp; Reconcile WS'!U143+'6- Est &amp; Reconcile WS'!V143+'6- Est &amp; Reconcile WS'!O163+'6- Est &amp; Reconcile WS'!P163+'6- Est &amp; Reconcile WS'!Q163+'6- Est &amp; Reconcile WS'!R163+'6- Est &amp; Reconcile WS'!S163+'6- Est &amp; Reconcile WS'!T163+'6- Est &amp; Reconcile WS'!U163+'6- Est &amp; Reconcile WS'!V163+'6- Est &amp; Reconcile WS'!O183+'6- Est &amp; Reconcile WS'!P183+'6- Est &amp; Reconcile WS'!Q183+'6- Est &amp; Reconcile WS'!R183+'6- Est &amp; Reconcile WS'!S183+'6- Est &amp; Reconcile WS'!T183+'6- Est &amp; Reconcile WS'!U183+'6- Est &amp; Reconcile WS'!V183+'6- Est &amp; Reconcile WS'!O202+'6- Est &amp; Reconcile WS'!P202+'6- Est &amp; Reconcile WS'!Q202+'6- Est &amp; Reconcile WS'!R202+'6- Est &amp; Reconcile WS'!S202+'6- Est &amp; Reconcile WS'!T202+'6- Est &amp; Reconcile WS'!U202+'6- Est &amp; Reconcile WS'!V202</f>
        <v>1971815.4441208672</v>
      </c>
      <c r="I38" s="43"/>
      <c r="J38" s="1631"/>
      <c r="K38" s="43"/>
      <c r="L38" s="56"/>
    </row>
    <row r="39" spans="1:13" ht="15.6">
      <c r="A39" s="29">
        <f>+A38+1</f>
        <v>17</v>
      </c>
      <c r="B39" s="31"/>
      <c r="C39" s="13" t="s">
        <v>727</v>
      </c>
      <c r="E39" s="191"/>
      <c r="F39" s="43" t="str">
        <f>"(Line "&amp;A36&amp;" + Line "&amp;A38&amp;")"</f>
        <v>(Line 15 + Line 16)</v>
      </c>
      <c r="G39" s="32"/>
      <c r="H39" s="854">
        <f>H36+H38</f>
        <v>2079301120.4441199</v>
      </c>
      <c r="I39" s="854"/>
      <c r="J39" s="129"/>
      <c r="K39" s="129"/>
      <c r="L39" s="1151"/>
    </row>
    <row r="40" spans="1:13" s="56" customFormat="1">
      <c r="A40" s="29"/>
      <c r="B40" s="77"/>
      <c r="C40" s="26"/>
      <c r="D40" s="55"/>
      <c r="E40" s="93"/>
      <c r="F40" s="10"/>
      <c r="G40" s="55"/>
      <c r="H40" s="855"/>
      <c r="I40" s="10"/>
      <c r="J40" s="43"/>
      <c r="K40" s="43"/>
      <c r="M40" s="777"/>
    </row>
    <row r="41" spans="1:13">
      <c r="A41" s="29">
        <f>+A39+1</f>
        <v>18</v>
      </c>
      <c r="B41" s="31"/>
      <c r="C41" s="26" t="s">
        <v>591</v>
      </c>
      <c r="D41" s="55"/>
      <c r="E41" s="93"/>
      <c r="F41" s="1001" t="s">
        <v>416</v>
      </c>
      <c r="G41" s="32"/>
      <c r="H41" s="855">
        <f>+'5 - Cost Support'!G42+'5 - Cost Support'!G47</f>
        <v>118369234</v>
      </c>
      <c r="I41" s="855"/>
      <c r="J41" s="1631"/>
      <c r="K41" s="1631"/>
    </row>
    <row r="42" spans="1:13">
      <c r="A42" s="29">
        <f>+A41+1</f>
        <v>19</v>
      </c>
      <c r="B42" s="31"/>
      <c r="C42" s="948" t="s">
        <v>127</v>
      </c>
      <c r="D42" s="57"/>
      <c r="E42" s="179"/>
      <c r="F42" s="43" t="str">
        <f>"(Line "&amp;A41&amp;")"</f>
        <v>(Line 18)</v>
      </c>
      <c r="G42" s="61"/>
      <c r="H42" s="1691">
        <f>SUM(H41:H41)</f>
        <v>118369234</v>
      </c>
      <c r="I42" s="43"/>
      <c r="J42" s="43"/>
      <c r="K42" s="43"/>
    </row>
    <row r="43" spans="1:13" ht="15.6">
      <c r="A43" s="29">
        <f>+A42+1</f>
        <v>20</v>
      </c>
      <c r="B43" s="31"/>
      <c r="C43" s="152" t="s">
        <v>695</v>
      </c>
      <c r="D43" s="26"/>
      <c r="E43" s="28"/>
      <c r="F43" s="110" t="str">
        <f>"(Line "&amp;A$16&amp;")"</f>
        <v>(Line 5)</v>
      </c>
      <c r="G43" s="23"/>
      <c r="H43" s="1525">
        <f>H16</f>
        <v>1</v>
      </c>
      <c r="I43" s="1626"/>
      <c r="J43" s="1526"/>
      <c r="K43" s="1526"/>
    </row>
    <row r="44" spans="1:13" ht="15.6">
      <c r="A44" s="77">
        <f>+A43+1</f>
        <v>21</v>
      </c>
      <c r="B44" s="51"/>
      <c r="C44" s="40" t="s">
        <v>268</v>
      </c>
      <c r="D44" s="59"/>
      <c r="E44" s="171"/>
      <c r="F44" s="43" t="str">
        <f>"(Line "&amp;A42&amp;" * Line "&amp;A43&amp;")"</f>
        <v>(Line 19 * Line 20)</v>
      </c>
      <c r="G44" s="58"/>
      <c r="H44" s="246">
        <f>H42*H43</f>
        <v>118369234</v>
      </c>
      <c r="I44" s="129"/>
      <c r="J44" s="129"/>
      <c r="K44" s="129"/>
    </row>
    <row r="45" spans="1:13" ht="15.6">
      <c r="A45" s="98"/>
      <c r="B45" s="51"/>
      <c r="C45" s="24"/>
      <c r="D45" s="56"/>
      <c r="E45" s="93"/>
      <c r="F45" s="56"/>
      <c r="H45" s="1693"/>
      <c r="I45" s="43"/>
      <c r="J45" s="43"/>
      <c r="K45" s="43"/>
    </row>
    <row r="46" spans="1:13" s="1" customFormat="1" ht="16.2" thickBot="1">
      <c r="A46" s="77">
        <f>+A44+1</f>
        <v>22</v>
      </c>
      <c r="B46" s="44" t="s">
        <v>269</v>
      </c>
      <c r="C46" s="460"/>
      <c r="D46" s="460"/>
      <c r="E46" s="547"/>
      <c r="F46" s="498" t="str">
        <f>"(Line "&amp;A39&amp;" + Line "&amp;A44&amp;")"</f>
        <v>(Line 17 + Line 21)</v>
      </c>
      <c r="G46" s="44"/>
      <c r="H46" s="45">
        <f>H39+H44</f>
        <v>2197670354.4441199</v>
      </c>
      <c r="I46" s="209"/>
      <c r="J46" s="209"/>
      <c r="K46" s="209"/>
    </row>
    <row r="47" spans="1:13" ht="15.6" thickTop="1">
      <c r="A47" s="98"/>
      <c r="B47" s="51"/>
      <c r="C47" s="56"/>
      <c r="D47" s="56"/>
      <c r="E47" s="93"/>
      <c r="F47" s="56"/>
    </row>
    <row r="48" spans="1:13" ht="15.6">
      <c r="A48" s="29"/>
      <c r="B48" s="24" t="s">
        <v>548</v>
      </c>
      <c r="C48" s="24"/>
      <c r="D48" s="10"/>
      <c r="E48" s="28"/>
      <c r="F48" s="10"/>
      <c r="G48" s="14"/>
      <c r="H48" s="1384"/>
      <c r="I48" s="10"/>
      <c r="J48" s="43"/>
      <c r="K48" s="43"/>
    </row>
    <row r="49" spans="1:12">
      <c r="A49" s="98"/>
      <c r="B49" s="55"/>
      <c r="C49" s="55"/>
      <c r="D49" s="55"/>
      <c r="E49" s="93"/>
      <c r="F49" s="10"/>
      <c r="G49" s="5"/>
      <c r="H49" s="1384"/>
      <c r="I49" s="10"/>
      <c r="J49" s="43"/>
      <c r="K49" s="43"/>
    </row>
    <row r="50" spans="1:12">
      <c r="A50" s="29">
        <f>+A46+1</f>
        <v>23</v>
      </c>
      <c r="B50" s="31"/>
      <c r="C50" s="26" t="s">
        <v>607</v>
      </c>
      <c r="D50" s="27"/>
      <c r="E50" s="191" t="str">
        <f>"(Note "&amp;B$264&amp;")"</f>
        <v>(Note B)</v>
      </c>
      <c r="F50" s="855" t="s">
        <v>441</v>
      </c>
      <c r="G50" s="27"/>
      <c r="H50" s="855">
        <f>'5 - Cost Support'!G86</f>
        <v>294797493.99999994</v>
      </c>
      <c r="I50" s="10"/>
      <c r="J50" s="43"/>
      <c r="K50" s="43"/>
      <c r="L50" s="1151"/>
    </row>
    <row r="51" spans="1:12" s="56" customFormat="1">
      <c r="A51" s="29"/>
      <c r="B51" s="77"/>
      <c r="C51" s="55"/>
      <c r="D51" s="26"/>
      <c r="E51" s="93"/>
      <c r="F51" s="10"/>
      <c r="G51" s="55"/>
      <c r="H51" s="855"/>
      <c r="I51" s="10"/>
      <c r="J51" s="43"/>
      <c r="K51" s="43"/>
    </row>
    <row r="52" spans="1:12">
      <c r="A52" s="77">
        <f>+A50+1</f>
        <v>24</v>
      </c>
      <c r="B52" s="31"/>
      <c r="C52" s="26" t="s">
        <v>649</v>
      </c>
      <c r="D52" s="55"/>
      <c r="E52" s="93"/>
      <c r="F52" s="43" t="s">
        <v>416</v>
      </c>
      <c r="G52" s="32"/>
      <c r="H52" s="855">
        <f>+'5 - Cost Support'!G112</f>
        <v>12119855</v>
      </c>
      <c r="I52" s="10"/>
      <c r="J52" s="43"/>
      <c r="K52" s="43"/>
    </row>
    <row r="53" spans="1:12">
      <c r="A53" s="29">
        <f>+A52+1</f>
        <v>25</v>
      </c>
      <c r="B53" s="31"/>
      <c r="C53" s="153" t="s">
        <v>627</v>
      </c>
      <c r="D53" s="190"/>
      <c r="E53" s="249"/>
      <c r="F53" s="110" t="s">
        <v>416</v>
      </c>
      <c r="G53" s="99"/>
      <c r="H53" s="856">
        <f>+'5 - Cost Support'!G107</f>
        <v>17444436</v>
      </c>
      <c r="I53" s="43"/>
      <c r="J53" s="43"/>
      <c r="K53" s="43"/>
    </row>
    <row r="54" spans="1:12">
      <c r="A54" s="29">
        <f>+A53+1</f>
        <v>26</v>
      </c>
      <c r="B54" s="31"/>
      <c r="C54" s="47" t="s">
        <v>263</v>
      </c>
      <c r="D54" s="37"/>
      <c r="E54" s="548"/>
      <c r="F54" s="43" t="str">
        <f>"(Sum Lines "&amp;A52&amp;" to "&amp;A53&amp;")"</f>
        <v>(Sum Lines 24 to 25)</v>
      </c>
      <c r="G54" s="25"/>
      <c r="H54" s="1693">
        <f>SUM(H52:H53)</f>
        <v>29564291</v>
      </c>
      <c r="I54" s="43"/>
      <c r="J54" s="43"/>
      <c r="K54" s="43"/>
    </row>
    <row r="55" spans="1:12">
      <c r="A55" s="29">
        <f>+A54+1</f>
        <v>27</v>
      </c>
      <c r="B55" s="31"/>
      <c r="C55" s="47" t="str">
        <f>+C43</f>
        <v>Wage &amp; Salary Allocator</v>
      </c>
      <c r="D55" s="37"/>
      <c r="E55" s="548"/>
      <c r="F55" s="110" t="str">
        <f>"(Line "&amp;A$16&amp;")"</f>
        <v>(Line 5)</v>
      </c>
      <c r="G55" s="25"/>
      <c r="H55" s="1694">
        <f>H16</f>
        <v>1</v>
      </c>
      <c r="I55" s="1526"/>
      <c r="J55" s="1526"/>
      <c r="K55" s="1526"/>
    </row>
    <row r="56" spans="1:12" ht="15.6">
      <c r="A56" s="29">
        <f>+A55+1</f>
        <v>28</v>
      </c>
      <c r="B56" s="51"/>
      <c r="C56" s="40" t="s">
        <v>270</v>
      </c>
      <c r="D56" s="59"/>
      <c r="E56" s="179"/>
      <c r="F56" s="43" t="str">
        <f>"(Line "&amp;A54&amp;" * Line "&amp;A55&amp;")"</f>
        <v>(Line 26 * Line 27)</v>
      </c>
      <c r="G56" s="58"/>
      <c r="H56" s="246">
        <f>H54*H55</f>
        <v>29564291</v>
      </c>
      <c r="I56" s="129"/>
      <c r="J56" s="129"/>
      <c r="K56" s="129"/>
    </row>
    <row r="57" spans="1:12">
      <c r="A57" s="98"/>
      <c r="B57" s="51"/>
      <c r="C57" s="51"/>
      <c r="D57" s="51"/>
      <c r="F57" s="56"/>
    </row>
    <row r="58" spans="1:12" ht="16.2" thickBot="1">
      <c r="A58" s="77">
        <f>+A56+1</f>
        <v>29</v>
      </c>
      <c r="B58" s="460" t="s">
        <v>393</v>
      </c>
      <c r="C58" s="460"/>
      <c r="D58" s="44"/>
      <c r="E58" s="172"/>
      <c r="F58" s="498" t="str">
        <f>"(Line "&amp;A50&amp;" + Line "&amp;A56&amp;")"</f>
        <v>(Line 23 + Line 28)</v>
      </c>
      <c r="G58" s="44"/>
      <c r="H58" s="45">
        <f>H50+H56</f>
        <v>324361784.99999994</v>
      </c>
      <c r="I58" s="209"/>
      <c r="J58" s="209"/>
      <c r="K58" s="209"/>
    </row>
    <row r="59" spans="1:12" ht="15.6" thickTop="1">
      <c r="A59" s="98"/>
      <c r="B59" s="56"/>
      <c r="C59" s="56"/>
      <c r="D59" s="51"/>
      <c r="F59" s="56"/>
    </row>
    <row r="60" spans="1:12" ht="16.2" thickBot="1">
      <c r="A60" s="77">
        <f>+A58+1</f>
        <v>30</v>
      </c>
      <c r="B60" s="460" t="s">
        <v>394</v>
      </c>
      <c r="C60" s="460"/>
      <c r="D60" s="44"/>
      <c r="E60" s="172"/>
      <c r="F60" s="498" t="str">
        <f>"(Line "&amp;A46&amp;" - Line "&amp;A58&amp;")"</f>
        <v>(Line 22 - Line 29)</v>
      </c>
      <c r="G60" s="44"/>
      <c r="H60" s="45">
        <f>H46-H58</f>
        <v>1873308569.4441199</v>
      </c>
      <c r="I60" s="209"/>
      <c r="J60" s="209"/>
      <c r="K60" s="209"/>
      <c r="L60" s="1151"/>
    </row>
    <row r="61" spans="1:12" ht="15.6" thickTop="1">
      <c r="A61" s="92"/>
      <c r="B61" s="51"/>
      <c r="C61" s="51"/>
      <c r="D61" s="51"/>
      <c r="F61" s="56"/>
    </row>
    <row r="62" spans="1:12" ht="15.6">
      <c r="A62" s="90" t="s">
        <v>558</v>
      </c>
      <c r="B62" s="114"/>
      <c r="C62" s="114"/>
      <c r="D62" s="114"/>
      <c r="E62" s="162"/>
      <c r="F62" s="115"/>
      <c r="G62" s="115"/>
      <c r="H62" s="124"/>
    </row>
    <row r="63" spans="1:12" ht="15.6">
      <c r="A63" s="219"/>
      <c r="B63" s="220"/>
      <c r="C63" s="220"/>
      <c r="D63" s="220"/>
      <c r="F63" s="56"/>
    </row>
    <row r="64" spans="1:12" ht="15.6">
      <c r="A64" s="98"/>
      <c r="B64" s="353" t="s">
        <v>880</v>
      </c>
      <c r="C64" s="9"/>
      <c r="D64" s="56"/>
      <c r="E64" s="103"/>
      <c r="F64" s="392"/>
      <c r="H64" s="1384"/>
      <c r="I64" s="10"/>
      <c r="J64" s="43"/>
      <c r="K64" s="43"/>
    </row>
    <row r="65" spans="1:12" ht="15.6">
      <c r="A65" s="98">
        <f>+A60+1</f>
        <v>31</v>
      </c>
      <c r="B65" s="353"/>
      <c r="C65" s="27" t="s">
        <v>921</v>
      </c>
      <c r="D65" s="332" t="s">
        <v>438</v>
      </c>
      <c r="F65" s="497" t="s">
        <v>413</v>
      </c>
      <c r="H65" s="855">
        <f>-'ATT 1-ADIT'!J18</f>
        <v>-416208944.1500001</v>
      </c>
      <c r="I65" s="855"/>
      <c r="J65" s="1631"/>
      <c r="K65" s="1631"/>
      <c r="L65" s="1151"/>
    </row>
    <row r="66" spans="1:12" s="56" customFormat="1" ht="15.6">
      <c r="A66" s="29">
        <f>+A65+1</f>
        <v>32</v>
      </c>
      <c r="B66" s="392"/>
      <c r="C66" s="505" t="s">
        <v>271</v>
      </c>
      <c r="D66" s="59"/>
      <c r="E66" s="179"/>
      <c r="F66" s="43" t="str">
        <f>"(Line  "&amp;A65&amp;")"</f>
        <v>(Line  31)</v>
      </c>
      <c r="G66" s="59"/>
      <c r="H66" s="245">
        <f>+H65</f>
        <v>-416208944.1500001</v>
      </c>
      <c r="I66" s="431"/>
      <c r="J66" s="431"/>
      <c r="K66" s="431"/>
    </row>
    <row r="67" spans="1:12" s="56" customFormat="1" ht="15.6">
      <c r="A67" s="29"/>
      <c r="B67" s="392"/>
      <c r="C67" s="353"/>
      <c r="D67" s="104"/>
      <c r="E67" s="197"/>
      <c r="F67" s="43"/>
      <c r="G67" s="104"/>
      <c r="H67" s="431"/>
      <c r="I67" s="431"/>
      <c r="J67" s="431"/>
      <c r="K67" s="431"/>
    </row>
    <row r="68" spans="1:12" s="56" customFormat="1" ht="15.6">
      <c r="A68" s="29">
        <f>+A66+1</f>
        <v>33</v>
      </c>
      <c r="B68" s="24" t="s">
        <v>122</v>
      </c>
      <c r="D68" s="718"/>
      <c r="E68" s="191" t="str">
        <f>"(Note "&amp;B$264&amp;")"</f>
        <v>(Note B)</v>
      </c>
      <c r="F68" s="855" t="s">
        <v>262</v>
      </c>
      <c r="G68" s="55"/>
      <c r="H68" s="854">
        <f>0</f>
        <v>0</v>
      </c>
      <c r="I68" s="854"/>
      <c r="J68" s="1652"/>
      <c r="K68" s="1652"/>
      <c r="L68" s="1151"/>
    </row>
    <row r="69" spans="1:12" s="56" customFormat="1" ht="17.25" customHeight="1">
      <c r="A69" s="98"/>
      <c r="B69" s="51"/>
      <c r="C69" s="50"/>
      <c r="D69" s="104"/>
      <c r="E69" s="197"/>
      <c r="F69" s="104"/>
      <c r="G69" s="82"/>
      <c r="H69" s="1693"/>
      <c r="I69" s="43"/>
      <c r="J69" s="43"/>
      <c r="K69" s="43"/>
    </row>
    <row r="70" spans="1:12" s="56" customFormat="1" ht="17.25" customHeight="1">
      <c r="A70" s="77">
        <f>+A68+1</f>
        <v>34</v>
      </c>
      <c r="B70" s="50" t="s">
        <v>136</v>
      </c>
      <c r="D70" s="717"/>
      <c r="E70" s="191" t="str">
        <f>"(Note "&amp;B$278&amp;")"</f>
        <v>(Note C)</v>
      </c>
      <c r="F70" s="43" t="s">
        <v>416</v>
      </c>
      <c r="G70" s="64"/>
      <c r="H70" s="129">
        <f>'5 - Cost Support'!H147</f>
        <v>0</v>
      </c>
      <c r="I70" s="129"/>
      <c r="J70" s="129"/>
      <c r="K70" s="129"/>
    </row>
    <row r="71" spans="1:12" s="56" customFormat="1" ht="17.25" customHeight="1">
      <c r="A71" s="77"/>
      <c r="B71" s="31"/>
      <c r="C71" s="50"/>
      <c r="D71" s="717"/>
      <c r="E71" s="191"/>
      <c r="F71" s="43"/>
      <c r="G71" s="64"/>
      <c r="H71" s="129"/>
      <c r="I71" s="129"/>
      <c r="J71" s="129"/>
      <c r="K71" s="129"/>
    </row>
    <row r="72" spans="1:12" s="56" customFormat="1" ht="15.6">
      <c r="A72" s="29"/>
      <c r="B72" s="207" t="s">
        <v>272</v>
      </c>
      <c r="C72" s="353"/>
      <c r="D72" s="104"/>
      <c r="E72" s="197"/>
      <c r="F72" s="43"/>
      <c r="G72" s="104"/>
      <c r="H72" s="431"/>
      <c r="I72" s="431"/>
      <c r="J72" s="431"/>
      <c r="K72" s="431"/>
    </row>
    <row r="73" spans="1:12" s="56" customFormat="1" ht="15.6">
      <c r="A73" s="29">
        <f>+A70+1</f>
        <v>35</v>
      </c>
      <c r="B73" s="392"/>
      <c r="C73" s="414" t="s">
        <v>723</v>
      </c>
      <c r="D73" s="104"/>
      <c r="E73" s="197"/>
      <c r="F73" s="43" t="s">
        <v>416</v>
      </c>
      <c r="G73" s="104"/>
      <c r="H73" s="431">
        <f>'5 - Cost Support'!J162</f>
        <v>0</v>
      </c>
      <c r="I73" s="431"/>
      <c r="J73" s="431"/>
      <c r="K73" s="431"/>
      <c r="L73" s="1151"/>
    </row>
    <row r="74" spans="1:12" ht="15.6">
      <c r="A74" s="98"/>
      <c r="B74" s="392"/>
      <c r="C74" s="353"/>
      <c r="D74" s="104"/>
      <c r="E74" s="197"/>
      <c r="F74" s="62"/>
      <c r="G74" s="82"/>
      <c r="H74" s="231"/>
      <c r="I74" s="231"/>
      <c r="J74" s="231"/>
      <c r="K74" s="231"/>
    </row>
    <row r="75" spans="1:12" ht="15.6">
      <c r="A75" s="29"/>
      <c r="B75" s="507" t="s">
        <v>549</v>
      </c>
      <c r="C75" s="152"/>
      <c r="D75" s="80"/>
      <c r="E75" s="93"/>
      <c r="F75" s="526"/>
      <c r="G75" s="63"/>
    </row>
    <row r="76" spans="1:12" ht="15.6">
      <c r="A76" s="29">
        <f>+A73+1</f>
        <v>36</v>
      </c>
      <c r="B76" s="508"/>
      <c r="C76" s="207" t="s">
        <v>273</v>
      </c>
      <c r="D76" s="64"/>
      <c r="E76" s="191" t="str">
        <f>"(Note "&amp;B$263&amp;")"</f>
        <v>(Note A)</v>
      </c>
      <c r="F76" s="414" t="s">
        <v>416</v>
      </c>
      <c r="G76" s="702"/>
      <c r="H76" s="431">
        <f>'5 - Cost Support'!L213</f>
        <v>124082</v>
      </c>
      <c r="I76" s="431"/>
      <c r="J76" s="431"/>
      <c r="K76" s="431"/>
      <c r="L76" s="1151"/>
    </row>
    <row r="77" spans="1:12" ht="15.6">
      <c r="A77" s="29"/>
      <c r="B77" s="508"/>
      <c r="C77" s="207"/>
      <c r="D77" s="64"/>
      <c r="E77" s="191"/>
      <c r="F77" s="414"/>
      <c r="G77" s="146"/>
      <c r="H77" s="1381"/>
      <c r="I77" s="18"/>
      <c r="J77" s="776"/>
      <c r="K77" s="776"/>
    </row>
    <row r="78" spans="1:12" ht="15.6">
      <c r="A78" s="29"/>
      <c r="B78" s="507" t="s">
        <v>547</v>
      </c>
      <c r="C78" s="392"/>
      <c r="D78" s="56"/>
      <c r="E78" s="160"/>
      <c r="F78" s="527"/>
      <c r="G78" s="63"/>
      <c r="H78" s="65"/>
      <c r="I78" s="1628"/>
      <c r="J78" s="1653"/>
      <c r="K78" s="1653"/>
    </row>
    <row r="79" spans="1:12">
      <c r="A79" s="98">
        <f>A76+1</f>
        <v>37</v>
      </c>
      <c r="B79" s="392"/>
      <c r="C79" s="392" t="s">
        <v>675</v>
      </c>
      <c r="D79" s="55"/>
      <c r="E79" s="191" t="str">
        <f>"(Note "&amp;B$263&amp;")"</f>
        <v>(Note A)</v>
      </c>
      <c r="F79" s="414" t="s">
        <v>416</v>
      </c>
      <c r="H79" s="855">
        <f>'5 - Cost Support'!H138</f>
        <v>0</v>
      </c>
      <c r="I79" s="10"/>
      <c r="J79" s="43"/>
      <c r="K79" s="43"/>
    </row>
    <row r="80" spans="1:12" s="56" customFormat="1" ht="15.6">
      <c r="A80" s="29">
        <f>+A79+1</f>
        <v>38</v>
      </c>
      <c r="B80" s="506"/>
      <c r="C80" s="415" t="s">
        <v>695</v>
      </c>
      <c r="D80" s="94"/>
      <c r="E80" s="173"/>
      <c r="F80" s="110" t="str">
        <f>"(Line "&amp;A$16&amp;")"</f>
        <v>(Line 5)</v>
      </c>
      <c r="G80" s="96"/>
      <c r="H80" s="1628">
        <f>H16</f>
        <v>1</v>
      </c>
      <c r="I80" s="596"/>
      <c r="J80" s="1654"/>
      <c r="K80" s="1654"/>
    </row>
    <row r="81" spans="1:12" ht="15.6">
      <c r="A81" s="29">
        <f>+A80+1</f>
        <v>39</v>
      </c>
      <c r="B81" s="506"/>
      <c r="C81" s="152" t="s">
        <v>696</v>
      </c>
      <c r="D81" s="55"/>
      <c r="E81" s="93"/>
      <c r="F81" s="43" t="str">
        <f>"(Line "&amp;A79&amp;" * Line "&amp;A80&amp;")"</f>
        <v>(Line 37 * Line 38)</v>
      </c>
      <c r="G81" s="63"/>
      <c r="H81" s="69">
        <f>H79*H80</f>
        <v>0</v>
      </c>
      <c r="I81" s="231"/>
      <c r="J81" s="231"/>
      <c r="K81" s="231"/>
    </row>
    <row r="82" spans="1:12" ht="15.6">
      <c r="A82" s="29">
        <f>+A81+1</f>
        <v>40</v>
      </c>
      <c r="B82" s="506"/>
      <c r="C82" s="152" t="s">
        <v>535</v>
      </c>
      <c r="D82" s="55"/>
      <c r="E82" s="77"/>
      <c r="F82" s="415" t="s">
        <v>416</v>
      </c>
      <c r="G82" s="63"/>
      <c r="H82" s="1381">
        <f>'5 - Cost Support'!H137</f>
        <v>0</v>
      </c>
      <c r="I82" s="18"/>
      <c r="J82" s="776"/>
      <c r="K82" s="776"/>
    </row>
    <row r="83" spans="1:12" ht="18" customHeight="1">
      <c r="A83" s="29">
        <f>+A82+1</f>
        <v>41</v>
      </c>
      <c r="B83" s="506"/>
      <c r="C83" s="509" t="s">
        <v>274</v>
      </c>
      <c r="D83" s="552"/>
      <c r="E83" s="174"/>
      <c r="F83" s="43" t="str">
        <f>"(Line "&amp;A81&amp;" + Line "&amp;A82&amp;")"</f>
        <v>(Line 39 + Line 40)</v>
      </c>
      <c r="G83" s="71"/>
      <c r="H83" s="135">
        <f>H81+H82</f>
        <v>0</v>
      </c>
      <c r="I83" s="1655"/>
      <c r="J83" s="1655"/>
      <c r="K83" s="1655"/>
    </row>
    <row r="84" spans="1:12" ht="15.6">
      <c r="A84" s="29"/>
      <c r="B84" s="506"/>
      <c r="C84" s="152"/>
      <c r="D84" s="55"/>
      <c r="E84" s="31"/>
      <c r="F84" s="527"/>
      <c r="G84" s="63"/>
    </row>
    <row r="85" spans="1:12" ht="15.6">
      <c r="A85" s="29"/>
      <c r="B85" s="507" t="s">
        <v>550</v>
      </c>
      <c r="C85" s="392"/>
      <c r="D85" s="55"/>
      <c r="F85" s="146"/>
      <c r="G85" s="63"/>
    </row>
    <row r="86" spans="1:12" ht="15.6">
      <c r="A86" s="29">
        <f>+A83+1</f>
        <v>42</v>
      </c>
      <c r="B86" s="506"/>
      <c r="C86" s="152" t="s">
        <v>606</v>
      </c>
      <c r="D86" s="68"/>
      <c r="F86" s="43" t="str">
        <f>"(Line "&amp;A$133&amp;")"</f>
        <v>(Line 74)</v>
      </c>
      <c r="G86" s="63"/>
      <c r="H86" s="1381">
        <f>H133</f>
        <v>16039238</v>
      </c>
      <c r="I86" s="18"/>
      <c r="J86" s="776"/>
      <c r="K86" s="776"/>
      <c r="L86" s="1151"/>
    </row>
    <row r="87" spans="1:12">
      <c r="A87" s="29">
        <f>+A86+1</f>
        <v>43</v>
      </c>
      <c r="B87" s="506"/>
      <c r="C87" s="419" t="s">
        <v>601</v>
      </c>
      <c r="D87" s="68"/>
      <c r="F87" s="147" t="s">
        <v>697</v>
      </c>
      <c r="H87" s="1695">
        <v>0.125</v>
      </c>
      <c r="I87" s="1629"/>
      <c r="J87" s="1656"/>
      <c r="K87" s="1656"/>
    </row>
    <row r="88" spans="1:12" s="73" customFormat="1" ht="15.6">
      <c r="A88" s="29">
        <f>+A87+1</f>
        <v>44</v>
      </c>
      <c r="B88" s="510"/>
      <c r="C88" s="505" t="s">
        <v>275</v>
      </c>
      <c r="D88" s="72"/>
      <c r="E88" s="175"/>
      <c r="F88" s="43" t="str">
        <f>"(Line "&amp;A86&amp;" * Line "&amp;A87&amp;")"</f>
        <v>(Line 42 * Line 43)</v>
      </c>
      <c r="G88" s="70"/>
      <c r="H88" s="74">
        <f>H86*H87</f>
        <v>2004904.75</v>
      </c>
      <c r="I88" s="431"/>
      <c r="J88" s="431"/>
      <c r="K88" s="431"/>
      <c r="L88" s="1151"/>
    </row>
    <row r="89" spans="1:12">
      <c r="A89" s="91"/>
      <c r="B89" s="51"/>
      <c r="C89" s="51"/>
      <c r="D89" s="51"/>
      <c r="F89" s="56"/>
      <c r="H89" s="87"/>
      <c r="I89" s="636"/>
      <c r="J89" s="1650"/>
      <c r="K89" s="1650"/>
    </row>
    <row r="90" spans="1:12" ht="16.2" thickBot="1">
      <c r="A90" s="91">
        <f>+A88+1</f>
        <v>45</v>
      </c>
      <c r="B90" s="44" t="s">
        <v>693</v>
      </c>
      <c r="C90" s="44"/>
      <c r="D90" s="44"/>
      <c r="E90" s="172"/>
      <c r="F90" s="496" t="str">
        <f>"(Lines "&amp;A66&amp;" + "&amp;A68&amp;" + "&amp;A70&amp;" + "&amp;A73&amp;"+ "&amp;A76&amp;" + "&amp;A83&amp;" + "&amp;A88&amp;")"</f>
        <v>(Lines 32 + 33 + 34 + 35+ 36 + 41 + 44)</v>
      </c>
      <c r="G90" s="460"/>
      <c r="H90" s="499">
        <f>H66+H73+H76+H83+H88+H68+H70</f>
        <v>-414079957.4000001</v>
      </c>
      <c r="I90" s="209"/>
      <c r="J90" s="209"/>
      <c r="K90" s="209"/>
      <c r="L90" s="1151"/>
    </row>
    <row r="91" spans="1:12" ht="15.6" thickTop="1">
      <c r="A91" s="91"/>
      <c r="B91" s="51"/>
      <c r="C91" s="51"/>
      <c r="D91" s="51"/>
      <c r="F91" s="56"/>
      <c r="H91" s="87"/>
      <c r="I91" s="636"/>
      <c r="J91" s="1650"/>
      <c r="K91" s="1650"/>
    </row>
    <row r="92" spans="1:12" s="36" customFormat="1" ht="16.2" thickBot="1">
      <c r="A92" s="31">
        <f>+A90+1</f>
        <v>46</v>
      </c>
      <c r="B92" s="44" t="s">
        <v>596</v>
      </c>
      <c r="C92" s="44"/>
      <c r="D92" s="44"/>
      <c r="E92" s="172"/>
      <c r="F92" s="496" t="str">
        <f>"(Line "&amp;A60&amp;" + Line "&amp;A90&amp;")"</f>
        <v>(Line 30 + Line 45)</v>
      </c>
      <c r="G92" s="44"/>
      <c r="H92" s="45">
        <f>H60+H90</f>
        <v>1459228612.0441198</v>
      </c>
      <c r="I92" s="209"/>
      <c r="J92" s="209"/>
      <c r="K92" s="209"/>
      <c r="L92" s="1151"/>
    </row>
    <row r="93" spans="1:12" ht="15.6" thickTop="1">
      <c r="B93" s="51"/>
      <c r="C93" s="51"/>
      <c r="D93" s="51"/>
      <c r="F93" s="56"/>
    </row>
    <row r="94" spans="1:12" s="56" customFormat="1" ht="15.6">
      <c r="A94" s="120" t="s">
        <v>631</v>
      </c>
      <c r="B94" s="121"/>
      <c r="C94" s="515"/>
      <c r="D94" s="123"/>
      <c r="E94" s="176"/>
      <c r="F94" s="124"/>
      <c r="G94" s="124"/>
      <c r="H94" s="125"/>
      <c r="I94" s="113"/>
      <c r="J94" s="113"/>
      <c r="K94" s="113"/>
    </row>
    <row r="95" spans="1:12" s="56" customFormat="1" ht="15.6">
      <c r="A95" s="55"/>
      <c r="B95" s="55"/>
      <c r="C95" s="55"/>
      <c r="D95" s="55"/>
      <c r="E95" s="177"/>
      <c r="H95" s="113"/>
      <c r="I95" s="113"/>
      <c r="J95" s="113"/>
      <c r="K95" s="113"/>
    </row>
    <row r="96" spans="1:12" ht="15.6">
      <c r="A96" s="6"/>
      <c r="B96" s="24" t="s">
        <v>587</v>
      </c>
      <c r="D96" s="5"/>
      <c r="E96" s="19"/>
      <c r="F96" s="56"/>
      <c r="G96" s="5"/>
      <c r="H96" s="1384"/>
      <c r="I96" s="10"/>
      <c r="J96" s="43"/>
      <c r="K96" s="43"/>
    </row>
    <row r="97" spans="1:20" ht="15.6">
      <c r="A97" s="6">
        <f>+A92+1</f>
        <v>47</v>
      </c>
      <c r="B97" s="31"/>
      <c r="C97" s="26" t="s">
        <v>587</v>
      </c>
      <c r="D97" s="55"/>
      <c r="E97" s="93"/>
      <c r="F97" s="855" t="s">
        <v>198</v>
      </c>
      <c r="G97" s="46"/>
      <c r="H97" s="1990">
        <v>8238722</v>
      </c>
      <c r="I97" s="855"/>
      <c r="J97" s="1630"/>
      <c r="K97" s="1631"/>
      <c r="N97" s="82"/>
      <c r="O97" s="82"/>
      <c r="P97" s="82"/>
      <c r="Q97" s="82"/>
      <c r="R97" s="82"/>
      <c r="S97" s="82"/>
      <c r="T97" s="82"/>
    </row>
    <row r="98" spans="1:20" ht="15.6">
      <c r="A98" s="6">
        <f>+A97+1</f>
        <v>48</v>
      </c>
      <c r="B98" s="31"/>
      <c r="C98" s="26" t="str">
        <f>"     Less Account 566 Misc Trans Exp listed on line "&amp;A130&amp;" below.)"</f>
        <v xml:space="preserve">     Less Account 566 Misc Trans Exp listed on line 73 below.)</v>
      </c>
      <c r="D98" s="55"/>
      <c r="E98" s="93"/>
      <c r="F98" s="26" t="str">
        <f>"(line "&amp;A130&amp;")"</f>
        <v>(line 73)</v>
      </c>
      <c r="G98" s="46"/>
      <c r="H98" s="855">
        <f>H130</f>
        <v>1351737</v>
      </c>
      <c r="I98" s="10"/>
      <c r="J98" s="1631"/>
      <c r="K98" s="1631"/>
      <c r="N98" s="82"/>
      <c r="O98" s="82"/>
      <c r="P98" s="82"/>
      <c r="Q98" s="82"/>
      <c r="R98" s="82"/>
      <c r="S98" s="82"/>
      <c r="T98" s="82"/>
    </row>
    <row r="99" spans="1:20">
      <c r="A99" s="6">
        <f>+A98+1</f>
        <v>49</v>
      </c>
      <c r="B99" s="31"/>
      <c r="C99" s="26" t="s">
        <v>632</v>
      </c>
      <c r="D99" s="55"/>
      <c r="E99" s="93"/>
      <c r="F99" s="855" t="s">
        <v>199</v>
      </c>
      <c r="G99" s="55"/>
      <c r="H99" s="976">
        <v>0</v>
      </c>
      <c r="I99" s="10"/>
      <c r="J99" s="1630"/>
      <c r="K99" s="1631"/>
      <c r="N99" s="82"/>
      <c r="O99" s="771"/>
      <c r="P99" s="771"/>
      <c r="Q99" s="771"/>
      <c r="R99" s="82"/>
      <c r="S99" s="82"/>
      <c r="T99" s="82"/>
    </row>
    <row r="100" spans="1:20">
      <c r="A100" s="29">
        <f>A99+1</f>
        <v>50</v>
      </c>
      <c r="B100" s="77"/>
      <c r="C100" s="947" t="s">
        <v>977</v>
      </c>
      <c r="D100" s="55"/>
      <c r="E100" s="191" t="str">
        <f>"(Note "&amp;B291&amp;")"</f>
        <v>(Note M)</v>
      </c>
      <c r="F100" s="10" t="s">
        <v>920</v>
      </c>
      <c r="G100" s="55"/>
      <c r="H100" s="976">
        <v>0</v>
      </c>
      <c r="I100" s="10"/>
      <c r="J100" s="1631"/>
      <c r="K100" s="1631"/>
      <c r="N100" s="82"/>
      <c r="O100" s="771"/>
      <c r="P100" s="771"/>
      <c r="Q100" s="771"/>
      <c r="R100" s="82"/>
      <c r="S100" s="82"/>
      <c r="T100" s="82"/>
    </row>
    <row r="101" spans="1:20" ht="15.6">
      <c r="A101" s="6">
        <f>+A100+1</f>
        <v>51</v>
      </c>
      <c r="B101" s="31"/>
      <c r="C101" s="947" t="s">
        <v>124</v>
      </c>
      <c r="D101" s="10"/>
      <c r="E101" s="196"/>
      <c r="F101" s="110" t="s">
        <v>490</v>
      </c>
      <c r="G101" s="55"/>
      <c r="H101" s="1385">
        <v>0</v>
      </c>
      <c r="I101" s="43"/>
      <c r="J101" s="1630"/>
      <c r="K101" s="1631"/>
      <c r="N101" s="82"/>
      <c r="O101" s="771"/>
      <c r="P101" s="771"/>
      <c r="Q101" s="771"/>
      <c r="R101" s="82"/>
      <c r="S101" s="82"/>
      <c r="T101" s="82"/>
    </row>
    <row r="102" spans="1:20" ht="15.6">
      <c r="A102" s="29">
        <f>+A101+1</f>
        <v>52</v>
      </c>
      <c r="B102" s="55"/>
      <c r="C102" s="40" t="s">
        <v>587</v>
      </c>
      <c r="D102" s="57"/>
      <c r="E102" s="179"/>
      <c r="F102" s="43" t="str">
        <f>"(Lines "&amp;A97&amp;" - "&amp;A98&amp;" - "&amp;A99&amp;" + "&amp;A100&amp;" + "&amp;A101&amp;")"</f>
        <v>(Lines 47 - 48 - 49 + 50 + 51)</v>
      </c>
      <c r="G102" s="59"/>
      <c r="H102" s="1627">
        <f>H97-H98-H99+H100+H101</f>
        <v>6886985</v>
      </c>
      <c r="I102" s="129"/>
      <c r="J102" s="1652"/>
      <c r="K102" s="1652"/>
      <c r="N102" s="82"/>
      <c r="O102" s="771"/>
      <c r="P102" s="771"/>
      <c r="Q102" s="771"/>
      <c r="R102" s="82"/>
      <c r="S102" s="82"/>
      <c r="T102" s="82"/>
    </row>
    <row r="103" spans="1:20" ht="15.6">
      <c r="A103" s="29"/>
      <c r="B103" s="77"/>
      <c r="C103" s="24"/>
      <c r="D103" s="55"/>
      <c r="E103" s="28"/>
      <c r="F103" s="55"/>
      <c r="G103" s="55"/>
      <c r="H103" s="39"/>
      <c r="I103" s="775"/>
      <c r="J103" s="1657"/>
      <c r="K103" s="1657"/>
      <c r="N103" s="82"/>
      <c r="O103" s="771"/>
      <c r="P103" s="771"/>
      <c r="Q103" s="771"/>
      <c r="R103" s="82"/>
      <c r="S103" s="82"/>
      <c r="T103" s="82"/>
    </row>
    <row r="104" spans="1:20" ht="15.6">
      <c r="A104" s="29"/>
      <c r="B104" s="24" t="s">
        <v>125</v>
      </c>
      <c r="C104" s="55"/>
      <c r="D104" s="55"/>
      <c r="E104" s="28"/>
      <c r="F104" s="55"/>
      <c r="G104" s="55"/>
      <c r="H104" s="775"/>
      <c r="I104" s="775"/>
      <c r="J104" s="1657"/>
      <c r="K104" s="1657"/>
      <c r="N104" s="82"/>
      <c r="O104" s="771"/>
      <c r="P104" s="771"/>
      <c r="Q104" s="771"/>
      <c r="R104" s="82"/>
      <c r="S104" s="82"/>
      <c r="T104" s="82"/>
    </row>
    <row r="105" spans="1:20">
      <c r="A105" s="29">
        <f>+A102+1</f>
        <v>53</v>
      </c>
      <c r="B105" s="77"/>
      <c r="C105" s="26" t="s">
        <v>590</v>
      </c>
      <c r="D105" s="55"/>
      <c r="E105" s="191"/>
      <c r="F105" s="855" t="s">
        <v>200</v>
      </c>
      <c r="G105" s="55"/>
      <c r="H105" s="1990">
        <v>7800516</v>
      </c>
      <c r="I105" s="855"/>
      <c r="J105" s="1630"/>
      <c r="K105" s="1631"/>
      <c r="N105" s="82"/>
      <c r="O105" s="771"/>
      <c r="P105" s="771"/>
      <c r="Q105" s="771"/>
      <c r="R105" s="82"/>
      <c r="S105" s="82"/>
      <c r="T105" s="82"/>
    </row>
    <row r="106" spans="1:20">
      <c r="A106" s="29">
        <f>A105+1</f>
        <v>54</v>
      </c>
      <c r="B106" s="77"/>
      <c r="C106" s="26" t="s">
        <v>635</v>
      </c>
      <c r="D106" s="10"/>
      <c r="E106" s="98"/>
      <c r="F106" s="947" t="s">
        <v>201</v>
      </c>
      <c r="G106" s="32"/>
      <c r="H106" s="1990">
        <v>34695</v>
      </c>
      <c r="I106" s="10"/>
      <c r="J106" s="1630"/>
      <c r="K106" s="1631"/>
      <c r="N106" s="82"/>
      <c r="O106" s="771"/>
      <c r="P106" s="771"/>
      <c r="Q106" s="771"/>
      <c r="R106" s="82"/>
      <c r="S106" s="82"/>
      <c r="T106" s="82"/>
    </row>
    <row r="107" spans="1:20">
      <c r="A107" s="29">
        <f t="shared" ref="A107:A113" si="0">+A106+1</f>
        <v>55</v>
      </c>
      <c r="B107" s="77"/>
      <c r="C107" s="26" t="s">
        <v>636</v>
      </c>
      <c r="D107" s="10"/>
      <c r="E107" s="191" t="str">
        <f>"(Note "&amp;B281&amp;")"</f>
        <v>(Note E)</v>
      </c>
      <c r="F107" s="947" t="s">
        <v>202</v>
      </c>
      <c r="G107" s="32"/>
      <c r="H107" s="976">
        <v>0</v>
      </c>
      <c r="I107" s="10"/>
      <c r="J107" s="1630"/>
      <c r="K107" s="1631"/>
      <c r="N107" s="82"/>
      <c r="O107" s="771"/>
      <c r="P107" s="771"/>
      <c r="Q107" s="771"/>
      <c r="R107" s="82"/>
      <c r="S107" s="82"/>
      <c r="T107" s="82"/>
    </row>
    <row r="108" spans="1:20">
      <c r="A108" s="29">
        <f t="shared" si="0"/>
        <v>56</v>
      </c>
      <c r="B108" s="77"/>
      <c r="C108" s="26" t="s">
        <v>637</v>
      </c>
      <c r="D108" s="10"/>
      <c r="E108" s="98"/>
      <c r="F108" s="947" t="s">
        <v>203</v>
      </c>
      <c r="G108" s="32"/>
      <c r="H108" s="976">
        <v>0</v>
      </c>
      <c r="I108" s="10"/>
      <c r="J108" s="1630"/>
      <c r="K108" s="1631"/>
      <c r="N108" s="82"/>
      <c r="O108" s="771"/>
      <c r="P108" s="771"/>
      <c r="Q108" s="771"/>
      <c r="R108" s="82"/>
      <c r="S108" s="82"/>
      <c r="T108" s="82"/>
    </row>
    <row r="109" spans="1:20">
      <c r="A109" s="29">
        <f>+A108+1</f>
        <v>57</v>
      </c>
      <c r="B109" s="77"/>
      <c r="C109" s="26" t="s">
        <v>43</v>
      </c>
      <c r="D109" s="51"/>
      <c r="E109" s="191"/>
      <c r="F109" s="43" t="s">
        <v>416</v>
      </c>
      <c r="G109" s="55"/>
      <c r="H109" s="855">
        <f>'5 - Cost Support'!E325*-1</f>
        <v>0</v>
      </c>
      <c r="I109" s="855"/>
      <c r="J109" s="1631"/>
      <c r="K109" s="1631"/>
      <c r="N109" s="82"/>
      <c r="O109" s="771"/>
      <c r="P109" s="771"/>
      <c r="Q109" s="771"/>
      <c r="R109" s="82"/>
      <c r="S109" s="82"/>
      <c r="T109" s="82"/>
    </row>
    <row r="110" spans="1:20">
      <c r="A110" s="29">
        <f>+A109+1</f>
        <v>58</v>
      </c>
      <c r="B110" s="77"/>
      <c r="C110" s="26" t="s">
        <v>622</v>
      </c>
      <c r="D110" s="51"/>
      <c r="E110" s="191" t="str">
        <f>"(Note "&amp;B280&amp;")"</f>
        <v>(Note D)</v>
      </c>
      <c r="F110" s="110" t="s">
        <v>937</v>
      </c>
      <c r="G110" s="55"/>
      <c r="H110" s="976">
        <v>0</v>
      </c>
      <c r="I110" s="10"/>
      <c r="J110" s="1630"/>
      <c r="K110" s="1631"/>
      <c r="N110" s="82"/>
      <c r="O110" s="771"/>
      <c r="P110" s="771"/>
      <c r="Q110" s="771"/>
      <c r="R110" s="82"/>
      <c r="S110" s="82"/>
      <c r="T110" s="82"/>
    </row>
    <row r="111" spans="1:20" ht="15.6">
      <c r="A111" s="29">
        <f t="shared" si="0"/>
        <v>59</v>
      </c>
      <c r="B111" s="77"/>
      <c r="C111" s="40" t="s">
        <v>125</v>
      </c>
      <c r="D111" s="57"/>
      <c r="E111" s="171"/>
      <c r="F111" s="43" t="str">
        <f>"(Line "&amp;A105&amp;") -  Sum (Lines "&amp;A106&amp;" to "&amp;A110&amp;")"</f>
        <v>(Line 53) -  Sum (Lines 54 to 58)</v>
      </c>
      <c r="G111" s="61"/>
      <c r="H111" s="1691">
        <f>H105-SUM(H106:H110)</f>
        <v>7765821</v>
      </c>
      <c r="I111" s="43"/>
      <c r="J111" s="43"/>
      <c r="K111" s="43"/>
      <c r="N111" s="82"/>
      <c r="O111" s="771"/>
      <c r="P111" s="771"/>
      <c r="Q111" s="771"/>
      <c r="R111" s="82"/>
      <c r="S111" s="82"/>
      <c r="T111" s="82"/>
    </row>
    <row r="112" spans="1:20" ht="15.6">
      <c r="A112" s="29">
        <f t="shared" si="0"/>
        <v>60</v>
      </c>
      <c r="B112" s="77"/>
      <c r="C112" s="415" t="s">
        <v>695</v>
      </c>
      <c r="D112" s="67"/>
      <c r="F112" s="190" t="str">
        <f>"(Line "&amp;A$16&amp;")"</f>
        <v>(Line 5)</v>
      </c>
      <c r="G112" s="63"/>
      <c r="H112" s="65">
        <f>H16</f>
        <v>1</v>
      </c>
      <c r="I112" s="1628"/>
      <c r="J112" s="1653"/>
      <c r="K112" s="1653"/>
      <c r="N112" s="82"/>
      <c r="O112" s="771"/>
      <c r="P112" s="771"/>
      <c r="Q112" s="771"/>
      <c r="R112" s="82"/>
      <c r="S112" s="82"/>
      <c r="T112" s="82"/>
    </row>
    <row r="113" spans="1:20" ht="15.6">
      <c r="A113" s="29">
        <f t="shared" si="0"/>
        <v>61</v>
      </c>
      <c r="B113" s="77"/>
      <c r="C113" s="40" t="s">
        <v>126</v>
      </c>
      <c r="D113" s="57"/>
      <c r="E113" s="164"/>
      <c r="F113" s="43" t="str">
        <f>"(Line "&amp;A111&amp;" * Line "&amp;A112&amp;")"</f>
        <v>(Line 59 * Line 60)</v>
      </c>
      <c r="G113" s="61"/>
      <c r="H113" s="246">
        <f>H111*H112</f>
        <v>7765821</v>
      </c>
      <c r="I113" s="129"/>
      <c r="J113" s="129"/>
      <c r="K113" s="129"/>
      <c r="N113" s="82"/>
      <c r="O113" s="772"/>
      <c r="P113" s="82"/>
      <c r="Q113" s="82"/>
      <c r="R113" s="82"/>
      <c r="S113" s="82"/>
      <c r="T113" s="82"/>
    </row>
    <row r="114" spans="1:20" ht="15.6">
      <c r="A114" s="29"/>
      <c r="B114" s="77"/>
      <c r="C114" s="50"/>
      <c r="D114" s="80"/>
      <c r="E114" s="20"/>
      <c r="F114" s="64"/>
      <c r="G114" s="64"/>
      <c r="H114" s="1693"/>
      <c r="I114" s="43"/>
      <c r="J114" s="43"/>
      <c r="K114" s="43"/>
      <c r="N114" s="82"/>
      <c r="O114" s="771"/>
      <c r="P114" s="82"/>
      <c r="Q114" s="771"/>
      <c r="R114" s="82"/>
      <c r="S114" s="771"/>
      <c r="T114" s="82"/>
    </row>
    <row r="115" spans="1:20" ht="15.6">
      <c r="A115" s="29"/>
      <c r="B115" s="24" t="s">
        <v>536</v>
      </c>
      <c r="C115" s="56"/>
      <c r="D115" s="80"/>
      <c r="E115" s="20"/>
      <c r="F115" s="64"/>
      <c r="G115" s="64"/>
      <c r="H115" s="1693"/>
      <c r="I115" s="43"/>
      <c r="J115" s="43"/>
      <c r="K115" s="43"/>
      <c r="N115" s="82"/>
      <c r="O115" s="82"/>
      <c r="P115" s="82"/>
      <c r="Q115" s="82"/>
      <c r="R115" s="82"/>
      <c r="S115" s="771"/>
      <c r="T115" s="82"/>
    </row>
    <row r="116" spans="1:20">
      <c r="A116" s="29">
        <f>+A113+1</f>
        <v>62</v>
      </c>
      <c r="B116" s="53"/>
      <c r="C116" s="54" t="s">
        <v>638</v>
      </c>
      <c r="D116" s="166"/>
      <c r="E116" s="191" t="str">
        <f>"(Note "&amp;B283&amp;")"</f>
        <v>(Note G)</v>
      </c>
      <c r="F116" s="10" t="s">
        <v>416</v>
      </c>
      <c r="G116" s="56"/>
      <c r="H116" s="1381">
        <f>'5 - Cost Support'!H173</f>
        <v>0</v>
      </c>
      <c r="I116" s="18"/>
      <c r="J116" s="776"/>
      <c r="K116" s="776"/>
      <c r="L116" s="56"/>
      <c r="M116" s="56"/>
      <c r="N116" s="82"/>
      <c r="O116" s="82"/>
      <c r="P116" s="82"/>
      <c r="Q116" s="773"/>
      <c r="R116" s="82"/>
      <c r="S116" s="773"/>
      <c r="T116" s="82"/>
    </row>
    <row r="117" spans="1:20">
      <c r="A117" s="6">
        <f>+A116+1</f>
        <v>63</v>
      </c>
      <c r="B117" s="53"/>
      <c r="C117" s="147" t="s">
        <v>639</v>
      </c>
      <c r="D117" s="195"/>
      <c r="E117" s="196" t="str">
        <f>"(Note "&amp;B$288&amp;")"</f>
        <v>(Note J)</v>
      </c>
      <c r="F117" s="110" t="s">
        <v>416</v>
      </c>
      <c r="G117" s="553"/>
      <c r="H117" s="1382">
        <f>+'5 - Cost Support'!H189</f>
        <v>0</v>
      </c>
      <c r="I117" s="776"/>
      <c r="J117" s="776"/>
      <c r="K117" s="776"/>
      <c r="L117" s="56"/>
      <c r="M117" s="56"/>
      <c r="N117" s="82"/>
      <c r="O117" s="82"/>
      <c r="P117" s="82"/>
      <c r="Q117" s="773"/>
      <c r="R117" s="82"/>
      <c r="S117" s="82"/>
      <c r="T117" s="82"/>
    </row>
    <row r="118" spans="1:20" ht="15.6">
      <c r="A118" s="6">
        <f>+A117+1</f>
        <v>64</v>
      </c>
      <c r="B118" s="53"/>
      <c r="C118" s="54" t="s">
        <v>698</v>
      </c>
      <c r="D118" s="55"/>
      <c r="E118" s="160"/>
      <c r="F118" s="43" t="str">
        <f>"(Line "&amp;A116&amp;" + Line "&amp;A117&amp;")"</f>
        <v>(Line 62 + Line 63)</v>
      </c>
      <c r="G118" s="56"/>
      <c r="H118" s="521">
        <f>SUM(H116:H117)</f>
        <v>0</v>
      </c>
      <c r="I118" s="521"/>
      <c r="J118" s="431"/>
      <c r="K118" s="431"/>
      <c r="N118" s="82"/>
      <c r="O118" s="82"/>
      <c r="P118" s="82"/>
      <c r="Q118" s="774"/>
      <c r="R118" s="82"/>
      <c r="S118" s="82"/>
      <c r="T118" s="82"/>
    </row>
    <row r="119" spans="1:20" ht="15.6">
      <c r="A119" s="29"/>
      <c r="B119" s="53"/>
      <c r="C119" s="54"/>
      <c r="D119" s="55"/>
      <c r="E119" s="160"/>
      <c r="F119" s="54"/>
      <c r="G119" s="56"/>
      <c r="H119" s="1696"/>
      <c r="I119" s="146"/>
      <c r="J119" s="702"/>
      <c r="K119" s="702"/>
      <c r="N119" s="82"/>
      <c r="O119" s="82"/>
      <c r="P119" s="82"/>
      <c r="Q119" s="82"/>
      <c r="R119" s="82"/>
      <c r="S119" s="82"/>
      <c r="T119" s="82"/>
    </row>
    <row r="120" spans="1:20">
      <c r="A120" s="31">
        <f>+A118+1</f>
        <v>65</v>
      </c>
      <c r="B120" s="53"/>
      <c r="C120" s="54" t="s">
        <v>640</v>
      </c>
      <c r="D120" s="55"/>
      <c r="F120" s="54" t="s">
        <v>201</v>
      </c>
      <c r="G120" s="56"/>
      <c r="H120" s="1386">
        <v>34695</v>
      </c>
      <c r="I120" s="18"/>
      <c r="J120" s="1915"/>
      <c r="K120" s="231"/>
      <c r="N120" s="82"/>
      <c r="O120" s="771"/>
      <c r="P120" s="82"/>
      <c r="Q120" s="82"/>
      <c r="R120" s="82"/>
      <c r="S120" s="82"/>
      <c r="T120" s="82"/>
    </row>
    <row r="121" spans="1:20">
      <c r="A121" s="6">
        <f>+A120+1</f>
        <v>66</v>
      </c>
      <c r="B121" s="53"/>
      <c r="C121" s="54" t="s">
        <v>639</v>
      </c>
      <c r="D121" s="55"/>
      <c r="E121" s="191" t="str">
        <f>"(Note "&amp;B282&amp;")"</f>
        <v>(Note F)</v>
      </c>
      <c r="F121" s="110" t="s">
        <v>416</v>
      </c>
      <c r="G121" s="56"/>
      <c r="H121" s="1382">
        <f>+'5 - Cost Support'!H178</f>
        <v>0</v>
      </c>
      <c r="I121" s="776"/>
      <c r="J121" s="776"/>
      <c r="K121" s="776"/>
      <c r="N121" s="82"/>
      <c r="O121" s="771"/>
      <c r="P121" s="82"/>
      <c r="Q121" s="82"/>
      <c r="R121" s="82"/>
      <c r="S121" s="82"/>
      <c r="T121" s="82"/>
    </row>
    <row r="122" spans="1:20">
      <c r="A122" s="29">
        <f>+A121+1</f>
        <v>67</v>
      </c>
      <c r="B122" s="53"/>
      <c r="C122" s="554" t="s">
        <v>699</v>
      </c>
      <c r="D122" s="57"/>
      <c r="E122" s="169"/>
      <c r="F122" s="43" t="str">
        <f>"(Line "&amp;A120&amp;" + Line "&amp;A121&amp;")"</f>
        <v>(Line 65 + Line 66)</v>
      </c>
      <c r="G122" s="59"/>
      <c r="H122" s="231">
        <f>SUM(H120:H121)</f>
        <v>34695</v>
      </c>
      <c r="I122" s="776"/>
      <c r="J122" s="776"/>
      <c r="K122" s="776"/>
      <c r="N122" s="82"/>
      <c r="O122" s="773"/>
      <c r="P122" s="82"/>
      <c r="Q122" s="82"/>
      <c r="R122" s="82"/>
      <c r="S122" s="82"/>
      <c r="T122" s="82"/>
    </row>
    <row r="123" spans="1:20" ht="15.6">
      <c r="A123" s="6">
        <f>+A122+1</f>
        <v>68</v>
      </c>
      <c r="B123" s="77"/>
      <c r="C123" s="414" t="s">
        <v>595</v>
      </c>
      <c r="D123" s="67"/>
      <c r="E123" s="31"/>
      <c r="F123" s="110" t="str">
        <f>"(Line "&amp;A$31&amp;")"</f>
        <v>(Line 14)</v>
      </c>
      <c r="G123" s="63"/>
      <c r="H123" s="65">
        <f>H31</f>
        <v>1</v>
      </c>
      <c r="I123" s="1628"/>
      <c r="J123" s="1653"/>
      <c r="K123" s="1653"/>
      <c r="N123" s="82"/>
      <c r="O123" s="82"/>
      <c r="P123" s="82"/>
      <c r="Q123" s="82"/>
      <c r="R123" s="82"/>
      <c r="S123" s="82"/>
      <c r="T123" s="82"/>
    </row>
    <row r="124" spans="1:20" ht="15.6">
      <c r="A124" s="29">
        <f>+A123+1</f>
        <v>69</v>
      </c>
      <c r="B124" s="77"/>
      <c r="C124" s="40" t="s">
        <v>538</v>
      </c>
      <c r="D124" s="57"/>
      <c r="E124" s="164"/>
      <c r="F124" s="43" t="str">
        <f>"(Line "&amp;A122&amp;" * Line "&amp;A123&amp;")"</f>
        <v>(Line 67 * Line 68)</v>
      </c>
      <c r="G124" s="61"/>
      <c r="H124" s="245">
        <f>H122*H123</f>
        <v>34695</v>
      </c>
      <c r="I124" s="431"/>
      <c r="J124" s="431"/>
      <c r="K124" s="431"/>
      <c r="N124" s="82"/>
      <c r="O124" s="82"/>
      <c r="P124" s="82"/>
      <c r="Q124" s="82"/>
      <c r="R124" s="82"/>
      <c r="S124" s="82"/>
      <c r="T124" s="82"/>
    </row>
    <row r="125" spans="1:20" ht="15.6">
      <c r="A125" s="29"/>
      <c r="B125" s="77"/>
      <c r="C125" s="50"/>
      <c r="D125" s="80"/>
      <c r="E125" s="20"/>
      <c r="F125" s="43"/>
      <c r="G125" s="64"/>
      <c r="H125" s="431"/>
      <c r="I125" s="431"/>
      <c r="J125" s="431"/>
      <c r="K125" s="431"/>
      <c r="N125" s="82"/>
      <c r="O125" s="82"/>
      <c r="P125" s="82"/>
      <c r="Q125" s="82"/>
      <c r="R125" s="82"/>
      <c r="S125" s="82"/>
      <c r="T125" s="82"/>
    </row>
    <row r="126" spans="1:20" ht="15.6">
      <c r="A126" s="29"/>
      <c r="B126" s="77"/>
      <c r="C126" s="50" t="s">
        <v>240</v>
      </c>
      <c r="D126" s="80"/>
      <c r="E126" s="548"/>
      <c r="F126" s="43"/>
      <c r="G126" s="80"/>
      <c r="H126" s="431"/>
      <c r="I126" s="431"/>
      <c r="J126" s="431"/>
      <c r="K126" s="431"/>
    </row>
    <row r="127" spans="1:20" ht="15.6">
      <c r="A127" s="29">
        <f>A124+1</f>
        <v>70</v>
      </c>
      <c r="B127" s="77"/>
      <c r="C127" s="152" t="s">
        <v>737</v>
      </c>
      <c r="D127" s="27"/>
      <c r="E127" s="77" t="s">
        <v>241</v>
      </c>
      <c r="F127" s="43" t="s">
        <v>416</v>
      </c>
      <c r="G127" s="146"/>
      <c r="H127" s="1697">
        <f>+'5 - Cost Support'!G219</f>
        <v>0</v>
      </c>
      <c r="I127" s="1017"/>
      <c r="J127" s="1658"/>
      <c r="K127" s="1658"/>
    </row>
    <row r="128" spans="1:20">
      <c r="A128" s="29">
        <f>+A127+1</f>
        <v>71</v>
      </c>
      <c r="B128" s="77"/>
      <c r="C128" s="47" t="s">
        <v>792</v>
      </c>
      <c r="D128" s="80"/>
      <c r="E128" s="548" t="s">
        <v>241</v>
      </c>
      <c r="F128" s="43" t="s">
        <v>416</v>
      </c>
      <c r="G128" s="80"/>
      <c r="H128" s="231">
        <f>'5 - Cost Support'!G220</f>
        <v>0</v>
      </c>
      <c r="I128" s="776"/>
      <c r="J128" s="776"/>
      <c r="K128" s="776"/>
    </row>
    <row r="129" spans="1:13">
      <c r="A129" s="29">
        <f>+A128+1</f>
        <v>72</v>
      </c>
      <c r="B129" s="77"/>
      <c r="C129" s="153" t="s">
        <v>242</v>
      </c>
      <c r="D129" s="190"/>
      <c r="E129" s="555" t="s">
        <v>241</v>
      </c>
      <c r="F129" s="110" t="s">
        <v>416</v>
      </c>
      <c r="G129" s="190"/>
      <c r="H129" s="1382">
        <f>'5 - Cost Support'!G221</f>
        <v>1351737</v>
      </c>
      <c r="I129" s="776"/>
      <c r="J129" s="776"/>
      <c r="K129" s="776"/>
    </row>
    <row r="130" spans="1:13" ht="15.6">
      <c r="A130" s="29">
        <f>+A129+1</f>
        <v>73</v>
      </c>
      <c r="B130" s="77"/>
      <c r="C130" s="56" t="s">
        <v>243</v>
      </c>
      <c r="D130" s="56"/>
      <c r="E130" s="56"/>
      <c r="F130" s="56" t="str">
        <f>"Sum (Lines "&amp;A127&amp;" to "&amp;A129&amp;")"</f>
        <v>Sum (Lines 70 to 72)</v>
      </c>
      <c r="G130" s="56"/>
      <c r="H130" s="1026">
        <f>SUM(H127:H129)</f>
        <v>1351737</v>
      </c>
      <c r="I130" s="1026"/>
      <c r="J130" s="209"/>
      <c r="K130" s="209"/>
    </row>
    <row r="131" spans="1:13" ht="15.6">
      <c r="A131" s="29"/>
      <c r="B131" s="77"/>
      <c r="C131" s="50"/>
      <c r="D131" s="80"/>
      <c r="E131" s="20"/>
      <c r="F131" s="25"/>
      <c r="G131" s="64"/>
      <c r="H131" s="431"/>
      <c r="I131" s="431"/>
      <c r="J131" s="431"/>
      <c r="K131" s="431"/>
    </row>
    <row r="132" spans="1:13" ht="15.6">
      <c r="A132" s="6"/>
      <c r="B132" s="31"/>
      <c r="C132" s="24"/>
      <c r="D132" s="55"/>
      <c r="E132" s="19"/>
      <c r="F132" s="32"/>
      <c r="G132" s="32"/>
      <c r="H132" s="1693"/>
      <c r="I132" s="43"/>
      <c r="J132" s="43"/>
      <c r="K132" s="43"/>
    </row>
    <row r="133" spans="1:13" ht="16.2" thickBot="1">
      <c r="A133" s="31">
        <f>+A130+1</f>
        <v>74</v>
      </c>
      <c r="B133" s="31"/>
      <c r="C133" s="41" t="s">
        <v>589</v>
      </c>
      <c r="D133" s="116"/>
      <c r="E133" s="180"/>
      <c r="F133" s="42" t="str">
        <f>"(Lines "&amp;A102&amp;" + "&amp;A113&amp;" + "&amp;A118&amp;" + "&amp;A124&amp;" + "&amp;A130&amp;")"</f>
        <v>(Lines 52 + 61 + 64 + 69 + 73)</v>
      </c>
      <c r="G133" s="117"/>
      <c r="H133" s="42">
        <f>H102+H113+H118+H124+H130</f>
        <v>16039238</v>
      </c>
      <c r="I133" s="129"/>
      <c r="J133" s="129"/>
      <c r="K133" s="129"/>
      <c r="L133" s="1156"/>
      <c r="M133" s="87"/>
    </row>
    <row r="134" spans="1:13" ht="16.2" thickTop="1">
      <c r="A134" s="52"/>
      <c r="B134" s="31"/>
      <c r="C134" s="24"/>
      <c r="D134" s="55"/>
      <c r="E134" s="19"/>
      <c r="F134" s="32"/>
      <c r="G134" s="32"/>
      <c r="H134" s="39"/>
      <c r="I134" s="775"/>
      <c r="J134" s="1649"/>
      <c r="K134" s="1649"/>
    </row>
    <row r="135" spans="1:13" ht="15.6">
      <c r="A135" s="120" t="s">
        <v>583</v>
      </c>
      <c r="B135" s="121"/>
      <c r="C135" s="515"/>
      <c r="D135" s="123"/>
      <c r="E135" s="176"/>
      <c r="F135" s="124"/>
      <c r="G135" s="124"/>
      <c r="H135" s="125"/>
      <c r="I135" s="113"/>
      <c r="J135" s="113"/>
      <c r="K135" s="113"/>
    </row>
    <row r="136" spans="1:13" ht="15.6">
      <c r="A136" s="24"/>
      <c r="B136" s="6"/>
      <c r="C136" s="24"/>
      <c r="D136" s="27"/>
      <c r="E136" s="19"/>
      <c r="F136" s="32"/>
      <c r="G136" s="32"/>
      <c r="H136" s="39"/>
      <c r="I136" s="775"/>
      <c r="J136" s="1649"/>
      <c r="K136" s="1649"/>
    </row>
    <row r="137" spans="1:13" ht="15.6">
      <c r="A137" s="92"/>
      <c r="B137" s="101" t="s">
        <v>519</v>
      </c>
      <c r="C137" s="36"/>
      <c r="D137" s="9"/>
      <c r="F137" s="103"/>
      <c r="G137" s="75"/>
      <c r="H137" s="65"/>
      <c r="I137" s="1632"/>
      <c r="J137" s="1659"/>
      <c r="K137" s="1659"/>
    </row>
    <row r="138" spans="1:13">
      <c r="A138" s="6">
        <f>+A133+1</f>
        <v>75</v>
      </c>
      <c r="B138" s="511"/>
      <c r="C138" s="152" t="s">
        <v>522</v>
      </c>
      <c r="D138" s="9"/>
      <c r="E138" s="31"/>
      <c r="F138" s="152" t="s">
        <v>416</v>
      </c>
      <c r="H138" s="1381">
        <f>'5 - Cost Support'!D274</f>
        <v>44096293.999999993</v>
      </c>
      <c r="I138" s="18"/>
      <c r="J138" s="231"/>
      <c r="K138" s="231"/>
    </row>
    <row r="139" spans="1:13">
      <c r="A139" s="6"/>
      <c r="B139" s="511"/>
      <c r="C139" s="152"/>
      <c r="D139" s="9"/>
      <c r="E139" s="31"/>
      <c r="F139" s="152"/>
      <c r="H139" s="1381"/>
      <c r="I139" s="18"/>
      <c r="J139" s="231"/>
      <c r="K139" s="231"/>
    </row>
    <row r="140" spans="1:13">
      <c r="A140" s="6">
        <f>+A138+1</f>
        <v>76</v>
      </c>
      <c r="B140" s="511"/>
      <c r="C140" s="414" t="s">
        <v>602</v>
      </c>
      <c r="D140" s="37"/>
      <c r="E140" s="78"/>
      <c r="F140" s="1002" t="s">
        <v>416</v>
      </c>
      <c r="H140" s="1381">
        <f>'5 - Cost Support'!D303</f>
        <v>2345101.27</v>
      </c>
      <c r="I140" s="18"/>
      <c r="J140" s="231"/>
      <c r="K140" s="231"/>
    </row>
    <row r="141" spans="1:13">
      <c r="A141" s="6">
        <f>+A140+1</f>
        <v>77</v>
      </c>
      <c r="B141" s="511"/>
      <c r="C141" s="415" t="s">
        <v>560</v>
      </c>
      <c r="D141" s="232"/>
      <c r="E141" s="196" t="str">
        <f>"(Note "&amp;B$263&amp;")"</f>
        <v>(Note A)</v>
      </c>
      <c r="F141" s="147" t="s">
        <v>416</v>
      </c>
      <c r="H141" s="1382">
        <f>'5 - Cost Support'!D309</f>
        <v>3177865.7199999997</v>
      </c>
      <c r="I141" s="776"/>
      <c r="J141" s="231"/>
      <c r="K141" s="231"/>
    </row>
    <row r="142" spans="1:13">
      <c r="A142" s="6">
        <f>+A141+1</f>
        <v>78</v>
      </c>
      <c r="B142" s="511"/>
      <c r="C142" s="414" t="s">
        <v>603</v>
      </c>
      <c r="D142" s="38"/>
      <c r="E142" s="78"/>
      <c r="F142" s="43" t="str">
        <f>"(Line "&amp;A140&amp;" + Line "&amp;A141&amp;")"</f>
        <v>(Line 76 + Line 77)</v>
      </c>
      <c r="H142" s="1381">
        <f>SUM(H140:H141)</f>
        <v>5522966.9900000002</v>
      </c>
      <c r="I142" s="18"/>
      <c r="J142" s="231"/>
      <c r="K142" s="231"/>
    </row>
    <row r="143" spans="1:13" ht="15.6">
      <c r="A143" s="6">
        <f>+A142+1</f>
        <v>79</v>
      </c>
      <c r="B143" s="511"/>
      <c r="C143" s="415" t="s">
        <v>695</v>
      </c>
      <c r="D143" s="497"/>
      <c r="E143" s="181"/>
      <c r="F143" s="190" t="str">
        <f>"(Line "&amp;A$16&amp;")"</f>
        <v>(Line 5)</v>
      </c>
      <c r="G143" s="96"/>
      <c r="H143" s="1383">
        <f>H16</f>
        <v>1</v>
      </c>
      <c r="I143" s="1654"/>
      <c r="J143" s="1653"/>
      <c r="K143" s="1653"/>
    </row>
    <row r="144" spans="1:13" ht="15.6">
      <c r="A144" s="6">
        <f>+A143+1</f>
        <v>80</v>
      </c>
      <c r="B144" s="511"/>
      <c r="C144" s="507" t="s">
        <v>130</v>
      </c>
      <c r="D144" s="9"/>
      <c r="E144" s="31"/>
      <c r="F144" s="43" t="str">
        <f>"(Line "&amp;A142&amp;" * Line "&amp;A143&amp;")"</f>
        <v>(Line 78 * Line 79)</v>
      </c>
      <c r="G144" s="63"/>
      <c r="H144" s="483">
        <f>H142*H143</f>
        <v>5522966.9900000002</v>
      </c>
      <c r="I144" s="431"/>
      <c r="J144" s="1633"/>
      <c r="K144" s="1633"/>
    </row>
    <row r="145" spans="1:17" ht="15.6">
      <c r="A145" s="102"/>
      <c r="B145" s="34"/>
      <c r="C145" s="152"/>
      <c r="D145" s="27"/>
      <c r="E145" s="77"/>
      <c r="F145" s="54"/>
      <c r="G145" s="63"/>
      <c r="H145" s="65"/>
      <c r="I145" s="596"/>
      <c r="J145" s="1653"/>
      <c r="K145" s="1653"/>
    </row>
    <row r="146" spans="1:17" s="73" customFormat="1" ht="16.2" thickBot="1">
      <c r="A146" s="6">
        <f>+A144+1</f>
        <v>81</v>
      </c>
      <c r="B146" s="512" t="s">
        <v>584</v>
      </c>
      <c r="C146" s="512"/>
      <c r="D146" s="105"/>
      <c r="E146" s="182"/>
      <c r="F146" s="498" t="str">
        <f>"(Lines "&amp;A138&amp;" + "&amp;A144&amp;")"</f>
        <v>(Lines 75 + 80)</v>
      </c>
      <c r="G146" s="100"/>
      <c r="H146" s="1698">
        <f>H138+H144</f>
        <v>49619260.989999995</v>
      </c>
      <c r="I146" s="431"/>
      <c r="J146" s="1633"/>
      <c r="K146" s="1633"/>
    </row>
    <row r="147" spans="1:17" ht="15.6" thickTop="1">
      <c r="A147" s="228"/>
      <c r="B147" s="9"/>
      <c r="C147" s="9"/>
      <c r="D147" s="9"/>
      <c r="F147" s="56"/>
    </row>
    <row r="148" spans="1:17" ht="15.6">
      <c r="A148" s="513" t="s">
        <v>402</v>
      </c>
      <c r="B148" s="514"/>
      <c r="C148" s="515"/>
      <c r="D148" s="516"/>
      <c r="E148" s="322"/>
      <c r="F148" s="124"/>
      <c r="G148" s="124"/>
      <c r="H148" s="125"/>
      <c r="I148" s="113"/>
      <c r="J148" s="113"/>
      <c r="K148" s="113"/>
    </row>
    <row r="149" spans="1:17" ht="15.6">
      <c r="A149" s="219"/>
      <c r="B149" s="6"/>
      <c r="C149" s="24"/>
      <c r="D149" s="27"/>
      <c r="E149" s="19"/>
      <c r="F149" s="55"/>
      <c r="G149" s="32"/>
      <c r="H149" s="39"/>
      <c r="I149" s="775"/>
      <c r="J149" s="1649"/>
      <c r="K149" s="1649"/>
    </row>
    <row r="150" spans="1:17" ht="15.6">
      <c r="A150" s="29">
        <f>+A146+1</f>
        <v>82</v>
      </c>
      <c r="B150" s="507" t="s">
        <v>276</v>
      </c>
      <c r="C150" s="508"/>
      <c r="D150" s="9"/>
      <c r="E150" s="191"/>
      <c r="F150" s="56" t="s">
        <v>429</v>
      </c>
      <c r="G150" s="56"/>
      <c r="H150" s="1018">
        <f>'ATT 2 - Other Taxes'!G54</f>
        <v>14413946.699999999</v>
      </c>
      <c r="I150" s="1018"/>
      <c r="J150" s="1660"/>
      <c r="K150" s="1660"/>
    </row>
    <row r="151" spans="1:17">
      <c r="A151" s="98"/>
      <c r="B151" s="27"/>
      <c r="C151" s="9"/>
      <c r="D151" s="9"/>
      <c r="E151" s="31"/>
      <c r="F151" s="54"/>
      <c r="G151" s="56"/>
      <c r="H151" s="749"/>
      <c r="I151" s="636"/>
      <c r="J151" s="1661"/>
      <c r="K151" s="1661"/>
    </row>
    <row r="152" spans="1:17" ht="16.2" thickBot="1">
      <c r="A152" s="29">
        <f>+A150+1</f>
        <v>83</v>
      </c>
      <c r="B152" s="41" t="s">
        <v>516</v>
      </c>
      <c r="C152" s="41"/>
      <c r="D152" s="105"/>
      <c r="E152" s="172"/>
      <c r="F152" s="498" t="str">
        <f>"(Line "&amp;A150&amp;")"</f>
        <v>(Line 82)</v>
      </c>
      <c r="G152" s="44"/>
      <c r="H152" s="45">
        <f>H150</f>
        <v>14413946.699999999</v>
      </c>
      <c r="I152" s="209"/>
      <c r="J152" s="209"/>
      <c r="K152" s="209"/>
      <c r="M152" s="750"/>
      <c r="O152" s="750"/>
    </row>
    <row r="153" spans="1:17" ht="15.6" thickTop="1">
      <c r="A153" s="92"/>
      <c r="B153" s="9"/>
      <c r="C153" s="9"/>
      <c r="D153" s="9"/>
      <c r="F153" s="56"/>
      <c r="H153" s="87"/>
      <c r="I153" s="636"/>
      <c r="J153" s="1650"/>
      <c r="K153" s="1650"/>
      <c r="M153" s="750"/>
      <c r="O153" s="750"/>
    </row>
    <row r="154" spans="1:17" ht="15.6">
      <c r="A154" s="513" t="s">
        <v>561</v>
      </c>
      <c r="B154" s="514"/>
      <c r="C154" s="515"/>
      <c r="D154" s="516"/>
      <c r="E154" s="176"/>
      <c r="F154" s="124"/>
      <c r="G154" s="124"/>
      <c r="H154" s="1019"/>
      <c r="I154" s="1634"/>
      <c r="J154" s="1634"/>
      <c r="K154" s="1634"/>
      <c r="M154" s="771"/>
      <c r="N154" s="82"/>
      <c r="O154" s="771"/>
      <c r="P154" s="82"/>
      <c r="Q154" s="82"/>
    </row>
    <row r="155" spans="1:17" ht="15.6">
      <c r="A155" s="4"/>
      <c r="B155" s="6"/>
      <c r="C155" s="24"/>
      <c r="D155" s="27"/>
      <c r="E155" s="19"/>
      <c r="F155" s="55"/>
      <c r="G155" s="32"/>
      <c r="H155" s="1020"/>
      <c r="I155" s="1635"/>
      <c r="J155" s="1662"/>
      <c r="K155" s="1662"/>
      <c r="M155" s="771"/>
      <c r="N155" s="82"/>
      <c r="O155" s="771"/>
      <c r="P155" s="82"/>
      <c r="Q155" s="82"/>
    </row>
    <row r="156" spans="1:17">
      <c r="A156" s="6"/>
      <c r="B156" s="6"/>
      <c r="C156" s="5"/>
      <c r="D156" s="9"/>
      <c r="E156" s="92"/>
      <c r="F156" s="27"/>
      <c r="G156" s="5"/>
      <c r="H156" s="1384"/>
      <c r="I156" s="10"/>
      <c r="J156" s="43"/>
      <c r="K156" s="43"/>
      <c r="M156" s="750"/>
      <c r="O156" s="750"/>
    </row>
    <row r="157" spans="1:17" ht="15.6">
      <c r="A157" s="6">
        <f>+A152+1</f>
        <v>84</v>
      </c>
      <c r="B157" s="12" t="s">
        <v>580</v>
      </c>
      <c r="C157" s="9"/>
      <c r="D157" s="9"/>
      <c r="E157" s="19" t="s">
        <v>598</v>
      </c>
      <c r="F157" s="10" t="s">
        <v>572</v>
      </c>
      <c r="G157" s="5"/>
      <c r="H157" s="1021">
        <v>0</v>
      </c>
      <c r="I157" s="1678"/>
      <c r="J157" s="1636"/>
      <c r="K157" s="1637"/>
      <c r="M157" s="750"/>
      <c r="O157" s="750"/>
    </row>
    <row r="158" spans="1:17">
      <c r="A158" s="6"/>
      <c r="B158" s="6"/>
      <c r="C158" s="3"/>
      <c r="D158" s="9"/>
      <c r="E158" s="19"/>
      <c r="F158" s="10"/>
      <c r="G158" s="5"/>
      <c r="H158" s="855"/>
      <c r="I158" s="10"/>
      <c r="J158" s="43"/>
      <c r="K158" s="43"/>
      <c r="M158" s="750"/>
      <c r="O158" s="750"/>
    </row>
    <row r="159" spans="1:17" ht="15.6">
      <c r="A159" s="6"/>
      <c r="B159" s="13" t="s">
        <v>507</v>
      </c>
      <c r="C159" s="9"/>
      <c r="D159" s="9"/>
      <c r="E159" s="19"/>
      <c r="F159" s="10"/>
      <c r="G159" s="5"/>
      <c r="H159" s="855"/>
      <c r="I159" s="10"/>
      <c r="J159" s="43"/>
      <c r="K159" s="43"/>
      <c r="M159" s="1380"/>
      <c r="O159" s="1380"/>
    </row>
    <row r="160" spans="1:17">
      <c r="A160" s="6">
        <f>+A157+1</f>
        <v>85</v>
      </c>
      <c r="B160" s="6"/>
      <c r="C160" s="5" t="s">
        <v>605</v>
      </c>
      <c r="D160" s="5"/>
      <c r="E160" s="19"/>
      <c r="F160" s="855" t="s">
        <v>299</v>
      </c>
      <c r="G160" s="5"/>
      <c r="H160" s="1545">
        <v>934033865</v>
      </c>
      <c r="I160" s="1025"/>
      <c r="J160" s="1663"/>
      <c r="K160" s="1664"/>
      <c r="L160" s="1387"/>
      <c r="M160" s="750"/>
      <c r="O160" s="750"/>
    </row>
    <row r="161" spans="1:15">
      <c r="A161" s="29">
        <f>A160+1</f>
        <v>86</v>
      </c>
      <c r="B161" s="29"/>
      <c r="C161" s="10" t="s">
        <v>692</v>
      </c>
      <c r="D161" s="10"/>
      <c r="E161" s="28"/>
      <c r="F161" s="10" t="s">
        <v>685</v>
      </c>
      <c r="G161" s="5"/>
      <c r="H161" s="976">
        <v>0</v>
      </c>
      <c r="I161" s="10"/>
      <c r="J161" s="1630"/>
      <c r="K161" s="1665"/>
      <c r="O161" s="750"/>
    </row>
    <row r="162" spans="1:15">
      <c r="A162" s="29">
        <f>A161+1</f>
        <v>87</v>
      </c>
      <c r="B162" s="29"/>
      <c r="C162" s="10" t="s">
        <v>563</v>
      </c>
      <c r="D162" s="10"/>
      <c r="E162" s="28"/>
      <c r="F162" s="80" t="str">
        <f>"(Line "&amp;A172&amp;")"</f>
        <v>(Line 95)</v>
      </c>
      <c r="G162" s="5"/>
      <c r="H162" s="855">
        <f>H172</f>
        <v>0</v>
      </c>
      <c r="I162" s="10"/>
      <c r="J162" s="43"/>
      <c r="K162" s="43"/>
      <c r="O162" s="750"/>
    </row>
    <row r="163" spans="1:15">
      <c r="A163" s="29">
        <f>+A162+1</f>
        <v>88</v>
      </c>
      <c r="B163" s="29"/>
      <c r="C163" s="110" t="s">
        <v>562</v>
      </c>
      <c r="D163" s="110"/>
      <c r="E163" s="555"/>
      <c r="F163" s="110" t="s">
        <v>573</v>
      </c>
      <c r="G163" s="108"/>
      <c r="H163" s="1699">
        <v>0</v>
      </c>
      <c r="I163" s="43"/>
      <c r="J163" s="1630"/>
      <c r="K163" s="1665"/>
      <c r="O163" s="1380"/>
    </row>
    <row r="164" spans="1:15" ht="15.6">
      <c r="A164" s="29">
        <f>+A163+1</f>
        <v>89</v>
      </c>
      <c r="B164" s="29"/>
      <c r="C164" s="129" t="s">
        <v>507</v>
      </c>
      <c r="D164" s="43"/>
      <c r="E164" s="167"/>
      <c r="F164" s="55" t="str">
        <f>"(Line "&amp;A160&amp;" - "&amp;A161&amp;" - "&amp;A162&amp;" - "&amp;A163&amp;")"</f>
        <v>(Line 85 - 86 - 87 - 88)</v>
      </c>
      <c r="G164" s="126"/>
      <c r="H164" s="855">
        <f>H160-H161-H162-H163</f>
        <v>934033865</v>
      </c>
      <c r="I164" s="10"/>
      <c r="J164" s="43"/>
      <c r="K164" s="43"/>
      <c r="O164" s="1151"/>
    </row>
    <row r="165" spans="1:15">
      <c r="A165" s="29"/>
      <c r="B165" s="29"/>
      <c r="C165" s="26"/>
      <c r="D165" s="27"/>
      <c r="E165" s="28"/>
      <c r="F165" s="10"/>
      <c r="G165" s="32"/>
      <c r="H165" s="855"/>
      <c r="I165" s="10"/>
      <c r="J165" s="43"/>
      <c r="K165" s="43"/>
    </row>
    <row r="166" spans="1:15" ht="15.6">
      <c r="A166" s="6"/>
      <c r="B166" s="13" t="s">
        <v>565</v>
      </c>
      <c r="C166" s="9"/>
      <c r="D166" s="9"/>
      <c r="E166" s="19"/>
      <c r="F166" s="10"/>
      <c r="G166" s="32"/>
      <c r="H166" s="855"/>
      <c r="I166" s="10"/>
      <c r="J166" s="43"/>
      <c r="K166" s="43"/>
    </row>
    <row r="167" spans="1:15">
      <c r="A167" s="6">
        <f>+A164+1</f>
        <v>90</v>
      </c>
      <c r="B167" s="6"/>
      <c r="C167" s="3" t="s">
        <v>518</v>
      </c>
      <c r="D167" s="9"/>
      <c r="E167" s="191" t="str">
        <f>"(Note "&amp;B293&amp;")"</f>
        <v>(Note N)</v>
      </c>
      <c r="F167" s="1003" t="s">
        <v>415</v>
      </c>
      <c r="G167" s="32"/>
      <c r="H167" s="976">
        <v>624783740</v>
      </c>
      <c r="I167" s="855"/>
      <c r="J167" s="1631"/>
      <c r="K167" s="1631"/>
      <c r="M167" s="1157"/>
    </row>
    <row r="168" spans="1:15">
      <c r="A168" s="29">
        <f t="shared" ref="A168:A174" si="1">+A167+1</f>
        <v>91</v>
      </c>
      <c r="B168" s="6"/>
      <c r="C168" s="949" t="s">
        <v>131</v>
      </c>
      <c r="D168" s="9"/>
      <c r="E168" s="28"/>
      <c r="F168" s="947" t="s">
        <v>300</v>
      </c>
      <c r="G168" s="32"/>
      <c r="H168" s="976">
        <v>0</v>
      </c>
      <c r="I168" s="10"/>
      <c r="J168" s="1663"/>
      <c r="K168" s="1631"/>
    </row>
    <row r="169" spans="1:15">
      <c r="A169" s="29">
        <f t="shared" si="1"/>
        <v>92</v>
      </c>
      <c r="B169" s="6"/>
      <c r="C169" s="949" t="s">
        <v>132</v>
      </c>
      <c r="D169" s="9"/>
      <c r="E169" s="6"/>
      <c r="F169" s="47" t="s">
        <v>574</v>
      </c>
      <c r="G169" s="32"/>
      <c r="H169" s="976">
        <v>0</v>
      </c>
      <c r="I169" s="10"/>
      <c r="J169" s="1630"/>
      <c r="K169" s="1665"/>
    </row>
    <row r="170" spans="1:15">
      <c r="A170" s="29">
        <f>+A169+1</f>
        <v>93</v>
      </c>
      <c r="B170" s="29"/>
      <c r="C170" s="26" t="s">
        <v>440</v>
      </c>
      <c r="D170" s="488"/>
      <c r="E170" s="28"/>
      <c r="F170" s="153" t="s">
        <v>413</v>
      </c>
      <c r="G170" s="55"/>
      <c r="H170" s="855">
        <f>-'ATT 1-ADIT'!H23</f>
        <v>0</v>
      </c>
      <c r="I170" s="10"/>
      <c r="J170" s="43"/>
      <c r="K170" s="43"/>
      <c r="L170" s="56"/>
    </row>
    <row r="171" spans="1:15">
      <c r="A171" s="29">
        <f>+A170+1</f>
        <v>94</v>
      </c>
      <c r="B171" s="29"/>
      <c r="C171" s="48" t="s">
        <v>513</v>
      </c>
      <c r="D171" s="459"/>
      <c r="E171" s="168"/>
      <c r="F171" s="55" t="str">
        <f>"(Line "&amp;A167&amp;" - "&amp;A168&amp;" + "&amp;A169&amp;" - "&amp;A170&amp;")"</f>
        <v>(Line 90 - 91 + 92 - 93)</v>
      </c>
      <c r="G171" s="57"/>
      <c r="H171" s="1692">
        <f>H167-H168+H169-H170</f>
        <v>624783740</v>
      </c>
      <c r="I171" s="43"/>
      <c r="J171" s="43"/>
      <c r="K171" s="43"/>
    </row>
    <row r="172" spans="1:15">
      <c r="A172" s="6">
        <f t="shared" si="1"/>
        <v>95</v>
      </c>
      <c r="B172" s="6"/>
      <c r="C172" s="3" t="s">
        <v>530</v>
      </c>
      <c r="D172" s="9"/>
      <c r="E172" s="6"/>
      <c r="F172" s="26" t="s">
        <v>575</v>
      </c>
      <c r="G172" s="32"/>
      <c r="H172" s="976">
        <v>0</v>
      </c>
      <c r="I172" s="10"/>
      <c r="J172" s="1630"/>
      <c r="K172" s="1665"/>
    </row>
    <row r="173" spans="1:15">
      <c r="A173" s="6">
        <f t="shared" si="1"/>
        <v>96</v>
      </c>
      <c r="B173" s="6"/>
      <c r="C173" s="3" t="s">
        <v>507</v>
      </c>
      <c r="D173" s="9"/>
      <c r="F173" s="110" t="str">
        <f>"(Line "&amp;A164&amp;")"</f>
        <v>(Line 89)</v>
      </c>
      <c r="G173" s="32"/>
      <c r="H173" s="1693">
        <f>H164</f>
        <v>934033865</v>
      </c>
      <c r="I173" s="43"/>
      <c r="J173" s="43"/>
      <c r="K173" s="43"/>
    </row>
    <row r="174" spans="1:15" ht="15.6">
      <c r="A174" s="6">
        <f t="shared" si="1"/>
        <v>97</v>
      </c>
      <c r="B174" s="6"/>
      <c r="C174" s="40" t="s">
        <v>512</v>
      </c>
      <c r="D174" s="517"/>
      <c r="E174" s="169"/>
      <c r="F174" s="43" t="str">
        <f>"(Sum Lines "&amp;A171&amp;" to "&amp;A173&amp;")"</f>
        <v>(Sum Lines 94 to 96)</v>
      </c>
      <c r="G174" s="35"/>
      <c r="H174" s="1691">
        <f>SUM(H171:H173)</f>
        <v>1558817605</v>
      </c>
      <c r="I174" s="43"/>
      <c r="J174" s="43"/>
      <c r="K174" s="43"/>
      <c r="L174" s="750"/>
    </row>
    <row r="175" spans="1:15">
      <c r="A175" s="6"/>
      <c r="B175" s="6"/>
      <c r="C175" s="3"/>
      <c r="D175" s="9"/>
      <c r="F175" s="56"/>
      <c r="G175" s="5"/>
      <c r="H175" s="1700"/>
      <c r="I175" s="28"/>
      <c r="J175" s="1666"/>
      <c r="K175" s="1666"/>
      <c r="L175" s="750"/>
    </row>
    <row r="176" spans="1:15">
      <c r="A176" s="29">
        <f>+A174+1</f>
        <v>98</v>
      </c>
      <c r="B176" s="6"/>
      <c r="C176" s="154" t="s">
        <v>643</v>
      </c>
      <c r="D176" s="47" t="s">
        <v>513</v>
      </c>
      <c r="E176" s="191" t="str">
        <f>"(Note "&amp;B$293&amp;")"</f>
        <v>(Note N)</v>
      </c>
      <c r="F176" s="43" t="str">
        <f>"(Line "&amp;A171&amp;" /Line "&amp;A$174&amp;")"</f>
        <v>(Line 94 /Line 97)</v>
      </c>
      <c r="G176" s="5"/>
      <c r="H176" s="1525">
        <f>H171/H174</f>
        <v>0.40080618668660722</v>
      </c>
      <c r="I176" s="1712"/>
      <c r="J176" s="1667"/>
      <c r="K176" s="1667"/>
      <c r="L176" s="750"/>
    </row>
    <row r="177" spans="1:11">
      <c r="A177" s="29">
        <f>+A176+1</f>
        <v>99</v>
      </c>
      <c r="B177" s="6"/>
      <c r="C177" s="154" t="s">
        <v>650</v>
      </c>
      <c r="D177" s="3" t="s">
        <v>530</v>
      </c>
      <c r="E177" s="191" t="str">
        <f>"(Note "&amp;B$293&amp;")"</f>
        <v>(Note N)</v>
      </c>
      <c r="F177" s="43" t="str">
        <f>"(Line "&amp;A172&amp;" /Line "&amp;A$174&amp;")"</f>
        <v>(Line 95 /Line 97)</v>
      </c>
      <c r="G177" s="5"/>
      <c r="H177" s="1525">
        <v>0</v>
      </c>
      <c r="I177" s="1712"/>
      <c r="J177" s="1667"/>
      <c r="K177" s="1667"/>
    </row>
    <row r="178" spans="1:11">
      <c r="A178" s="29">
        <f>+A177+1</f>
        <v>100</v>
      </c>
      <c r="B178" s="6"/>
      <c r="C178" s="154" t="s">
        <v>644</v>
      </c>
      <c r="D178" s="3" t="s">
        <v>507</v>
      </c>
      <c r="E178" s="191" t="str">
        <f>"(Note "&amp;B$293&amp;")"</f>
        <v>(Note N)</v>
      </c>
      <c r="F178" s="43" t="str">
        <f>"(Line "&amp;A173&amp;" /Line "&amp;A$174&amp;")"</f>
        <v>(Line 96 /Line 97)</v>
      </c>
      <c r="G178" s="5"/>
      <c r="H178" s="1525">
        <f>H173/H174</f>
        <v>0.59919381331339272</v>
      </c>
      <c r="I178" s="1712"/>
      <c r="J178" s="1667"/>
      <c r="K178" s="1667"/>
    </row>
    <row r="179" spans="1:11">
      <c r="A179" s="29"/>
      <c r="B179" s="6"/>
      <c r="C179" s="155"/>
      <c r="D179" s="9"/>
      <c r="E179" s="93"/>
      <c r="F179" s="10"/>
      <c r="G179" s="5"/>
      <c r="H179" s="379"/>
      <c r="I179" s="28"/>
      <c r="J179" s="1668"/>
      <c r="K179" s="1668"/>
    </row>
    <row r="180" spans="1:11">
      <c r="A180" s="29">
        <f>+A178+1</f>
        <v>101</v>
      </c>
      <c r="B180" s="6"/>
      <c r="C180" s="155" t="s">
        <v>645</v>
      </c>
      <c r="D180" s="47" t="s">
        <v>513</v>
      </c>
      <c r="F180" s="1004" t="s">
        <v>415</v>
      </c>
      <c r="G180" s="5"/>
      <c r="H180" s="1519">
        <f>'Attachment 8, Page 1'!W26</f>
        <v>3.9399999999999998E-2</v>
      </c>
      <c r="I180" s="1713"/>
      <c r="J180" s="1669"/>
      <c r="K180" s="1669"/>
    </row>
    <row r="181" spans="1:11">
      <c r="A181" s="29">
        <f>+A180+1</f>
        <v>102</v>
      </c>
      <c r="B181" s="6"/>
      <c r="C181" s="155" t="s">
        <v>651</v>
      </c>
      <c r="D181" s="3" t="s">
        <v>530</v>
      </c>
      <c r="F181" s="43" t="str">
        <f>"(Line "&amp;A157&amp;" / Line "&amp;A172&amp;")"</f>
        <v>(Line 84 / Line 95)</v>
      </c>
      <c r="G181" s="5"/>
      <c r="H181" s="1701">
        <v>0</v>
      </c>
      <c r="I181" s="427"/>
      <c r="J181" s="1670"/>
      <c r="K181" s="1670"/>
    </row>
    <row r="182" spans="1:11">
      <c r="A182" s="29">
        <f>+A181+1</f>
        <v>103</v>
      </c>
      <c r="B182" s="6"/>
      <c r="C182" s="155" t="s">
        <v>646</v>
      </c>
      <c r="D182" s="3" t="s">
        <v>507</v>
      </c>
      <c r="E182" s="191" t="str">
        <f>"(Note "&amp;B287&amp;")"</f>
        <v>(Note I)</v>
      </c>
      <c r="F182" s="855" t="s">
        <v>133</v>
      </c>
      <c r="G182" s="5"/>
      <c r="H182" s="1702">
        <v>0.11700000000000001</v>
      </c>
      <c r="I182" s="427"/>
      <c r="J182" s="1670"/>
      <c r="K182" s="1670"/>
    </row>
    <row r="183" spans="1:11">
      <c r="A183" s="29"/>
      <c r="B183" s="6"/>
      <c r="C183" s="155"/>
      <c r="D183" s="9"/>
      <c r="F183" s="10"/>
      <c r="G183" s="5"/>
      <c r="H183" s="32"/>
      <c r="I183" s="55"/>
      <c r="J183" s="80"/>
      <c r="K183" s="80"/>
    </row>
    <row r="184" spans="1:11">
      <c r="A184" s="29">
        <f>+A182+1</f>
        <v>104</v>
      </c>
      <c r="B184" s="6"/>
      <c r="C184" s="154" t="s">
        <v>647</v>
      </c>
      <c r="D184" s="47" t="s">
        <v>514</v>
      </c>
      <c r="F184" s="43" t="str">
        <f>"(Line "&amp;A176&amp;" * Line "&amp;A180&amp;")"</f>
        <v>(Line 98 * Line 101)</v>
      </c>
      <c r="G184" s="30"/>
      <c r="H184" s="1701">
        <f>H176*H180</f>
        <v>1.5791763755452323E-2</v>
      </c>
      <c r="I184" s="1714"/>
      <c r="J184" s="1670"/>
      <c r="K184" s="1670"/>
    </row>
    <row r="185" spans="1:11">
      <c r="A185" s="29">
        <f>+A184+1</f>
        <v>105</v>
      </c>
      <c r="B185" s="6"/>
      <c r="C185" s="154" t="s">
        <v>875</v>
      </c>
      <c r="D185" s="3" t="s">
        <v>530</v>
      </c>
      <c r="F185" s="43" t="str">
        <f>"(Line "&amp;A177&amp;" * Line "&amp;A181&amp;")"</f>
        <v>(Line 99 * Line 102)</v>
      </c>
      <c r="G185" s="75"/>
      <c r="H185" s="1701">
        <f>H177*H181</f>
        <v>0</v>
      </c>
      <c r="I185" s="427"/>
      <c r="J185" s="1670"/>
      <c r="K185" s="1670"/>
    </row>
    <row r="186" spans="1:11">
      <c r="A186" s="29">
        <f>+A185+1</f>
        <v>106</v>
      </c>
      <c r="B186" s="518"/>
      <c r="C186" s="157" t="s">
        <v>648</v>
      </c>
      <c r="D186" s="158" t="s">
        <v>507</v>
      </c>
      <c r="E186" s="181"/>
      <c r="F186" s="110" t="str">
        <f>"(Line "&amp;A178&amp;" * Line "&amp;A182&amp;")"</f>
        <v>(Line 100 * Line 103)</v>
      </c>
      <c r="G186" s="109"/>
      <c r="H186" s="1703">
        <f>H178*H182</f>
        <v>7.0105676157666955E-2</v>
      </c>
      <c r="I186" s="1670"/>
      <c r="J186" s="1670"/>
      <c r="K186" s="1670"/>
    </row>
    <row r="187" spans="1:11" s="1" customFormat="1" ht="15.6">
      <c r="A187" s="6">
        <f>+A186+1</f>
        <v>107</v>
      </c>
      <c r="B187" s="83" t="s">
        <v>674</v>
      </c>
      <c r="C187" s="83"/>
      <c r="D187" s="127"/>
      <c r="E187" s="183"/>
      <c r="F187" s="43" t="str">
        <f>"(Sum Lines "&amp;A184&amp;" to "&amp;A186&amp;")"</f>
        <v>(Sum Lines 104 to 106)</v>
      </c>
      <c r="G187" s="85"/>
      <c r="H187" s="76">
        <f>SUM(H184:H186)</f>
        <v>8.5897439913119281E-2</v>
      </c>
      <c r="I187" s="1715"/>
      <c r="J187" s="1671"/>
      <c r="K187" s="1671"/>
    </row>
    <row r="188" spans="1:11" s="1" customFormat="1" ht="15.6">
      <c r="A188" s="11"/>
      <c r="B188" s="11"/>
      <c r="C188" s="83"/>
      <c r="D188" s="127"/>
      <c r="E188" s="183"/>
      <c r="F188" s="129"/>
      <c r="G188" s="85"/>
      <c r="H188" s="76"/>
      <c r="I188" s="1639"/>
      <c r="J188" s="1671"/>
      <c r="K188" s="1671"/>
    </row>
    <row r="189" spans="1:11" ht="16.2" thickBot="1">
      <c r="A189" s="6">
        <f>+A187+1</f>
        <v>108</v>
      </c>
      <c r="B189" s="111" t="s">
        <v>578</v>
      </c>
      <c r="C189" s="519"/>
      <c r="D189" s="105"/>
      <c r="E189" s="184"/>
      <c r="F189" s="498" t="str">
        <f>"(Line "&amp;A92&amp;" * Line "&amp;A187&amp;")"</f>
        <v>(Line 46 * Line 107)</v>
      </c>
      <c r="G189" s="112"/>
      <c r="H189" s="42">
        <f>H92*H187</f>
        <v>125344002.02256423</v>
      </c>
      <c r="I189" s="129"/>
      <c r="J189" s="129"/>
      <c r="K189" s="129"/>
    </row>
    <row r="190" spans="1:11" ht="15.6" thickTop="1">
      <c r="A190" s="6"/>
      <c r="B190" s="31"/>
      <c r="C190" s="3"/>
      <c r="F190" s="5"/>
      <c r="G190" s="5"/>
      <c r="H190" s="1701"/>
      <c r="I190" s="427"/>
      <c r="J190" s="1670"/>
      <c r="K190" s="1670"/>
    </row>
    <row r="191" spans="1:11" ht="15.6">
      <c r="A191" s="120" t="s">
        <v>289</v>
      </c>
      <c r="B191" s="121"/>
      <c r="C191" s="515"/>
      <c r="D191" s="123"/>
      <c r="E191" s="322"/>
      <c r="F191" s="124"/>
      <c r="G191" s="124"/>
      <c r="H191" s="125"/>
      <c r="I191" s="113"/>
      <c r="J191" s="113"/>
      <c r="K191" s="113"/>
    </row>
    <row r="192" spans="1:11" ht="15.6">
      <c r="A192" s="54"/>
      <c r="B192" s="31"/>
      <c r="C192" s="24"/>
      <c r="D192" s="55"/>
      <c r="E192" s="19"/>
      <c r="F192" s="32"/>
      <c r="G192" s="32"/>
      <c r="H192" s="39"/>
      <c r="I192" s="775"/>
      <c r="J192" s="1649"/>
      <c r="K192" s="1649"/>
    </row>
    <row r="193" spans="1:11" ht="15.6">
      <c r="A193" s="31" t="s">
        <v>525</v>
      </c>
      <c r="B193" s="131" t="s">
        <v>579</v>
      </c>
      <c r="C193" s="9"/>
      <c r="E193" s="19"/>
      <c r="F193" s="5"/>
      <c r="G193" s="16"/>
      <c r="H193" s="32"/>
      <c r="I193" s="55"/>
      <c r="J193" s="80"/>
      <c r="K193" s="80"/>
    </row>
    <row r="194" spans="1:11">
      <c r="A194" s="31">
        <f>+A189+1</f>
        <v>109</v>
      </c>
      <c r="B194" s="31"/>
      <c r="C194" s="9" t="s">
        <v>577</v>
      </c>
      <c r="E194" s="191" t="str">
        <f>"(Note "&amp;B284&amp;")"</f>
        <v>(Note H)</v>
      </c>
      <c r="F194" s="32"/>
      <c r="G194" s="33"/>
      <c r="H194" s="977">
        <v>0.21</v>
      </c>
      <c r="I194" s="1640"/>
      <c r="J194" s="1672"/>
      <c r="K194" s="1672"/>
    </row>
    <row r="195" spans="1:11">
      <c r="A195" s="6">
        <f>+A194+1</f>
        <v>110</v>
      </c>
      <c r="B195" s="31"/>
      <c r="C195" s="833" t="s">
        <v>576</v>
      </c>
      <c r="D195" s="22"/>
      <c r="F195" s="55"/>
      <c r="G195" s="33"/>
      <c r="H195" s="977">
        <f>'5 - Cost Support'!G184</f>
        <v>7.4087E-2</v>
      </c>
      <c r="I195" s="1640"/>
      <c r="J195" s="1672"/>
      <c r="K195" s="1672"/>
    </row>
    <row r="196" spans="1:11">
      <c r="A196" s="6">
        <f>+A195+1</f>
        <v>111</v>
      </c>
      <c r="B196" s="31"/>
      <c r="C196" s="549" t="s">
        <v>624</v>
      </c>
      <c r="D196" s="33" t="s">
        <v>625</v>
      </c>
      <c r="F196" s="32" t="s">
        <v>919</v>
      </c>
      <c r="G196" s="33"/>
      <c r="H196" s="977">
        <v>0</v>
      </c>
      <c r="I196" s="1640"/>
      <c r="J196" s="1672"/>
      <c r="K196" s="1672"/>
    </row>
    <row r="197" spans="1:11">
      <c r="A197" s="6">
        <f>+A196+1</f>
        <v>112</v>
      </c>
      <c r="B197" s="31"/>
      <c r="C197" s="549" t="s">
        <v>629</v>
      </c>
      <c r="D197" s="15" t="s">
        <v>641</v>
      </c>
      <c r="F197" s="32"/>
      <c r="G197" s="33"/>
      <c r="H197" s="1704">
        <f>1-(((1-H195)*(1-H194))/(1-H195*H194*H196))</f>
        <v>0.26852872999999999</v>
      </c>
      <c r="I197" s="17"/>
      <c r="J197" s="1673"/>
      <c r="K197" s="1673"/>
    </row>
    <row r="198" spans="1:11">
      <c r="A198" s="6">
        <f>+A197+1</f>
        <v>113</v>
      </c>
      <c r="B198" s="31"/>
      <c r="C198" s="549" t="s">
        <v>623</v>
      </c>
      <c r="D198" s="22"/>
      <c r="F198" s="32"/>
      <c r="G198" s="33"/>
      <c r="H198" s="1640">
        <f>H197/(1-H197)</f>
        <v>0.36710769241832286</v>
      </c>
      <c r="I198" s="522"/>
      <c r="J198" s="1674"/>
      <c r="K198" s="1674"/>
    </row>
    <row r="199" spans="1:11" ht="15.6">
      <c r="A199" s="31"/>
      <c r="B199" s="31"/>
      <c r="C199" s="9"/>
      <c r="E199" s="14"/>
      <c r="F199" s="500"/>
      <c r="G199" s="16"/>
      <c r="H199" s="1705"/>
      <c r="I199" s="210"/>
      <c r="J199" s="1675"/>
      <c r="K199" s="1675"/>
    </row>
    <row r="200" spans="1:11" ht="15.6">
      <c r="A200" s="31">
        <f>+A198+1</f>
        <v>114</v>
      </c>
      <c r="B200" s="1" t="s">
        <v>597</v>
      </c>
      <c r="C200" s="36"/>
      <c r="D200" s="228" t="s">
        <v>786</v>
      </c>
      <c r="E200" s="19"/>
      <c r="F200" s="43" t="str">
        <f>"[Line "&amp;A198&amp;" * Line "&amp;A189&amp;" * (1- (Line "&amp;A184&amp;" / Line "&amp;A187&amp;"))]"</f>
        <v>[Line 113 * Line 108 * (1- (Line 104 / Line 107))]</v>
      </c>
      <c r="G200" s="32"/>
      <c r="H200" s="247">
        <f>((H198*H189*(1-(H184/H187))))</f>
        <v>37555193.482209869</v>
      </c>
      <c r="I200" s="247"/>
      <c r="J200" s="1676"/>
      <c r="K200" s="1676"/>
    </row>
    <row r="201" spans="1:11" ht="15.6">
      <c r="A201" s="31"/>
      <c r="B201" s="31"/>
      <c r="C201" s="154"/>
      <c r="D201" s="80"/>
      <c r="E201" s="185"/>
      <c r="F201" s="525"/>
      <c r="G201" s="81"/>
      <c r="H201" s="694"/>
      <c r="I201" s="776"/>
      <c r="J201" s="776"/>
      <c r="K201" s="776"/>
    </row>
    <row r="202" spans="1:11" ht="16.2" thickBot="1">
      <c r="A202" s="31">
        <f>+A200+1</f>
        <v>115</v>
      </c>
      <c r="B202" s="111" t="s">
        <v>503</v>
      </c>
      <c r="C202" s="111"/>
      <c r="D202" s="105"/>
      <c r="E202" s="172"/>
      <c r="F202" s="498" t="str">
        <f>"(Line "&amp;A200&amp;")"</f>
        <v>(Line 114)</v>
      </c>
      <c r="G202" s="130"/>
      <c r="H202" s="156">
        <f>H200</f>
        <v>37555193.482209869</v>
      </c>
      <c r="I202" s="1307"/>
      <c r="J202" s="1307"/>
      <c r="K202" s="1307"/>
    </row>
    <row r="203" spans="1:11" ht="15.6" thickTop="1">
      <c r="A203" s="31"/>
      <c r="B203" s="31"/>
      <c r="C203" s="15"/>
      <c r="F203" s="18"/>
      <c r="G203" s="7"/>
      <c r="H203" s="1706"/>
      <c r="I203" s="132"/>
      <c r="J203" s="1677"/>
      <c r="K203" s="1677"/>
    </row>
    <row r="204" spans="1:11" ht="15.6">
      <c r="A204" s="120" t="s">
        <v>515</v>
      </c>
      <c r="B204" s="121"/>
      <c r="C204" s="515"/>
      <c r="D204" s="123"/>
      <c r="E204" s="176"/>
      <c r="F204" s="124"/>
      <c r="G204" s="124"/>
      <c r="H204" s="125"/>
      <c r="I204" s="113"/>
      <c r="J204" s="113"/>
      <c r="K204" s="113"/>
    </row>
    <row r="205" spans="1:11">
      <c r="A205" s="91"/>
      <c r="B205" s="51"/>
      <c r="C205" s="51"/>
      <c r="D205" s="51"/>
    </row>
    <row r="206" spans="1:11" ht="15.6">
      <c r="A206" s="91"/>
      <c r="B206" s="1" t="s">
        <v>504</v>
      </c>
      <c r="C206" s="62"/>
      <c r="D206" s="82"/>
    </row>
    <row r="207" spans="1:11">
      <c r="A207" s="91">
        <f>+A202+1</f>
        <v>116</v>
      </c>
      <c r="B207" s="51"/>
      <c r="C207" s="62" t="s">
        <v>505</v>
      </c>
      <c r="D207" s="82"/>
      <c r="F207" s="43" t="str">
        <f>"(Line "&amp;A60&amp;")"</f>
        <v>(Line 30)</v>
      </c>
      <c r="H207" s="87">
        <f>H60</f>
        <v>1873308569.4441199</v>
      </c>
      <c r="I207" s="636"/>
      <c r="J207" s="1650"/>
      <c r="K207" s="1650"/>
    </row>
    <row r="208" spans="1:11">
      <c r="A208" s="6">
        <f>+A207+1</f>
        <v>117</v>
      </c>
      <c r="B208" s="51"/>
      <c r="C208" s="62" t="s">
        <v>693</v>
      </c>
      <c r="D208" s="82"/>
      <c r="F208" s="110" t="str">
        <f>"(Line "&amp;A90&amp;")"</f>
        <v>(Line 45)</v>
      </c>
      <c r="H208" s="87">
        <f>H90</f>
        <v>-414079957.4000001</v>
      </c>
      <c r="I208" s="636"/>
      <c r="J208" s="1650"/>
      <c r="K208" s="1650"/>
    </row>
    <row r="209" spans="1:13" ht="15.6">
      <c r="A209" s="6">
        <f>+A208+1</f>
        <v>118</v>
      </c>
      <c r="B209" s="31"/>
      <c r="C209" s="509" t="s">
        <v>596</v>
      </c>
      <c r="D209" s="133"/>
      <c r="E209" s="186"/>
      <c r="F209" s="43" t="str">
        <f>"(Line "&amp;A92&amp;")"</f>
        <v>(Line 46)</v>
      </c>
      <c r="G209" s="134"/>
      <c r="H209" s="135">
        <f>SUM(H207:H208)</f>
        <v>1459228612.0441198</v>
      </c>
      <c r="I209" s="209"/>
      <c r="J209" s="209"/>
      <c r="K209" s="209"/>
    </row>
    <row r="210" spans="1:13">
      <c r="A210" s="31"/>
      <c r="B210" s="31"/>
      <c r="C210" s="47"/>
      <c r="D210" s="80"/>
      <c r="E210" s="19"/>
      <c r="F210" s="55"/>
      <c r="G210" s="32"/>
      <c r="H210" s="87"/>
      <c r="I210" s="636"/>
      <c r="J210" s="1650"/>
      <c r="K210" s="1650"/>
    </row>
    <row r="211" spans="1:13">
      <c r="A211" s="31">
        <f>+A209+1</f>
        <v>119</v>
      </c>
      <c r="C211" s="47" t="s">
        <v>589</v>
      </c>
      <c r="D211" s="64"/>
      <c r="F211" s="43" t="str">
        <f>"(Line "&amp;A133&amp;")"</f>
        <v>(Line 74)</v>
      </c>
      <c r="H211" s="87">
        <f>H133</f>
        <v>16039238</v>
      </c>
      <c r="I211" s="636"/>
      <c r="J211" s="1650"/>
      <c r="K211" s="1650"/>
      <c r="L211" s="87"/>
    </row>
    <row r="212" spans="1:13">
      <c r="A212" s="6">
        <f>+A211+1</f>
        <v>120</v>
      </c>
      <c r="C212" s="414" t="s">
        <v>584</v>
      </c>
      <c r="D212" s="64"/>
      <c r="F212" s="43" t="str">
        <f>"(Line "&amp;A146&amp;")"</f>
        <v>(Line 81)</v>
      </c>
      <c r="H212" s="87">
        <f>H146</f>
        <v>49619260.989999995</v>
      </c>
      <c r="I212" s="636"/>
      <c r="J212" s="1650"/>
      <c r="K212" s="1650"/>
      <c r="L212" s="87"/>
    </row>
    <row r="213" spans="1:13">
      <c r="A213" s="6">
        <f>+A212+1</f>
        <v>121</v>
      </c>
      <c r="B213" s="31"/>
      <c r="C213" s="47" t="s">
        <v>506</v>
      </c>
      <c r="D213" s="80"/>
      <c r="E213" s="19"/>
      <c r="F213" s="43" t="str">
        <f>"(Line "&amp;A152&amp;")"</f>
        <v>(Line 83)</v>
      </c>
      <c r="G213" s="32"/>
      <c r="H213" s="1022">
        <f>H152</f>
        <v>14413946.699999999</v>
      </c>
      <c r="I213" s="1641"/>
      <c r="J213" s="1678"/>
      <c r="K213" s="1678"/>
      <c r="L213" s="87"/>
    </row>
    <row r="214" spans="1:13">
      <c r="A214" s="6">
        <f>+A213+1</f>
        <v>122</v>
      </c>
      <c r="B214" s="31"/>
      <c r="C214" s="86" t="s">
        <v>609</v>
      </c>
      <c r="D214" s="80"/>
      <c r="E214" s="19"/>
      <c r="F214" s="43" t="str">
        <f>"(Line "&amp;A189&amp;")"</f>
        <v>(Line 108)</v>
      </c>
      <c r="G214" s="32"/>
      <c r="H214" s="87">
        <f>H189</f>
        <v>125344002.02256423</v>
      </c>
      <c r="I214" s="636"/>
      <c r="J214" s="1650"/>
      <c r="K214" s="1650"/>
      <c r="L214" s="87"/>
    </row>
    <row r="215" spans="1:13">
      <c r="A215" s="6">
        <f>+A214+1</f>
        <v>123</v>
      </c>
      <c r="B215" s="31"/>
      <c r="C215" s="86" t="s">
        <v>610</v>
      </c>
      <c r="D215" s="80"/>
      <c r="E215" s="19"/>
      <c r="F215" s="43" t="str">
        <f>"(Line "&amp;A202&amp;")"</f>
        <v>(Line 115)</v>
      </c>
      <c r="G215" s="32"/>
      <c r="H215" s="87">
        <f>H202</f>
        <v>37555193.482209869</v>
      </c>
      <c r="I215" s="636"/>
      <c r="J215" s="1650"/>
      <c r="K215" s="1650"/>
      <c r="L215" s="87"/>
    </row>
    <row r="216" spans="1:13" ht="15.6" thickBot="1">
      <c r="A216" s="6"/>
      <c r="B216" s="31"/>
      <c r="C216" s="86"/>
      <c r="D216" s="80"/>
      <c r="E216" s="19"/>
      <c r="F216" s="55"/>
      <c r="G216" s="32"/>
      <c r="H216" s="87"/>
      <c r="I216" s="636"/>
      <c r="J216" s="1650"/>
      <c r="K216" s="1650"/>
    </row>
    <row r="217" spans="1:13" ht="18" thickBot="1">
      <c r="A217" s="142">
        <f>+A215+1</f>
        <v>124</v>
      </c>
      <c r="B217" s="139"/>
      <c r="C217" s="550" t="s">
        <v>621</v>
      </c>
      <c r="D217" s="140"/>
      <c r="E217" s="187"/>
      <c r="F217" s="501" t="str">
        <f>"(Sum Lines "&amp;A211&amp;" to "&amp;A215&amp;")"</f>
        <v>(Sum Lines 119 to 123)</v>
      </c>
      <c r="G217" s="141"/>
      <c r="H217" s="1311">
        <f>SUM(H211:H215)</f>
        <v>242971641.19477409</v>
      </c>
      <c r="I217" s="1642"/>
      <c r="J217" s="1642"/>
      <c r="K217" s="1642"/>
      <c r="L217" s="87"/>
      <c r="M217" s="87"/>
    </row>
    <row r="218" spans="1:13" ht="17.399999999999999">
      <c r="A218" s="149"/>
      <c r="B218" s="199"/>
      <c r="C218" s="551"/>
      <c r="D218" s="200"/>
      <c r="E218" s="201"/>
      <c r="F218" s="84"/>
      <c r="G218" s="202"/>
      <c r="H218" s="1309"/>
      <c r="I218" s="1642"/>
      <c r="J218" s="1642"/>
      <c r="K218" s="1642"/>
    </row>
    <row r="219" spans="1:13" ht="17.399999999999999">
      <c r="A219" s="149"/>
      <c r="B219" s="151" t="s">
        <v>539</v>
      </c>
      <c r="C219" s="551"/>
      <c r="D219" s="200"/>
      <c r="E219" s="201"/>
      <c r="F219" s="84"/>
      <c r="G219" s="202"/>
      <c r="H219" s="1309"/>
      <c r="I219" s="1642"/>
      <c r="J219" s="1642"/>
      <c r="K219" s="1642"/>
    </row>
    <row r="220" spans="1:13" ht="17.399999999999999">
      <c r="A220" s="178">
        <f>+A217+1</f>
        <v>125</v>
      </c>
      <c r="B220" s="178"/>
      <c r="C220" s="47" t="str">
        <f>+C36</f>
        <v>Transmission Plant In Service</v>
      </c>
      <c r="D220" s="200"/>
      <c r="E220" s="201"/>
      <c r="F220" s="43" t="str">
        <f>"(Line "&amp;A46&amp;")"</f>
        <v>(Line 22)</v>
      </c>
      <c r="G220" s="202"/>
      <c r="H220" s="1650">
        <f>H46</f>
        <v>2197670354.4441199</v>
      </c>
      <c r="I220" s="8"/>
      <c r="J220" s="8"/>
      <c r="K220" s="8"/>
      <c r="L220" s="87"/>
    </row>
    <row r="221" spans="1:13" ht="17.399999999999999">
      <c r="A221" s="178">
        <f>+A220+1</f>
        <v>126</v>
      </c>
      <c r="B221" s="178"/>
      <c r="C221" s="153" t="s">
        <v>540</v>
      </c>
      <c r="D221" s="203"/>
      <c r="E221" s="196" t="str">
        <f>"(Note "&amp;B$290&amp;")"</f>
        <v>(Note L)</v>
      </c>
      <c r="F221" s="110" t="s">
        <v>416</v>
      </c>
      <c r="G221" s="202"/>
      <c r="H221" s="1707">
        <f>'5 - Cost Support'!G195</f>
        <v>0</v>
      </c>
      <c r="I221" s="1308"/>
      <c r="J221" s="1308"/>
      <c r="K221" s="1308"/>
      <c r="L221" s="1150"/>
      <c r="M221" s="87"/>
    </row>
    <row r="222" spans="1:13" ht="17.399999999999999">
      <c r="A222" s="178">
        <f>+A221+1</f>
        <v>127</v>
      </c>
      <c r="B222" s="178"/>
      <c r="C222" s="47" t="s">
        <v>541</v>
      </c>
      <c r="D222" s="200"/>
      <c r="E222" s="205"/>
      <c r="F222" s="43" t="str">
        <f>"(Line "&amp;A220&amp;" - Line "&amp;A221&amp;")"</f>
        <v>(Line 125 - Line 126)</v>
      </c>
      <c r="G222" s="202"/>
      <c r="H222" s="1650">
        <f>H220-H221</f>
        <v>2197670354.4441199</v>
      </c>
      <c r="I222" s="8"/>
      <c r="J222" s="8"/>
      <c r="K222" s="8"/>
      <c r="L222" s="1149"/>
    </row>
    <row r="223" spans="1:13" ht="17.399999999999999">
      <c r="A223" s="178">
        <f>+A222+1</f>
        <v>128</v>
      </c>
      <c r="B223" s="178"/>
      <c r="C223" s="47" t="s">
        <v>542</v>
      </c>
      <c r="D223" s="200"/>
      <c r="E223" s="201"/>
      <c r="F223" s="43" t="str">
        <f>"(Line "&amp;A222&amp;" / Line "&amp;A220&amp;")"</f>
        <v>(Line 127 / Line 125)</v>
      </c>
      <c r="G223" s="202"/>
      <c r="H223" s="1708">
        <v>1</v>
      </c>
      <c r="I223" s="206"/>
      <c r="J223" s="206"/>
      <c r="K223" s="206"/>
      <c r="L223" s="87"/>
    </row>
    <row r="224" spans="1:13" ht="17.399999999999999">
      <c r="A224" s="178">
        <f>+A223+1</f>
        <v>129</v>
      </c>
      <c r="B224" s="178"/>
      <c r="C224" s="153" t="s">
        <v>621</v>
      </c>
      <c r="D224" s="203"/>
      <c r="E224" s="204"/>
      <c r="F224" s="110" t="str">
        <f>"(Line "&amp;A217&amp;")"</f>
        <v>(Line 124)</v>
      </c>
      <c r="G224" s="202"/>
      <c r="H224" s="1709">
        <f>H217</f>
        <v>242971641.19477409</v>
      </c>
      <c r="I224" s="8"/>
      <c r="J224" s="8"/>
      <c r="K224" s="8"/>
      <c r="L224" s="87"/>
    </row>
    <row r="225" spans="1:11" ht="17.399999999999999">
      <c r="A225" s="178">
        <f>+A224+1</f>
        <v>130</v>
      </c>
      <c r="B225" s="178"/>
      <c r="C225" s="50" t="s">
        <v>546</v>
      </c>
      <c r="D225" s="200"/>
      <c r="E225" s="201"/>
      <c r="F225" s="43" t="str">
        <f>"(Line "&amp;A223&amp;" * Line "&amp;A224&amp;")"</f>
        <v>(Line 128 * Line 129)</v>
      </c>
      <c r="G225" s="202"/>
      <c r="H225" s="209">
        <f>H223*H224</f>
        <v>242971641.19477409</v>
      </c>
      <c r="I225" s="209"/>
      <c r="J225" s="209"/>
      <c r="K225" s="209"/>
    </row>
    <row r="226" spans="1:11" ht="15.6">
      <c r="A226" s="219"/>
      <c r="B226" s="31"/>
      <c r="C226" s="47"/>
      <c r="D226" s="80"/>
      <c r="E226" s="19"/>
      <c r="F226" s="55"/>
      <c r="G226" s="32"/>
      <c r="H226" s="39"/>
      <c r="I226" s="775"/>
      <c r="J226" s="1649"/>
      <c r="K226" s="1649"/>
    </row>
    <row r="227" spans="1:11" ht="15.6">
      <c r="A227" s="219"/>
      <c r="B227" s="101" t="s">
        <v>847</v>
      </c>
      <c r="C227" s="47"/>
      <c r="D227" s="80"/>
      <c r="E227" s="19"/>
      <c r="F227" s="55"/>
      <c r="G227" s="32"/>
      <c r="H227" s="39"/>
      <c r="I227" s="775"/>
      <c r="J227" s="1649"/>
      <c r="K227" s="1649"/>
    </row>
    <row r="228" spans="1:11" ht="15.6">
      <c r="A228" s="77">
        <f>+A225+1</f>
        <v>131</v>
      </c>
      <c r="B228" s="51"/>
      <c r="C228" s="101" t="s">
        <v>509</v>
      </c>
      <c r="D228" s="489"/>
      <c r="E228" s="19"/>
      <c r="F228" s="55" t="s">
        <v>417</v>
      </c>
      <c r="G228" s="32"/>
      <c r="H228" s="1638">
        <f>'3 - Revenue Credits'!D23</f>
        <v>1670301</v>
      </c>
      <c r="I228" s="1025"/>
      <c r="J228" s="1679"/>
      <c r="K228" s="1679"/>
    </row>
    <row r="229" spans="1:11" ht="16.2" thickBot="1">
      <c r="A229" s="31"/>
      <c r="B229" s="31"/>
      <c r="C229" s="62"/>
      <c r="D229" s="62"/>
      <c r="F229" s="55"/>
      <c r="G229" s="32"/>
      <c r="H229" s="39"/>
      <c r="I229" s="775"/>
      <c r="J229" s="1649"/>
      <c r="K229" s="1649"/>
    </row>
    <row r="230" spans="1:11" s="1" customFormat="1" ht="18" thickBot="1">
      <c r="A230" s="142">
        <f>+A228+1</f>
        <v>132</v>
      </c>
      <c r="B230" s="148"/>
      <c r="C230" s="143" t="s">
        <v>630</v>
      </c>
      <c r="D230" s="144"/>
      <c r="E230" s="188"/>
      <c r="F230" s="501" t="str">
        <f>"(Line "&amp;A225&amp;" - Line "&amp;A228&amp;")"</f>
        <v>(Line 130 - Line 131)</v>
      </c>
      <c r="G230" s="145"/>
      <c r="H230" s="1311">
        <f>H225-H228</f>
        <v>241301340.19477409</v>
      </c>
      <c r="I230" s="1680"/>
      <c r="J230" s="1680"/>
      <c r="K230" s="1680"/>
    </row>
    <row r="231" spans="1:11" ht="15.6">
      <c r="A231" s="219"/>
      <c r="B231" s="31"/>
      <c r="C231" s="62"/>
      <c r="D231" s="62"/>
      <c r="F231" s="55"/>
      <c r="G231" s="32"/>
      <c r="H231" s="39"/>
      <c r="I231" s="775"/>
      <c r="J231" s="1649"/>
      <c r="K231" s="1649"/>
    </row>
    <row r="232" spans="1:11" ht="15.6">
      <c r="A232" s="77"/>
      <c r="B232" s="208" t="s">
        <v>874</v>
      </c>
      <c r="C232" s="392"/>
      <c r="D232" s="62"/>
      <c r="F232" s="55"/>
      <c r="G232" s="32"/>
      <c r="H232" s="39"/>
      <c r="I232" s="775"/>
      <c r="J232" s="1649"/>
      <c r="K232" s="1649"/>
    </row>
    <row r="233" spans="1:11" ht="15.6">
      <c r="A233" s="77">
        <f>+A230+1</f>
        <v>133</v>
      </c>
      <c r="B233" s="77"/>
      <c r="C233" s="62" t="str">
        <f>+C230</f>
        <v>Net Revenue Requirement</v>
      </c>
      <c r="D233" s="62"/>
      <c r="F233" s="55" t="str">
        <f>"(Line "&amp;A230&amp;")"</f>
        <v>(Line 132)</v>
      </c>
      <c r="G233" s="32"/>
      <c r="H233" s="1023">
        <f>H230</f>
        <v>241301340.19477409</v>
      </c>
      <c r="I233" s="1024"/>
      <c r="J233" s="1210"/>
      <c r="K233" s="1210"/>
    </row>
    <row r="234" spans="1:11" ht="15.6">
      <c r="A234" s="77">
        <f>+A233+1</f>
        <v>134</v>
      </c>
      <c r="B234" s="77"/>
      <c r="C234" s="62" t="s">
        <v>775</v>
      </c>
      <c r="D234" s="62"/>
      <c r="F234" s="55" t="str">
        <f>"(Line "&amp;A39&amp;" - Line "&amp;A50&amp;" + Line "&amp;A68&amp;")"</f>
        <v>(Line 17 - Line 23 + Line 33)</v>
      </c>
      <c r="G234" s="55"/>
      <c r="H234" s="1024">
        <f>H39-H50+H68</f>
        <v>1784503626.4441199</v>
      </c>
      <c r="I234" s="1024"/>
      <c r="J234" s="1210"/>
      <c r="K234" s="1210"/>
    </row>
    <row r="235" spans="1:11" ht="15.6">
      <c r="A235" s="77">
        <f>+A234+1</f>
        <v>135</v>
      </c>
      <c r="B235" s="77"/>
      <c r="C235" s="62" t="s">
        <v>776</v>
      </c>
      <c r="D235" s="62"/>
      <c r="F235" s="55" t="str">
        <f>"(Line "&amp;A233&amp;" / Line "&amp;A234&amp;")"</f>
        <v>(Line 133 / Line 134)</v>
      </c>
      <c r="G235" s="32"/>
      <c r="H235" s="775">
        <f>H233/H234</f>
        <v>0.13522042579179383</v>
      </c>
      <c r="I235" s="775"/>
      <c r="J235" s="1649"/>
      <c r="K235" s="1649"/>
    </row>
    <row r="236" spans="1:11" ht="15.6">
      <c r="A236" s="77">
        <f>+A235+1</f>
        <v>136</v>
      </c>
      <c r="B236" s="77"/>
      <c r="C236" s="62" t="s">
        <v>777</v>
      </c>
      <c r="D236" s="62"/>
      <c r="F236" s="502" t="str">
        <f>"(Line "&amp;A233&amp;" - Line "&amp;A138&amp;") / Line "&amp;A234</f>
        <v>(Line 133 - Line 75) / Line 134</v>
      </c>
      <c r="G236" s="32"/>
      <c r="H236" s="775">
        <f>(H233-H138)/H234</f>
        <v>0.11050974807360493</v>
      </c>
      <c r="I236" s="775"/>
      <c r="J236" s="1649"/>
      <c r="K236" s="1649"/>
    </row>
    <row r="237" spans="1:11" ht="15.6">
      <c r="A237" s="77">
        <f>+A236+1</f>
        <v>137</v>
      </c>
      <c r="B237" s="77"/>
      <c r="C237" s="62" t="s">
        <v>778</v>
      </c>
      <c r="D237" s="62"/>
      <c r="F237" s="502" t="str">
        <f>"(Line "&amp;A233&amp;" - Line "&amp;A127&amp;" - Line "&amp;A128&amp;" - Line "&amp;A138&amp;") / Line "&amp;A234</f>
        <v>(Line 133 - Line 70 - Line 71 - Line 75) / Line 134</v>
      </c>
      <c r="G237" s="32"/>
      <c r="H237" s="775">
        <f>(H233-H$127-H$128-$H$138)/$H$234</f>
        <v>0.11050974807360493</v>
      </c>
      <c r="I237" s="775"/>
      <c r="J237" s="1649"/>
      <c r="K237" s="1649"/>
    </row>
    <row r="238" spans="1:11" ht="15.6">
      <c r="A238" s="77">
        <f>+A237+1</f>
        <v>138</v>
      </c>
      <c r="B238" s="77"/>
      <c r="C238" s="62" t="s">
        <v>779</v>
      </c>
      <c r="D238" s="62"/>
      <c r="E238" s="93"/>
      <c r="F238" s="27" t="str">
        <f>"(Line "&amp;A233&amp;" - Line "&amp;A138&amp;" - Line "&amp;A189&amp;" - Line "&amp;A202&amp;") / Line "&amp;A234</f>
        <v>(Line 133 - Line 75 - Line 108 - Line 115) / Line 134</v>
      </c>
      <c r="G238" s="32"/>
      <c r="H238" s="39">
        <f>(H233-H138-H189-H202)/H234</f>
        <v>1.9224309876219939E-2</v>
      </c>
      <c r="I238" s="775"/>
      <c r="J238" s="1649"/>
      <c r="K238" s="1649"/>
    </row>
    <row r="239" spans="1:11" ht="15.6">
      <c r="A239" s="77"/>
      <c r="B239" s="77"/>
      <c r="C239" s="62"/>
      <c r="D239" s="62"/>
      <c r="F239" s="55"/>
      <c r="G239" s="32"/>
      <c r="H239" s="39"/>
      <c r="I239" s="775"/>
      <c r="J239" s="1649"/>
      <c r="K239" s="1649"/>
    </row>
    <row r="240" spans="1:11" ht="15.6">
      <c r="A240" s="77"/>
      <c r="B240" s="77"/>
      <c r="C240" s="62"/>
      <c r="D240" s="62"/>
      <c r="F240" s="55"/>
      <c r="G240" s="32"/>
      <c r="H240" s="39"/>
      <c r="I240" s="775"/>
      <c r="J240" s="1649"/>
      <c r="K240" s="1649"/>
    </row>
    <row r="241" spans="1:13" ht="15.6">
      <c r="A241" s="77"/>
      <c r="B241" s="208" t="s">
        <v>731</v>
      </c>
      <c r="C241" s="62"/>
      <c r="D241" s="62"/>
      <c r="F241" s="55"/>
      <c r="G241" s="32"/>
      <c r="H241" s="39"/>
      <c r="I241" s="775"/>
      <c r="J241" s="1649"/>
      <c r="K241" s="1649"/>
    </row>
    <row r="242" spans="1:13" ht="15.6">
      <c r="A242" s="77">
        <f>+A238+1</f>
        <v>139</v>
      </c>
      <c r="B242" s="77"/>
      <c r="C242" s="62" t="s">
        <v>798</v>
      </c>
      <c r="D242" s="62"/>
      <c r="F242" s="55" t="str">
        <f>"(Line "&amp;A230&amp;" - Line "&amp;A214&amp;" - Line "&amp;A215&amp;")"</f>
        <v>(Line 132 - Line 122 - Line 123)</v>
      </c>
      <c r="G242" s="32"/>
      <c r="H242" s="1023">
        <f>H230-H214-H215</f>
        <v>78402144.689999998</v>
      </c>
      <c r="I242" s="1024"/>
      <c r="J242" s="1210"/>
      <c r="K242" s="1210"/>
    </row>
    <row r="243" spans="1:13" ht="15.6">
      <c r="A243" s="77">
        <f t="shared" ref="A243:A248" si="2">+A242+1</f>
        <v>140</v>
      </c>
      <c r="B243" s="77"/>
      <c r="C243" s="62" t="s">
        <v>978</v>
      </c>
      <c r="D243" s="62"/>
      <c r="F243" s="55" t="s">
        <v>418</v>
      </c>
      <c r="G243" s="32"/>
      <c r="H243" s="1024">
        <f>'4 - Incentive ROE Adj'!G9</f>
        <v>174852648.66701141</v>
      </c>
      <c r="I243" s="1024"/>
      <c r="J243" s="1210"/>
      <c r="K243" s="1210"/>
    </row>
    <row r="244" spans="1:13" ht="15.6">
      <c r="A244" s="77">
        <f t="shared" si="2"/>
        <v>141</v>
      </c>
      <c r="B244" s="77"/>
      <c r="C244" s="62" t="s">
        <v>732</v>
      </c>
      <c r="D244" s="62"/>
      <c r="F244" s="55" t="str">
        <f>"(Line "&amp;A242&amp;" + Line "&amp;A243&amp;")"</f>
        <v>(Line 139 + Line 140)</v>
      </c>
      <c r="G244" s="32"/>
      <c r="H244" s="1024">
        <f>H242+H243</f>
        <v>253254793.35701141</v>
      </c>
      <c r="I244" s="1024"/>
      <c r="J244" s="1210"/>
      <c r="K244" s="1210"/>
    </row>
    <row r="245" spans="1:13" ht="15.6">
      <c r="A245" s="77">
        <f t="shared" si="2"/>
        <v>142</v>
      </c>
      <c r="B245" s="77"/>
      <c r="C245" s="62" t="str">
        <f>+C234</f>
        <v>Net Transmission Plant  + CWIP</v>
      </c>
      <c r="D245" s="62"/>
      <c r="F245" s="55" t="str">
        <f>"(Line "&amp;A39&amp;" - Line "&amp;A50&amp;"+ Line "&amp;A68&amp;")"</f>
        <v>(Line 17 - Line 23+ Line 33)</v>
      </c>
      <c r="G245" s="32"/>
      <c r="H245" s="1024">
        <f>H39-H50+H68</f>
        <v>1784503626.4441199</v>
      </c>
      <c r="I245" s="1024"/>
      <c r="J245" s="1210"/>
      <c r="K245" s="1210"/>
    </row>
    <row r="246" spans="1:13" ht="15.6">
      <c r="A246" s="77">
        <f t="shared" si="2"/>
        <v>143</v>
      </c>
      <c r="B246" s="77"/>
      <c r="C246" s="62" t="s">
        <v>780</v>
      </c>
      <c r="D246" s="62"/>
      <c r="F246" s="55" t="str">
        <f>"(Line "&amp;A244&amp;" / Line "&amp;A245&amp;")"</f>
        <v>(Line 141 / Line 142)</v>
      </c>
      <c r="G246" s="32"/>
      <c r="H246" s="775">
        <f>H244/H245</f>
        <v>0.14191890092241394</v>
      </c>
      <c r="I246" s="775"/>
      <c r="J246" s="1649"/>
      <c r="K246" s="1649"/>
    </row>
    <row r="247" spans="1:13" ht="15.6">
      <c r="A247" s="77">
        <f t="shared" si="2"/>
        <v>144</v>
      </c>
      <c r="B247" s="77"/>
      <c r="C247" s="62" t="s">
        <v>781</v>
      </c>
      <c r="D247" s="62"/>
      <c r="F247" s="55" t="str">
        <f>"(Line "&amp;A244&amp;" - Line "&amp;A138&amp;") /  Line "&amp;A245</f>
        <v>(Line 141 - Line 75) /  Line 142</v>
      </c>
      <c r="G247" s="32"/>
      <c r="H247" s="775">
        <f>(H244-H138)/H245</f>
        <v>0.11720822320422503</v>
      </c>
      <c r="I247" s="775"/>
      <c r="J247" s="1649"/>
      <c r="K247" s="1649"/>
    </row>
    <row r="248" spans="1:13" ht="15.6">
      <c r="A248" s="77">
        <f t="shared" si="2"/>
        <v>145</v>
      </c>
      <c r="B248" s="77"/>
      <c r="C248" s="62" t="s">
        <v>785</v>
      </c>
      <c r="D248" s="62"/>
      <c r="F248" s="55" t="str">
        <f>"(Line "&amp;A244&amp;" - Line "&amp;A127&amp;" - Line "&amp;A128&amp;" - Line "&amp;A138&amp;") /  Line "&amp;A245</f>
        <v>(Line 141 - Line 70 - Line 71 - Line 75) /  Line 142</v>
      </c>
      <c r="G248" s="32"/>
      <c r="H248" s="775">
        <f>(H244-H$127-H$128-$H$138)/$H$245</f>
        <v>0.11720822320422503</v>
      </c>
      <c r="I248" s="775"/>
      <c r="J248" s="1649"/>
      <c r="K248" s="1649"/>
    </row>
    <row r="249" spans="1:13" ht="15.6">
      <c r="A249" s="77"/>
      <c r="B249" s="77"/>
      <c r="C249" s="62"/>
      <c r="D249" s="62"/>
      <c r="F249" s="55"/>
      <c r="G249" s="32"/>
      <c r="H249" s="775"/>
      <c r="I249" s="775"/>
      <c r="J249" s="1649"/>
      <c r="K249" s="1649"/>
    </row>
    <row r="250" spans="1:13" ht="15.6">
      <c r="A250" s="77">
        <f>+A248+1</f>
        <v>146</v>
      </c>
      <c r="B250" s="77"/>
      <c r="C250" s="208" t="s">
        <v>630</v>
      </c>
      <c r="D250" s="62"/>
      <c r="E250" s="93"/>
      <c r="F250" s="55" t="str">
        <f>"(Line "&amp;A230&amp;")"</f>
        <v>(Line 132)</v>
      </c>
      <c r="G250" s="32"/>
      <c r="H250" s="1546">
        <f>H230</f>
        <v>241301340.19477409</v>
      </c>
      <c r="I250" s="1024"/>
      <c r="J250" s="1547"/>
      <c r="K250" s="1547"/>
      <c r="L250" s="1151"/>
    </row>
    <row r="251" spans="1:13" ht="15.6">
      <c r="A251" s="77">
        <f>+A250+1</f>
        <v>147</v>
      </c>
      <c r="B251" s="77"/>
      <c r="C251" s="62" t="s">
        <v>259</v>
      </c>
      <c r="D251" s="62"/>
      <c r="E251" s="379"/>
      <c r="F251" s="419" t="s">
        <v>412</v>
      </c>
      <c r="G251" s="32"/>
      <c r="H251" s="1814">
        <f>'6- Est &amp; Reconcile WS'!M298</f>
        <v>6266676.7317023622</v>
      </c>
      <c r="I251" s="1018"/>
      <c r="J251" s="1681"/>
      <c r="K251" s="1681"/>
    </row>
    <row r="252" spans="1:13" ht="15.6">
      <c r="A252" s="77">
        <f>+A251+1</f>
        <v>148</v>
      </c>
      <c r="B252" s="77"/>
      <c r="C252" s="556" t="s">
        <v>787</v>
      </c>
      <c r="D252" s="62"/>
      <c r="E252" s="379"/>
      <c r="F252" s="419" t="s">
        <v>972</v>
      </c>
      <c r="G252" s="32"/>
      <c r="H252" s="1546">
        <f>+'7 - Cap Add WS'!IU32</f>
        <v>6182960.6473413408</v>
      </c>
      <c r="I252" s="1024"/>
      <c r="J252" s="1547"/>
      <c r="K252" s="1547"/>
    </row>
    <row r="253" spans="1:13" ht="16.2" thickBot="1">
      <c r="A253" s="77">
        <f>+A252+1</f>
        <v>149</v>
      </c>
      <c r="B253" s="77"/>
      <c r="C253" s="863" t="s">
        <v>436</v>
      </c>
      <c r="D253" s="864"/>
      <c r="E253" s="196"/>
      <c r="F253" s="190" t="s">
        <v>441</v>
      </c>
      <c r="G253" s="99"/>
      <c r="H253" s="1547">
        <f>'5 - Cost Support'!G246</f>
        <v>0</v>
      </c>
      <c r="I253" s="1210"/>
      <c r="J253" s="1974"/>
      <c r="K253" s="1547"/>
    </row>
    <row r="254" spans="1:13" ht="27" customHeight="1" thickBot="1">
      <c r="A254" s="77">
        <f>+A253+1</f>
        <v>150</v>
      </c>
      <c r="B254" s="77"/>
      <c r="C254" s="208" t="s">
        <v>946</v>
      </c>
      <c r="D254" s="62"/>
      <c r="E254" s="93"/>
      <c r="F254" s="55" t="str">
        <f>"(Line "&amp;A250&amp;" + "&amp;A251&amp;" + "&amp;A252&amp;" + "&amp;A253&amp;")"</f>
        <v>(Line 146 + 147 + 148 + 149)</v>
      </c>
      <c r="G254" s="32"/>
      <c r="H254" s="1710">
        <f>(H250+H251+H252+H253)</f>
        <v>253750977.57381779</v>
      </c>
      <c r="I254" s="1310"/>
      <c r="J254" s="1682"/>
      <c r="K254" s="1682"/>
      <c r="M254" s="1149"/>
    </row>
    <row r="255" spans="1:13" ht="15.6">
      <c r="A255" s="77"/>
      <c r="B255" s="31"/>
      <c r="C255" s="62"/>
      <c r="D255" s="62"/>
      <c r="F255" s="55"/>
      <c r="G255" s="32"/>
      <c r="H255" s="39"/>
      <c r="I255" s="775"/>
      <c r="J255" s="1649"/>
      <c r="K255" s="1649"/>
    </row>
    <row r="256" spans="1:13" ht="15.6">
      <c r="A256" s="77"/>
      <c r="B256" s="101" t="s">
        <v>945</v>
      </c>
      <c r="C256" s="62"/>
      <c r="D256" s="62"/>
      <c r="F256" s="55"/>
      <c r="G256" s="32"/>
      <c r="H256" s="39"/>
      <c r="I256" s="775"/>
      <c r="J256" s="1649"/>
      <c r="K256" s="1649"/>
    </row>
    <row r="257" spans="1:11" ht="15.6">
      <c r="A257" s="77">
        <f>+A254+1</f>
        <v>151</v>
      </c>
      <c r="B257" s="31"/>
      <c r="C257" s="9" t="s">
        <v>582</v>
      </c>
      <c r="D257" s="128"/>
      <c r="E257" s="191" t="str">
        <f>"(Note "&amp;B289&amp;")"</f>
        <v>(Note K)</v>
      </c>
      <c r="F257" s="62" t="s">
        <v>920</v>
      </c>
      <c r="G257" s="62"/>
      <c r="H257" s="778" t="s">
        <v>752</v>
      </c>
      <c r="I257" s="778"/>
      <c r="J257" s="1683"/>
      <c r="K257" s="1683"/>
    </row>
    <row r="258" spans="1:11" ht="15.6">
      <c r="A258" s="29">
        <f>+A257+1</f>
        <v>152</v>
      </c>
      <c r="B258" s="31"/>
      <c r="C258" s="9" t="s">
        <v>581</v>
      </c>
      <c r="D258" s="338"/>
      <c r="E258" s="339"/>
      <c r="F258" s="43" t="str">
        <f>"(Line "&amp;A254&amp;" / "&amp;A257&amp;")"</f>
        <v>(Line 150 / 151)</v>
      </c>
      <c r="G258" s="136"/>
      <c r="H258" s="612" t="s">
        <v>752</v>
      </c>
      <c r="I258" s="1643"/>
      <c r="J258" s="1643"/>
      <c r="K258" s="1643"/>
    </row>
    <row r="259" spans="1:11" ht="16.2" thickBot="1">
      <c r="A259" s="31"/>
      <c r="B259" s="31"/>
      <c r="C259" s="128"/>
      <c r="D259" s="128"/>
      <c r="E259" s="189"/>
      <c r="F259" s="351"/>
      <c r="G259" s="136"/>
      <c r="H259" s="523"/>
      <c r="I259" s="836"/>
      <c r="J259" s="836"/>
      <c r="K259" s="836"/>
    </row>
    <row r="260" spans="1:11" s="82" customFormat="1" ht="18" thickBot="1">
      <c r="A260" s="142">
        <f>+A258+1</f>
        <v>153</v>
      </c>
      <c r="B260" s="150"/>
      <c r="C260" s="143" t="s">
        <v>642</v>
      </c>
      <c r="D260" s="150"/>
      <c r="E260" s="150"/>
      <c r="F260" s="150" t="str">
        <f>"(Line "&amp;A258&amp;")"</f>
        <v>(Line 152)</v>
      </c>
      <c r="G260" s="150"/>
      <c r="H260" s="1312" t="str">
        <f>H258</f>
        <v>N/A</v>
      </c>
      <c r="I260" s="1684"/>
      <c r="J260" s="1684"/>
      <c r="K260" s="1684"/>
    </row>
    <row r="261" spans="1:11" s="82" customFormat="1" ht="15.6">
      <c r="A261" s="219"/>
      <c r="B261" s="78"/>
      <c r="C261" s="38"/>
      <c r="D261" s="38"/>
      <c r="E261" s="189"/>
      <c r="F261" s="136"/>
      <c r="G261" s="136"/>
      <c r="H261" s="523"/>
      <c r="I261" s="836"/>
      <c r="J261" s="836"/>
      <c r="K261" s="836"/>
    </row>
    <row r="262" spans="1:11" s="82" customFormat="1" ht="17.399999999999999">
      <c r="A262" s="503"/>
      <c r="B262" s="353" t="s">
        <v>626</v>
      </c>
      <c r="C262" s="80"/>
      <c r="D262" s="80"/>
      <c r="E262" s="339"/>
      <c r="F262" s="351"/>
      <c r="G262" s="136"/>
      <c r="H262" s="523"/>
      <c r="I262" s="836"/>
      <c r="J262" s="836"/>
      <c r="K262" s="836"/>
    </row>
    <row r="263" spans="1:11" s="82" customFormat="1" ht="15.6">
      <c r="A263" s="474"/>
      <c r="B263" s="273" t="s">
        <v>527</v>
      </c>
      <c r="C263" s="80" t="s">
        <v>634</v>
      </c>
      <c r="D263" s="80"/>
      <c r="E263" s="336"/>
      <c r="F263" s="337"/>
      <c r="G263" s="136"/>
      <c r="H263" s="523" t="s">
        <v>525</v>
      </c>
      <c r="I263" s="836"/>
      <c r="J263" s="836"/>
      <c r="K263" s="836"/>
    </row>
    <row r="264" spans="1:11" s="82" customFormat="1" ht="15.6">
      <c r="A264" s="474"/>
      <c r="B264" s="273" t="s">
        <v>604</v>
      </c>
      <c r="C264" s="67" t="s">
        <v>760</v>
      </c>
      <c r="D264" s="80"/>
      <c r="E264" s="336"/>
      <c r="F264" s="337"/>
      <c r="G264" s="136"/>
      <c r="H264" s="523"/>
      <c r="I264" s="836"/>
      <c r="J264" s="836"/>
      <c r="K264" s="836"/>
    </row>
    <row r="265" spans="1:11" s="82" customFormat="1" ht="15.6">
      <c r="A265" s="474"/>
      <c r="B265" s="273"/>
      <c r="C265" s="564" t="s">
        <v>761</v>
      </c>
      <c r="D265" s="80"/>
      <c r="E265" s="336"/>
      <c r="F265" s="337"/>
      <c r="G265" s="136"/>
      <c r="H265" s="524"/>
      <c r="I265" s="1644"/>
      <c r="J265" s="1685"/>
      <c r="K265" s="1685"/>
    </row>
    <row r="266" spans="1:11" s="82" customFormat="1" ht="15.6">
      <c r="A266" s="474"/>
      <c r="B266" s="273"/>
      <c r="C266" s="67" t="s">
        <v>67</v>
      </c>
      <c r="D266" s="80"/>
      <c r="E266" s="336"/>
      <c r="F266" s="337"/>
      <c r="G266" s="136"/>
      <c r="H266" s="523"/>
      <c r="I266" s="836"/>
      <c r="J266" s="836"/>
      <c r="K266" s="836"/>
    </row>
    <row r="267" spans="1:11" s="82" customFormat="1" ht="15.6">
      <c r="A267" s="474"/>
      <c r="B267" s="273"/>
      <c r="C267" s="67" t="s">
        <v>762</v>
      </c>
      <c r="D267" s="80"/>
      <c r="E267" s="336"/>
      <c r="F267" s="337"/>
      <c r="G267" s="136"/>
      <c r="H267" s="523"/>
      <c r="I267" s="836"/>
      <c r="J267" s="836"/>
      <c r="K267" s="836"/>
    </row>
    <row r="268" spans="1:11" s="82" customFormat="1" ht="15.6">
      <c r="A268" s="474"/>
      <c r="B268" s="273"/>
      <c r="C268" s="67" t="s">
        <v>764</v>
      </c>
      <c r="D268" s="80"/>
      <c r="E268" s="336"/>
      <c r="F268" s="337"/>
      <c r="G268" s="136"/>
      <c r="H268" s="523"/>
      <c r="I268" s="836"/>
      <c r="J268" s="836"/>
      <c r="K268" s="836"/>
    </row>
    <row r="269" spans="1:11" s="82" customFormat="1" ht="15.6">
      <c r="A269" s="474"/>
      <c r="B269" s="273"/>
      <c r="C269" s="67" t="s">
        <v>765</v>
      </c>
      <c r="D269" s="80"/>
      <c r="E269" s="336"/>
      <c r="F269" s="337"/>
      <c r="G269" s="136"/>
      <c r="H269" s="523"/>
      <c r="I269" s="836"/>
      <c r="J269" s="836"/>
      <c r="K269" s="836"/>
    </row>
    <row r="270" spans="1:11" s="82" customFormat="1" ht="15.6">
      <c r="A270" s="474"/>
      <c r="B270" s="273"/>
      <c r="C270" s="67" t="s">
        <v>766</v>
      </c>
      <c r="D270" s="80"/>
      <c r="E270" s="336"/>
      <c r="F270" s="337"/>
      <c r="G270" s="136"/>
      <c r="H270" s="523"/>
      <c r="I270" s="836"/>
      <c r="J270" s="836"/>
      <c r="K270" s="836"/>
    </row>
    <row r="271" spans="1:11" s="82" customFormat="1" ht="15.6">
      <c r="A271" s="474"/>
      <c r="B271" s="273"/>
      <c r="C271" s="67" t="s">
        <v>767</v>
      </c>
      <c r="D271" s="80"/>
      <c r="E271" s="336"/>
      <c r="F271" s="337"/>
      <c r="G271" s="136"/>
      <c r="H271" s="523"/>
      <c r="I271" s="836"/>
      <c r="J271" s="836"/>
      <c r="K271" s="836"/>
    </row>
    <row r="272" spans="1:11" s="82" customFormat="1" ht="15.6">
      <c r="A272" s="474"/>
      <c r="B272" s="273"/>
      <c r="C272" s="564" t="s">
        <v>768</v>
      </c>
      <c r="D272" s="80"/>
      <c r="E272" s="336"/>
      <c r="F272" s="337"/>
      <c r="G272" s="136"/>
      <c r="H272" s="523"/>
      <c r="I272" s="836"/>
      <c r="J272" s="836"/>
      <c r="K272" s="836"/>
    </row>
    <row r="273" spans="1:11" s="82" customFormat="1" ht="15.6">
      <c r="A273" s="474"/>
      <c r="B273" s="273"/>
      <c r="C273" s="67" t="s">
        <v>769</v>
      </c>
      <c r="D273" s="80"/>
      <c r="E273" s="336"/>
      <c r="F273" s="337"/>
      <c r="G273" s="136"/>
      <c r="H273" s="523"/>
      <c r="I273" s="836"/>
      <c r="J273" s="836"/>
      <c r="K273" s="836"/>
    </row>
    <row r="274" spans="1:11" s="82" customFormat="1" ht="15.6">
      <c r="A274" s="474"/>
      <c r="B274" s="273"/>
      <c r="C274" s="67" t="s">
        <v>68</v>
      </c>
      <c r="D274" s="80"/>
      <c r="E274" s="336"/>
      <c r="F274" s="337"/>
      <c r="G274" s="136"/>
      <c r="H274" s="523"/>
      <c r="I274" s="836"/>
      <c r="J274" s="836"/>
      <c r="K274" s="836"/>
    </row>
    <row r="275" spans="1:11" s="82" customFormat="1" ht="15.6">
      <c r="A275" s="474"/>
      <c r="B275" s="273"/>
      <c r="C275" s="67" t="s">
        <v>770</v>
      </c>
      <c r="D275" s="80"/>
      <c r="E275" s="336"/>
      <c r="F275" s="337"/>
      <c r="G275" s="136"/>
      <c r="H275" s="523"/>
      <c r="I275" s="836"/>
      <c r="J275" s="836"/>
      <c r="K275" s="836"/>
    </row>
    <row r="276" spans="1:11" s="82" customFormat="1" ht="15.6">
      <c r="A276" s="474"/>
      <c r="B276" s="273"/>
      <c r="C276" s="67" t="s">
        <v>771</v>
      </c>
      <c r="D276" s="80"/>
      <c r="E276" s="336"/>
      <c r="F276" s="337"/>
      <c r="G276" s="136"/>
      <c r="H276" s="523"/>
      <c r="I276" s="836"/>
      <c r="J276" s="836"/>
      <c r="K276" s="836"/>
    </row>
    <row r="277" spans="1:11" s="82" customFormat="1" ht="15.6">
      <c r="A277" s="474"/>
      <c r="B277" s="273"/>
      <c r="C277" s="67" t="s">
        <v>767</v>
      </c>
      <c r="D277" s="80"/>
      <c r="E277" s="336"/>
      <c r="F277" s="337"/>
      <c r="G277" s="136"/>
      <c r="H277" s="523"/>
      <c r="I277" s="836"/>
      <c r="J277" s="836"/>
      <c r="K277" s="836"/>
    </row>
    <row r="278" spans="1:11" s="82" customFormat="1" ht="15.6">
      <c r="A278" s="474"/>
      <c r="B278" s="273" t="s">
        <v>510</v>
      </c>
      <c r="C278" s="67" t="s">
        <v>267</v>
      </c>
      <c r="D278" s="80"/>
      <c r="E278" s="336"/>
      <c r="F278" s="337"/>
      <c r="G278" s="136"/>
      <c r="H278" s="523"/>
      <c r="I278" s="836"/>
      <c r="J278" s="836"/>
      <c r="K278" s="836"/>
    </row>
    <row r="279" spans="1:11" s="82" customFormat="1" ht="15.6">
      <c r="A279" s="474"/>
      <c r="B279" s="273"/>
      <c r="C279" s="67" t="s">
        <v>266</v>
      </c>
      <c r="D279" s="80"/>
      <c r="E279" s="336"/>
      <c r="F279" s="337"/>
      <c r="G279" s="136"/>
      <c r="H279" s="523"/>
      <c r="I279" s="836"/>
      <c r="J279" s="836"/>
      <c r="K279" s="836"/>
    </row>
    <row r="280" spans="1:11" s="82" customFormat="1" ht="15.6">
      <c r="A280" s="474"/>
      <c r="B280" s="273" t="s">
        <v>528</v>
      </c>
      <c r="C280" s="833" t="s">
        <v>682</v>
      </c>
      <c r="D280" s="80"/>
      <c r="E280" s="336"/>
      <c r="F280" s="337"/>
      <c r="G280" s="136"/>
      <c r="H280" s="523"/>
      <c r="I280" s="836"/>
      <c r="J280" s="836"/>
      <c r="K280" s="836"/>
    </row>
    <row r="281" spans="1:11" s="82" customFormat="1" ht="15.6">
      <c r="A281" s="474"/>
      <c r="B281" s="273" t="s">
        <v>526</v>
      </c>
      <c r="C281" s="55" t="s">
        <v>772</v>
      </c>
      <c r="D281" s="80"/>
      <c r="E281" s="836"/>
      <c r="F281" s="337"/>
      <c r="G281" s="136"/>
      <c r="H281" s="523"/>
      <c r="I281" s="836"/>
      <c r="J281" s="836"/>
      <c r="K281" s="836"/>
    </row>
    <row r="282" spans="1:11" s="82" customFormat="1" ht="15.6">
      <c r="A282" s="474"/>
      <c r="B282" s="273" t="s">
        <v>969</v>
      </c>
      <c r="C282" s="833" t="s">
        <v>679</v>
      </c>
      <c r="D282" s="80"/>
      <c r="E282" s="837"/>
      <c r="F282" s="337"/>
      <c r="G282" s="136"/>
      <c r="H282" s="523"/>
      <c r="I282" s="836"/>
      <c r="J282" s="836"/>
      <c r="K282" s="836"/>
    </row>
    <row r="283" spans="1:11" s="82" customFormat="1" ht="15.6">
      <c r="A283" s="474"/>
      <c r="B283" s="273" t="s">
        <v>529</v>
      </c>
      <c r="C283" s="833" t="s">
        <v>678</v>
      </c>
      <c r="D283" s="80"/>
      <c r="E283" s="336"/>
      <c r="F283" s="337"/>
      <c r="G283" s="136"/>
      <c r="H283" s="837"/>
      <c r="I283" s="837"/>
      <c r="J283" s="837"/>
      <c r="K283" s="837"/>
    </row>
    <row r="284" spans="1:11" s="82" customFormat="1" ht="15.6">
      <c r="A284" s="474"/>
      <c r="B284" s="273" t="s">
        <v>867</v>
      </c>
      <c r="C284" s="833" t="s">
        <v>680</v>
      </c>
      <c r="D284" s="80"/>
      <c r="E284" s="336"/>
      <c r="F284" s="337"/>
      <c r="G284" s="136"/>
      <c r="H284" s="837"/>
      <c r="I284" s="837"/>
      <c r="J284" s="837"/>
      <c r="K284" s="837"/>
    </row>
    <row r="285" spans="1:11" s="82" customFormat="1" ht="15.6">
      <c r="A285" s="474"/>
      <c r="B285" s="273"/>
      <c r="C285" s="833" t="s">
        <v>681</v>
      </c>
      <c r="D285" s="80"/>
      <c r="E285" s="336"/>
      <c r="F285" s="337"/>
      <c r="G285" s="136"/>
      <c r="H285" s="837"/>
      <c r="I285" s="837"/>
      <c r="J285" s="837"/>
      <c r="K285" s="837"/>
    </row>
    <row r="286" spans="1:11" ht="15.6">
      <c r="A286" s="473"/>
      <c r="B286" s="273"/>
      <c r="C286" s="833" t="s">
        <v>69</v>
      </c>
      <c r="D286" s="80"/>
      <c r="E286" s="336"/>
      <c r="F286" s="337"/>
      <c r="G286" s="136"/>
      <c r="H286" s="523"/>
      <c r="I286" s="836"/>
      <c r="J286" s="836"/>
      <c r="K286" s="836"/>
    </row>
    <row r="287" spans="1:11" ht="15.6">
      <c r="A287" s="273"/>
      <c r="B287" s="273" t="s">
        <v>950</v>
      </c>
      <c r="C287" s="833" t="s">
        <v>128</v>
      </c>
      <c r="D287" s="80"/>
      <c r="E287" s="336"/>
      <c r="F287" s="337"/>
      <c r="G287" s="136"/>
      <c r="H287" s="523"/>
      <c r="I287" s="836"/>
      <c r="J287" s="836"/>
      <c r="K287" s="836"/>
    </row>
    <row r="288" spans="1:11" ht="15.6">
      <c r="A288" s="185"/>
      <c r="B288" s="273" t="s">
        <v>517</v>
      </c>
      <c r="C288" s="80" t="s">
        <v>885</v>
      </c>
      <c r="D288" s="80"/>
      <c r="E288" s="336"/>
      <c r="F288" s="337"/>
      <c r="G288" s="136"/>
      <c r="H288" s="523"/>
      <c r="I288" s="836"/>
      <c r="J288" s="836"/>
      <c r="K288" s="836"/>
    </row>
    <row r="289" spans="1:11" ht="15.6">
      <c r="A289" s="185"/>
      <c r="B289" s="273" t="s">
        <v>531</v>
      </c>
      <c r="C289" s="80" t="s">
        <v>691</v>
      </c>
      <c r="D289" s="80"/>
      <c r="E289" s="336"/>
      <c r="F289" s="337"/>
      <c r="G289" s="136"/>
      <c r="H289" s="523"/>
      <c r="I289" s="836"/>
      <c r="J289" s="836"/>
      <c r="K289" s="836"/>
    </row>
    <row r="290" spans="1:11" ht="15.6">
      <c r="A290" s="185"/>
      <c r="B290" s="473" t="s">
        <v>585</v>
      </c>
      <c r="C290" s="55" t="s">
        <v>673</v>
      </c>
      <c r="D290" s="55"/>
      <c r="E290" s="336"/>
      <c r="F290" s="337"/>
      <c r="G290" s="136"/>
      <c r="H290" s="523"/>
      <c r="I290" s="836"/>
      <c r="J290" s="836"/>
      <c r="K290" s="836"/>
    </row>
    <row r="291" spans="1:11" ht="15.6">
      <c r="A291" s="185"/>
      <c r="B291" s="473" t="s">
        <v>586</v>
      </c>
      <c r="C291" s="834" t="str">
        <f>"Payments made under Schedule 12 of the PJM OATT that are not directly assessed to load in the Zone under Schedule 12 are included in Transmission O&amp;M on Line "&amp;A97&amp;"."</f>
        <v>Payments made under Schedule 12 of the PJM OATT that are not directly assessed to load in the Zone under Schedule 12 are included in Transmission O&amp;M on Line 47.</v>
      </c>
      <c r="D291" s="55"/>
      <c r="E291" s="339"/>
      <c r="F291" s="351"/>
      <c r="G291" s="136"/>
      <c r="H291" s="523"/>
      <c r="I291" s="836"/>
      <c r="J291" s="836"/>
      <c r="K291" s="836"/>
    </row>
    <row r="292" spans="1:11" ht="15.6">
      <c r="A292" s="185"/>
      <c r="B292" s="473"/>
      <c r="C292" s="2001" t="str">
        <f>"  If they are booked to Acct 565, they are included on Line "&amp;A100&amp;".  Copies of PJM invoices will be provided upon request."</f>
        <v xml:space="preserve">  If they are booked to Acct 565, they are included on Line 50.  Copies of PJM invoices will be provided upon request.</v>
      </c>
      <c r="D292" s="2002"/>
      <c r="E292" s="2002"/>
      <c r="F292" s="2002"/>
      <c r="G292" s="136"/>
      <c r="H292" s="523"/>
      <c r="I292" s="836"/>
      <c r="J292" s="836"/>
      <c r="K292" s="836"/>
    </row>
    <row r="293" spans="1:11" ht="15.6">
      <c r="A293" s="185"/>
      <c r="B293" s="273" t="s">
        <v>970</v>
      </c>
      <c r="C293" s="80" t="s">
        <v>397</v>
      </c>
      <c r="D293" s="352"/>
      <c r="E293" s="339"/>
      <c r="F293" s="351"/>
      <c r="G293" s="351"/>
      <c r="H293" s="836"/>
      <c r="I293" s="836"/>
      <c r="J293" s="836"/>
      <c r="K293" s="836"/>
    </row>
    <row r="294" spans="1:11" ht="15.6">
      <c r="A294" s="185"/>
      <c r="B294" s="835"/>
      <c r="C294" s="80" t="s">
        <v>261</v>
      </c>
      <c r="D294" s="352"/>
      <c r="E294" s="339"/>
      <c r="F294" s="351"/>
      <c r="G294" s="136"/>
      <c r="H294" s="523"/>
      <c r="I294" s="836"/>
      <c r="J294" s="836"/>
      <c r="K294" s="836"/>
    </row>
    <row r="295" spans="1:11" ht="15.6">
      <c r="A295" s="185"/>
      <c r="B295" s="353"/>
      <c r="C295" s="80" t="s">
        <v>258</v>
      </c>
      <c r="D295" s="352"/>
      <c r="E295" s="339"/>
      <c r="F295" s="351"/>
      <c r="G295" s="351"/>
      <c r="H295" s="836"/>
      <c r="I295" s="836"/>
      <c r="J295" s="836"/>
      <c r="K295" s="836"/>
    </row>
    <row r="296" spans="1:11" ht="15.6">
      <c r="A296" s="185"/>
      <c r="B296" s="353"/>
      <c r="C296" s="80" t="s">
        <v>392</v>
      </c>
      <c r="D296" s="352"/>
      <c r="E296" s="339"/>
      <c r="F296" s="351"/>
      <c r="G296" s="351"/>
      <c r="H296" s="836"/>
      <c r="I296" s="836"/>
      <c r="J296" s="836"/>
      <c r="K296" s="836"/>
    </row>
    <row r="297" spans="1:11" ht="15.6">
      <c r="A297" s="185"/>
      <c r="B297" s="353"/>
      <c r="C297" s="352"/>
      <c r="D297" s="352"/>
      <c r="E297" s="339"/>
      <c r="F297" s="351"/>
      <c r="G297" s="351"/>
      <c r="H297" s="836"/>
      <c r="I297" s="836"/>
      <c r="J297" s="836"/>
      <c r="K297" s="836"/>
    </row>
    <row r="298" spans="1:11" ht="15.6">
      <c r="A298" s="185"/>
      <c r="B298" s="353"/>
      <c r="C298" s="352" t="s">
        <v>934</v>
      </c>
      <c r="D298" s="352"/>
      <c r="E298" s="339"/>
      <c r="F298" s="351"/>
      <c r="G298" s="351"/>
      <c r="H298" s="836"/>
      <c r="I298" s="836"/>
      <c r="J298" s="836"/>
      <c r="K298" s="836"/>
    </row>
    <row r="299" spans="1:11" ht="15.6">
      <c r="A299" s="185"/>
      <c r="B299" s="353"/>
      <c r="C299" s="352"/>
      <c r="D299" s="352"/>
      <c r="E299" s="339"/>
      <c r="F299" s="351"/>
      <c r="G299" s="351"/>
      <c r="H299" s="836"/>
      <c r="I299" s="836"/>
      <c r="J299" s="836"/>
      <c r="K299" s="836"/>
    </row>
    <row r="300" spans="1:11" ht="15.6">
      <c r="A300" s="185"/>
      <c r="B300" s="353"/>
      <c r="C300" s="352" t="s">
        <v>935</v>
      </c>
      <c r="D300" s="352"/>
      <c r="E300" s="339"/>
      <c r="F300" s="351"/>
      <c r="G300" s="351"/>
      <c r="H300" s="836"/>
      <c r="I300" s="836"/>
      <c r="J300" s="836"/>
      <c r="K300" s="836"/>
    </row>
    <row r="301" spans="1:11" ht="15.6">
      <c r="A301" s="185"/>
      <c r="B301" s="353"/>
      <c r="C301" s="352" t="s">
        <v>936</v>
      </c>
      <c r="D301" s="352"/>
      <c r="E301" s="339"/>
      <c r="F301" s="351"/>
      <c r="G301" s="351"/>
      <c r="H301" s="836"/>
      <c r="I301" s="836"/>
      <c r="J301" s="836"/>
      <c r="K301" s="836"/>
    </row>
    <row r="302" spans="1:11" ht="15.6">
      <c r="A302" s="185"/>
      <c r="B302" s="353"/>
      <c r="C302" s="352" t="s">
        <v>938</v>
      </c>
      <c r="D302" s="352"/>
      <c r="E302" s="339"/>
      <c r="F302" s="351"/>
      <c r="G302" s="351"/>
      <c r="H302" s="836"/>
      <c r="I302" s="836"/>
      <c r="J302" s="836"/>
      <c r="K302" s="836"/>
    </row>
    <row r="303" spans="1:11" ht="15.6">
      <c r="A303" s="185"/>
      <c r="B303" s="353"/>
      <c r="C303" s="352"/>
      <c r="D303" s="352"/>
      <c r="E303" s="339"/>
      <c r="F303" s="351"/>
      <c r="G303" s="351"/>
      <c r="H303" s="836"/>
      <c r="I303" s="836"/>
      <c r="J303" s="836"/>
      <c r="K303" s="836"/>
    </row>
    <row r="304" spans="1:11" ht="15.6">
      <c r="A304" s="185"/>
      <c r="B304" s="353"/>
      <c r="C304" s="352" t="s">
        <v>129</v>
      </c>
      <c r="D304" s="352"/>
      <c r="E304" s="339"/>
      <c r="F304" s="351"/>
      <c r="G304" s="351"/>
      <c r="H304" s="836"/>
      <c r="I304" s="836"/>
      <c r="J304" s="836"/>
      <c r="K304" s="836"/>
    </row>
    <row r="305" spans="1:11" ht="15.6">
      <c r="A305" s="185"/>
      <c r="B305" s="353"/>
      <c r="C305" s="352"/>
      <c r="D305" s="352"/>
      <c r="E305" s="339"/>
      <c r="F305" s="351"/>
      <c r="G305" s="351"/>
      <c r="H305" s="836"/>
      <c r="I305" s="836"/>
      <c r="J305" s="836"/>
      <c r="K305" s="836"/>
    </row>
    <row r="306" spans="1:11" ht="15.6">
      <c r="A306" s="185"/>
      <c r="B306" s="273"/>
      <c r="C306" s="80"/>
      <c r="D306" s="352"/>
      <c r="E306" s="339"/>
      <c r="F306" s="351"/>
      <c r="G306" s="351"/>
      <c r="H306" s="836"/>
      <c r="I306" s="836"/>
      <c r="J306" s="836"/>
      <c r="K306" s="836"/>
    </row>
    <row r="307" spans="1:11" ht="15.6">
      <c r="A307" s="185"/>
      <c r="B307" s="185"/>
      <c r="C307" s="352"/>
      <c r="D307" s="352"/>
      <c r="E307" s="339"/>
      <c r="F307" s="351"/>
      <c r="G307" s="136"/>
      <c r="H307" s="523"/>
      <c r="I307" s="836"/>
      <c r="J307" s="836"/>
      <c r="K307" s="836"/>
    </row>
    <row r="308" spans="1:11" ht="15.6">
      <c r="A308" s="185"/>
      <c r="B308" s="185"/>
      <c r="C308" s="352"/>
      <c r="D308" s="352"/>
      <c r="E308" s="339"/>
      <c r="F308" s="351"/>
      <c r="G308" s="136"/>
      <c r="H308" s="523"/>
      <c r="I308" s="836"/>
      <c r="J308" s="836"/>
      <c r="K308" s="836"/>
    </row>
    <row r="309" spans="1:11" ht="15.6">
      <c r="A309" s="54"/>
      <c r="B309" s="77"/>
      <c r="C309" s="24"/>
      <c r="D309" s="55"/>
      <c r="E309" s="28"/>
      <c r="F309" s="55"/>
      <c r="G309" s="32"/>
      <c r="H309" s="39"/>
      <c r="I309" s="775"/>
      <c r="J309" s="1649"/>
      <c r="K309" s="1649"/>
    </row>
    <row r="310" spans="1:11" ht="15.6">
      <c r="A310" s="504" t="s">
        <v>508</v>
      </c>
      <c r="B310" s="77"/>
      <c r="C310" s="56"/>
      <c r="D310" s="55"/>
      <c r="E310" s="28"/>
      <c r="F310" s="55"/>
      <c r="G310" s="55"/>
      <c r="H310" s="56"/>
      <c r="I310" s="392"/>
      <c r="J310" s="62"/>
      <c r="K310" s="62"/>
    </row>
    <row r="311" spans="1:11">
      <c r="A311" s="54"/>
      <c r="B311" s="77"/>
      <c r="C311" s="56"/>
      <c r="D311" s="56"/>
      <c r="E311" s="93"/>
      <c r="F311" s="56"/>
      <c r="G311" s="56"/>
      <c r="H311" s="56"/>
      <c r="I311" s="392"/>
      <c r="J311" s="62"/>
      <c r="K311" s="62"/>
    </row>
    <row r="312" spans="1:11">
      <c r="A312" s="67"/>
      <c r="B312" s="55"/>
      <c r="C312" s="55"/>
      <c r="D312" s="55"/>
      <c r="E312" s="93"/>
      <c r="F312" s="56"/>
      <c r="H312" s="750"/>
      <c r="I312" s="1645"/>
      <c r="J312" s="1686"/>
      <c r="K312" s="1686"/>
    </row>
    <row r="313" spans="1:11">
      <c r="A313" s="67"/>
      <c r="B313" s="55"/>
      <c r="C313" s="55"/>
      <c r="D313" s="55"/>
      <c r="E313" s="93"/>
      <c r="F313" s="56"/>
      <c r="H313" s="1711"/>
      <c r="I313" s="1646"/>
      <c r="J313" s="1687"/>
      <c r="K313" s="1687"/>
    </row>
    <row r="314" spans="1:11">
      <c r="A314" s="67"/>
      <c r="B314" s="55"/>
      <c r="C314" s="55"/>
      <c r="D314" s="55"/>
      <c r="E314" s="93"/>
      <c r="F314" s="56"/>
      <c r="H314" s="1151"/>
      <c r="I314" s="1647"/>
      <c r="J314" s="1688"/>
      <c r="K314" s="1688"/>
    </row>
    <row r="315" spans="1:11">
      <c r="A315" s="67"/>
      <c r="B315" s="55"/>
      <c r="C315" s="55"/>
      <c r="D315" s="55"/>
      <c r="E315" s="93"/>
      <c r="F315" s="56"/>
      <c r="I315" s="392"/>
      <c r="J315" s="62"/>
      <c r="K315" s="62"/>
    </row>
    <row r="316" spans="1:11">
      <c r="A316" s="67"/>
      <c r="B316" s="55"/>
      <c r="C316" s="55"/>
      <c r="D316" s="55"/>
      <c r="E316" s="93"/>
      <c r="F316" s="56"/>
      <c r="I316" s="392"/>
      <c r="J316" s="62"/>
      <c r="K316" s="62"/>
    </row>
    <row r="317" spans="1:11">
      <c r="A317" s="67"/>
      <c r="B317" s="55"/>
      <c r="C317" s="55"/>
      <c r="D317" s="55"/>
      <c r="E317" s="93"/>
      <c r="F317" s="56"/>
      <c r="I317" s="392"/>
      <c r="J317" s="62"/>
      <c r="K317" s="62"/>
    </row>
    <row r="318" spans="1:11">
      <c r="A318" s="67"/>
      <c r="B318" s="55"/>
      <c r="C318" s="55"/>
      <c r="D318" s="55"/>
      <c r="E318" s="93"/>
      <c r="F318" s="56"/>
      <c r="I318" s="392"/>
      <c r="J318" s="62"/>
      <c r="K318" s="62"/>
    </row>
    <row r="319" spans="1:11">
      <c r="A319" s="67"/>
      <c r="B319" s="55"/>
      <c r="C319" s="55"/>
      <c r="D319" s="55"/>
      <c r="E319" s="93"/>
      <c r="F319" s="56"/>
      <c r="I319" s="392"/>
      <c r="J319" s="62"/>
      <c r="K319" s="62"/>
    </row>
    <row r="320" spans="1:11">
      <c r="A320" s="67"/>
      <c r="B320" s="55"/>
      <c r="C320" s="55"/>
      <c r="D320" s="55"/>
      <c r="E320" s="93"/>
      <c r="F320" s="56"/>
      <c r="I320" s="392"/>
      <c r="J320" s="62"/>
      <c r="K320" s="62"/>
    </row>
    <row r="321" spans="1:11">
      <c r="A321" s="67"/>
      <c r="B321" s="55"/>
      <c r="C321" s="55"/>
      <c r="D321" s="55"/>
      <c r="E321" s="93"/>
      <c r="F321" s="56"/>
      <c r="I321" s="392"/>
      <c r="J321" s="62"/>
      <c r="K321" s="62"/>
    </row>
    <row r="322" spans="1:11">
      <c r="A322" s="67"/>
      <c r="B322" s="55"/>
      <c r="C322" s="55"/>
      <c r="D322" s="55"/>
      <c r="E322" s="93"/>
      <c r="F322" s="56"/>
      <c r="I322" s="392"/>
      <c r="J322" s="62"/>
      <c r="K322" s="62"/>
    </row>
    <row r="323" spans="1:11">
      <c r="A323" s="67"/>
      <c r="B323" s="55"/>
      <c r="C323" s="55"/>
      <c r="D323" s="55"/>
      <c r="E323" s="93"/>
      <c r="F323" s="56"/>
      <c r="I323" s="392"/>
      <c r="J323" s="62"/>
      <c r="K323" s="62"/>
    </row>
    <row r="324" spans="1:11">
      <c r="A324" s="67"/>
      <c r="B324" s="55"/>
      <c r="C324" s="55"/>
      <c r="D324" s="55"/>
      <c r="E324" s="93"/>
      <c r="F324" s="56"/>
      <c r="I324" s="392"/>
      <c r="J324" s="62"/>
      <c r="K324" s="62"/>
    </row>
    <row r="325" spans="1:11">
      <c r="A325" s="67"/>
      <c r="B325" s="55"/>
      <c r="C325" s="55"/>
      <c r="D325" s="55"/>
      <c r="E325" s="93"/>
      <c r="F325" s="56"/>
      <c r="I325" s="392"/>
      <c r="J325" s="62"/>
      <c r="K325" s="62"/>
    </row>
    <row r="326" spans="1:11">
      <c r="A326" s="67"/>
      <c r="B326" s="55"/>
      <c r="C326" s="55"/>
      <c r="D326" s="55"/>
      <c r="E326" s="93"/>
      <c r="F326" s="56"/>
      <c r="I326" s="392"/>
      <c r="J326" s="62"/>
      <c r="K326" s="62"/>
    </row>
    <row r="327" spans="1:11">
      <c r="A327" s="67"/>
      <c r="B327" s="55"/>
      <c r="C327" s="55"/>
      <c r="D327" s="55"/>
      <c r="E327" s="93"/>
      <c r="F327" s="56"/>
      <c r="I327" s="392"/>
      <c r="J327" s="62"/>
      <c r="K327" s="62"/>
    </row>
    <row r="328" spans="1:11">
      <c r="A328" s="67"/>
      <c r="B328" s="55"/>
      <c r="C328" s="55"/>
      <c r="D328" s="55"/>
      <c r="E328" s="93"/>
      <c r="F328" s="56"/>
      <c r="I328" s="392"/>
      <c r="J328" s="62"/>
      <c r="K328" s="62"/>
    </row>
    <row r="329" spans="1:11">
      <c r="A329" s="67"/>
      <c r="B329" s="55"/>
      <c r="C329" s="55"/>
      <c r="D329" s="55"/>
      <c r="E329" s="93"/>
      <c r="F329" s="56"/>
      <c r="I329" s="392"/>
      <c r="J329" s="62"/>
      <c r="K329" s="62"/>
    </row>
    <row r="330" spans="1:11">
      <c r="A330" s="67"/>
      <c r="B330" s="55"/>
      <c r="C330" s="55"/>
      <c r="D330" s="55"/>
      <c r="E330" s="93"/>
      <c r="F330" s="56"/>
      <c r="I330" s="392"/>
      <c r="J330" s="62"/>
      <c r="K330" s="62"/>
    </row>
    <row r="331" spans="1:11">
      <c r="A331" s="67"/>
      <c r="B331" s="55"/>
      <c r="C331" s="55"/>
      <c r="D331" s="55"/>
      <c r="E331" s="93"/>
      <c r="F331" s="56"/>
      <c r="I331" s="392"/>
      <c r="J331" s="62"/>
      <c r="K331" s="62"/>
    </row>
    <row r="332" spans="1:11">
      <c r="A332" s="67"/>
      <c r="B332" s="55"/>
      <c r="C332" s="55"/>
      <c r="D332" s="55"/>
      <c r="E332" s="93"/>
      <c r="F332" s="56"/>
      <c r="I332" s="392"/>
      <c r="J332" s="62"/>
      <c r="K332" s="62"/>
    </row>
    <row r="333" spans="1:11">
      <c r="A333" s="67"/>
      <c r="B333" s="55"/>
      <c r="C333" s="55"/>
      <c r="D333" s="55"/>
      <c r="E333" s="93"/>
      <c r="F333" s="56"/>
      <c r="I333" s="392"/>
      <c r="J333" s="62"/>
      <c r="K333" s="62"/>
    </row>
    <row r="334" spans="1:11">
      <c r="A334" s="67"/>
      <c r="B334" s="55"/>
      <c r="C334" s="55"/>
      <c r="D334" s="55"/>
      <c r="E334" s="93"/>
      <c r="F334" s="56"/>
      <c r="I334" s="392"/>
      <c r="J334" s="62"/>
      <c r="K334" s="62"/>
    </row>
    <row r="335" spans="1:11">
      <c r="A335" s="67"/>
      <c r="B335" s="55"/>
      <c r="C335" s="55"/>
      <c r="D335" s="55"/>
      <c r="E335" s="93"/>
      <c r="F335" s="56"/>
      <c r="I335" s="392"/>
      <c r="J335" s="62"/>
      <c r="K335" s="62"/>
    </row>
    <row r="336" spans="1:11">
      <c r="A336" s="67"/>
      <c r="B336" s="55"/>
      <c r="C336" s="55"/>
      <c r="D336" s="55"/>
      <c r="E336" s="93"/>
      <c r="F336" s="56"/>
      <c r="I336" s="392"/>
      <c r="J336" s="62"/>
      <c r="K336" s="62"/>
    </row>
    <row r="337" spans="1:11">
      <c r="A337" s="67"/>
      <c r="B337" s="55"/>
      <c r="C337" s="55"/>
      <c r="D337" s="55"/>
      <c r="E337" s="93"/>
      <c r="F337" s="56"/>
      <c r="I337" s="392"/>
      <c r="J337" s="62"/>
      <c r="K337" s="62"/>
    </row>
    <row r="338" spans="1:11">
      <c r="A338" s="67"/>
      <c r="B338" s="55"/>
      <c r="C338" s="55"/>
      <c r="D338" s="55"/>
      <c r="E338" s="93"/>
      <c r="F338" s="56"/>
      <c r="I338" s="392"/>
      <c r="J338" s="62"/>
      <c r="K338" s="62"/>
    </row>
    <row r="339" spans="1:11">
      <c r="A339" s="67"/>
      <c r="B339" s="55"/>
      <c r="C339" s="55"/>
      <c r="D339" s="55"/>
      <c r="E339" s="93"/>
      <c r="F339" s="56"/>
      <c r="I339" s="392"/>
      <c r="J339" s="62"/>
      <c r="K339" s="62"/>
    </row>
    <row r="340" spans="1:11">
      <c r="A340" s="67"/>
      <c r="B340" s="55"/>
      <c r="C340" s="55"/>
      <c r="D340" s="55"/>
      <c r="E340" s="93"/>
      <c r="F340" s="56"/>
      <c r="I340" s="392"/>
      <c r="J340" s="62"/>
      <c r="K340" s="62"/>
    </row>
    <row r="341" spans="1:11">
      <c r="A341" s="67"/>
      <c r="B341" s="55"/>
      <c r="C341" s="55"/>
      <c r="D341" s="55"/>
      <c r="E341" s="93"/>
      <c r="F341" s="56"/>
      <c r="I341" s="392"/>
      <c r="J341" s="62"/>
      <c r="K341" s="62"/>
    </row>
    <row r="342" spans="1:11">
      <c r="A342" s="67"/>
      <c r="B342" s="55"/>
      <c r="C342" s="55"/>
      <c r="D342" s="55"/>
      <c r="E342" s="93"/>
      <c r="F342" s="56"/>
      <c r="I342" s="392"/>
      <c r="J342" s="62"/>
      <c r="K342" s="62"/>
    </row>
    <row r="343" spans="1:11">
      <c r="A343" s="67"/>
      <c r="B343" s="55"/>
      <c r="C343" s="55"/>
      <c r="D343" s="55"/>
      <c r="E343" s="93"/>
      <c r="F343" s="56"/>
      <c r="I343" s="392"/>
      <c r="J343" s="62"/>
      <c r="K343" s="62"/>
    </row>
    <row r="344" spans="1:11">
      <c r="A344" s="67"/>
      <c r="B344" s="55"/>
      <c r="C344" s="55"/>
      <c r="D344" s="55"/>
      <c r="E344" s="93"/>
      <c r="F344" s="56"/>
      <c r="I344" s="392"/>
      <c r="J344" s="62"/>
      <c r="K344" s="62"/>
    </row>
    <row r="345" spans="1:11">
      <c r="A345" s="67"/>
      <c r="B345" s="55"/>
      <c r="C345" s="55"/>
      <c r="D345" s="55"/>
      <c r="E345" s="93"/>
      <c r="F345" s="56"/>
      <c r="I345" s="392"/>
      <c r="J345" s="62"/>
      <c r="K345" s="62"/>
    </row>
    <row r="346" spans="1:11">
      <c r="A346" s="67"/>
      <c r="B346" s="55"/>
      <c r="C346" s="55"/>
      <c r="D346" s="55"/>
      <c r="E346" s="93"/>
      <c r="F346" s="56"/>
      <c r="I346" s="392"/>
      <c r="J346" s="62"/>
      <c r="K346" s="62"/>
    </row>
    <row r="347" spans="1:11">
      <c r="A347" s="67"/>
      <c r="B347" s="55"/>
      <c r="C347" s="55"/>
      <c r="D347" s="55"/>
      <c r="E347" s="93"/>
      <c r="F347" s="56"/>
      <c r="I347" s="392"/>
      <c r="J347" s="62"/>
      <c r="K347" s="62"/>
    </row>
    <row r="348" spans="1:11">
      <c r="A348" s="67"/>
      <c r="B348" s="55"/>
      <c r="C348" s="55"/>
      <c r="D348" s="55"/>
      <c r="E348" s="93"/>
      <c r="F348" s="56"/>
      <c r="I348" s="392"/>
      <c r="J348" s="62"/>
      <c r="K348" s="62"/>
    </row>
    <row r="349" spans="1:11">
      <c r="A349" s="67"/>
      <c r="B349" s="55"/>
      <c r="C349" s="55"/>
      <c r="D349" s="55"/>
      <c r="E349" s="93"/>
      <c r="F349" s="56"/>
      <c r="I349" s="392"/>
      <c r="J349" s="62"/>
      <c r="K349" s="62"/>
    </row>
    <row r="350" spans="1:11">
      <c r="A350" s="67"/>
      <c r="B350" s="55"/>
      <c r="C350" s="55"/>
      <c r="D350" s="55"/>
      <c r="E350" s="93"/>
      <c r="F350" s="56"/>
      <c r="I350" s="392"/>
      <c r="J350" s="62"/>
      <c r="K350" s="62"/>
    </row>
    <row r="351" spans="1:11">
      <c r="A351" s="67"/>
      <c r="B351" s="55"/>
      <c r="C351" s="55"/>
      <c r="D351" s="55"/>
      <c r="E351" s="93"/>
      <c r="F351" s="56"/>
      <c r="I351" s="392"/>
      <c r="J351" s="62"/>
      <c r="K351" s="62"/>
    </row>
    <row r="352" spans="1:11">
      <c r="A352" s="67"/>
      <c r="B352" s="55"/>
      <c r="C352" s="55"/>
      <c r="D352" s="55"/>
      <c r="E352" s="93"/>
      <c r="F352" s="56"/>
      <c r="I352" s="392"/>
      <c r="J352" s="62"/>
      <c r="K352" s="62"/>
    </row>
    <row r="353" spans="1:11">
      <c r="A353" s="67"/>
      <c r="B353" s="55"/>
      <c r="C353" s="55"/>
      <c r="D353" s="55"/>
      <c r="E353" s="93"/>
      <c r="F353" s="56"/>
      <c r="I353" s="392"/>
      <c r="J353" s="62"/>
      <c r="K353" s="62"/>
    </row>
    <row r="354" spans="1:11">
      <c r="A354" s="67"/>
      <c r="B354" s="55"/>
      <c r="C354" s="55"/>
      <c r="D354" s="55"/>
      <c r="E354" s="93"/>
      <c r="F354" s="56"/>
      <c r="I354" s="392"/>
      <c r="J354" s="62"/>
      <c r="K354" s="62"/>
    </row>
    <row r="355" spans="1:11">
      <c r="A355" s="67"/>
      <c r="B355" s="55"/>
      <c r="C355" s="55"/>
      <c r="D355" s="55"/>
      <c r="E355" s="93"/>
      <c r="F355" s="56"/>
      <c r="I355" s="392"/>
      <c r="J355" s="62"/>
      <c r="K355" s="62"/>
    </row>
    <row r="356" spans="1:11">
      <c r="A356" s="67"/>
      <c r="B356" s="55"/>
      <c r="C356" s="55"/>
      <c r="D356" s="55"/>
      <c r="E356" s="93"/>
      <c r="F356" s="56"/>
      <c r="I356" s="392"/>
      <c r="J356" s="62"/>
      <c r="K356" s="62"/>
    </row>
    <row r="357" spans="1:11">
      <c r="A357" s="67"/>
      <c r="B357" s="55"/>
      <c r="C357" s="55"/>
      <c r="D357" s="55"/>
      <c r="E357" s="93"/>
      <c r="F357" s="56"/>
      <c r="I357" s="392"/>
      <c r="J357" s="62"/>
      <c r="K357" s="62"/>
    </row>
    <row r="358" spans="1:11">
      <c r="A358" s="67"/>
      <c r="B358" s="55"/>
      <c r="C358" s="55"/>
      <c r="D358" s="55"/>
      <c r="E358" s="93"/>
      <c r="F358" s="56"/>
      <c r="I358" s="392"/>
      <c r="J358" s="62"/>
      <c r="K358" s="62"/>
    </row>
    <row r="359" spans="1:11">
      <c r="A359" s="67"/>
      <c r="B359" s="55"/>
      <c r="C359" s="55"/>
      <c r="D359" s="55"/>
      <c r="E359" s="93"/>
      <c r="F359" s="56"/>
      <c r="I359" s="392"/>
      <c r="J359" s="62"/>
      <c r="K359" s="62"/>
    </row>
    <row r="360" spans="1:11">
      <c r="A360" s="67"/>
      <c r="B360" s="55"/>
      <c r="C360" s="55"/>
      <c r="D360" s="55"/>
      <c r="E360" s="93"/>
      <c r="F360" s="56"/>
      <c r="I360" s="392"/>
      <c r="J360" s="62"/>
      <c r="K360" s="62"/>
    </row>
    <row r="361" spans="1:11">
      <c r="A361" s="67"/>
      <c r="B361" s="55"/>
      <c r="C361" s="55"/>
      <c r="D361" s="55"/>
      <c r="E361" s="93"/>
      <c r="F361" s="56"/>
      <c r="I361" s="392"/>
      <c r="J361" s="62"/>
      <c r="K361" s="62"/>
    </row>
    <row r="362" spans="1:11">
      <c r="A362" s="67"/>
      <c r="B362" s="55"/>
      <c r="C362" s="55"/>
      <c r="D362" s="55"/>
      <c r="E362" s="93"/>
      <c r="F362" s="56"/>
      <c r="I362" s="392"/>
      <c r="J362" s="62"/>
      <c r="K362" s="62"/>
    </row>
    <row r="363" spans="1:11">
      <c r="A363" s="67"/>
      <c r="B363" s="55"/>
      <c r="C363" s="55"/>
      <c r="D363" s="55"/>
      <c r="E363" s="93"/>
      <c r="F363" s="56"/>
      <c r="I363" s="392"/>
      <c r="J363" s="62"/>
      <c r="K363" s="62"/>
    </row>
    <row r="364" spans="1:11">
      <c r="A364" s="67"/>
      <c r="B364" s="55"/>
      <c r="C364" s="55"/>
      <c r="D364" s="55"/>
      <c r="E364" s="93"/>
      <c r="F364" s="56"/>
      <c r="I364" s="392"/>
      <c r="J364" s="62"/>
      <c r="K364" s="62"/>
    </row>
    <row r="365" spans="1:11">
      <c r="A365" s="67"/>
      <c r="B365" s="55"/>
      <c r="C365" s="55"/>
      <c r="D365" s="55"/>
      <c r="E365" s="93"/>
      <c r="F365" s="56"/>
      <c r="I365" s="392"/>
      <c r="J365" s="62"/>
      <c r="K365" s="62"/>
    </row>
    <row r="366" spans="1:11">
      <c r="A366" s="67"/>
      <c r="B366" s="55"/>
      <c r="C366" s="55"/>
      <c r="D366" s="55"/>
      <c r="E366" s="93"/>
      <c r="F366" s="56"/>
      <c r="I366" s="392"/>
      <c r="J366" s="62"/>
      <c r="K366" s="62"/>
    </row>
    <row r="367" spans="1:11">
      <c r="A367" s="67"/>
      <c r="B367" s="55"/>
      <c r="C367" s="55"/>
      <c r="D367" s="55"/>
      <c r="E367" s="93"/>
      <c r="F367" s="56"/>
      <c r="I367" s="392"/>
      <c r="J367" s="62"/>
      <c r="K367" s="62"/>
    </row>
    <row r="368" spans="1:11">
      <c r="A368" s="67"/>
      <c r="B368" s="55"/>
      <c r="C368" s="55"/>
      <c r="D368" s="55"/>
      <c r="E368" s="93"/>
      <c r="F368" s="56"/>
      <c r="I368" s="392"/>
      <c r="J368" s="62"/>
      <c r="K368" s="62"/>
    </row>
    <row r="369" spans="1:11">
      <c r="A369" s="67"/>
      <c r="B369" s="55"/>
      <c r="C369" s="55"/>
      <c r="D369" s="55"/>
      <c r="E369" s="93"/>
      <c r="F369" s="56"/>
      <c r="I369" s="392"/>
      <c r="J369" s="62"/>
      <c r="K369" s="62"/>
    </row>
    <row r="370" spans="1:11">
      <c r="A370" s="67"/>
      <c r="B370" s="55"/>
      <c r="C370" s="55"/>
      <c r="D370" s="55"/>
      <c r="E370" s="93"/>
      <c r="F370" s="56"/>
      <c r="I370" s="392"/>
      <c r="J370" s="62"/>
      <c r="K370" s="62"/>
    </row>
    <row r="371" spans="1:11">
      <c r="A371" s="67"/>
      <c r="B371" s="55"/>
      <c r="C371" s="55"/>
      <c r="D371" s="55"/>
      <c r="E371" s="93"/>
      <c r="F371" s="56"/>
      <c r="I371" s="392"/>
      <c r="J371" s="62"/>
      <c r="K371" s="62"/>
    </row>
    <row r="372" spans="1:11">
      <c r="A372" s="67"/>
      <c r="B372" s="55"/>
      <c r="C372" s="55"/>
      <c r="D372" s="55"/>
      <c r="E372" s="93"/>
      <c r="F372" s="56"/>
      <c r="I372" s="392"/>
      <c r="J372" s="62"/>
      <c r="K372" s="62"/>
    </row>
    <row r="373" spans="1:11">
      <c r="A373" s="67"/>
      <c r="B373" s="55"/>
      <c r="C373" s="55"/>
      <c r="D373" s="55"/>
      <c r="E373" s="93"/>
      <c r="F373" s="56"/>
      <c r="I373" s="392"/>
      <c r="J373" s="62"/>
      <c r="K373" s="62"/>
    </row>
    <row r="374" spans="1:11">
      <c r="A374" s="67"/>
      <c r="B374" s="55"/>
      <c r="C374" s="55"/>
      <c r="D374" s="55"/>
      <c r="E374" s="93"/>
      <c r="F374" s="56"/>
      <c r="I374" s="392"/>
      <c r="J374" s="62"/>
      <c r="K374" s="62"/>
    </row>
    <row r="375" spans="1:11">
      <c r="A375" s="67"/>
      <c r="B375" s="55"/>
      <c r="C375" s="55"/>
      <c r="D375" s="55"/>
      <c r="E375" s="93"/>
      <c r="F375" s="56"/>
      <c r="I375" s="392"/>
      <c r="J375" s="62"/>
      <c r="K375" s="62"/>
    </row>
    <row r="376" spans="1:11">
      <c r="A376" s="67"/>
      <c r="B376" s="55"/>
      <c r="C376" s="55"/>
      <c r="D376" s="55"/>
      <c r="E376" s="93"/>
      <c r="F376" s="56"/>
      <c r="I376" s="392"/>
      <c r="J376" s="62"/>
      <c r="K376" s="62"/>
    </row>
    <row r="377" spans="1:11">
      <c r="A377" s="67"/>
      <c r="B377" s="55"/>
      <c r="C377" s="55"/>
      <c r="D377" s="55"/>
      <c r="E377" s="93"/>
      <c r="F377" s="56"/>
      <c r="I377" s="392"/>
      <c r="J377" s="62"/>
      <c r="K377" s="62"/>
    </row>
    <row r="378" spans="1:11">
      <c r="A378" s="67"/>
      <c r="B378" s="55"/>
      <c r="C378" s="55"/>
      <c r="D378" s="55"/>
      <c r="E378" s="93"/>
      <c r="F378" s="56"/>
      <c r="I378" s="392"/>
      <c r="J378" s="62"/>
      <c r="K378" s="62"/>
    </row>
    <row r="379" spans="1:11">
      <c r="A379" s="67"/>
      <c r="B379" s="55"/>
      <c r="C379" s="55"/>
      <c r="D379" s="55"/>
      <c r="E379" s="93"/>
      <c r="F379" s="56"/>
      <c r="I379" s="392"/>
      <c r="J379" s="62"/>
      <c r="K379" s="62"/>
    </row>
    <row r="380" spans="1:11">
      <c r="A380" s="67"/>
      <c r="B380" s="55"/>
      <c r="C380" s="55"/>
      <c r="D380" s="55"/>
      <c r="E380" s="93"/>
      <c r="F380" s="56"/>
      <c r="I380" s="392"/>
      <c r="J380" s="62"/>
      <c r="K380" s="62"/>
    </row>
    <row r="381" spans="1:11">
      <c r="A381" s="67"/>
      <c r="B381" s="55"/>
      <c r="C381" s="55"/>
      <c r="D381" s="55"/>
      <c r="E381" s="93"/>
      <c r="F381" s="56"/>
      <c r="I381" s="392"/>
      <c r="J381" s="62"/>
      <c r="K381" s="62"/>
    </row>
    <row r="382" spans="1:11">
      <c r="A382" s="67"/>
      <c r="B382" s="55"/>
      <c r="C382" s="55"/>
      <c r="D382" s="55"/>
      <c r="E382" s="93"/>
      <c r="F382" s="56"/>
      <c r="I382" s="392"/>
      <c r="J382" s="62"/>
      <c r="K382" s="62"/>
    </row>
    <row r="383" spans="1:11">
      <c r="A383" s="67"/>
      <c r="B383" s="55"/>
      <c r="C383" s="55"/>
      <c r="D383" s="55"/>
      <c r="E383" s="93"/>
      <c r="F383" s="56"/>
      <c r="I383" s="392"/>
      <c r="J383" s="62"/>
      <c r="K383" s="62"/>
    </row>
    <row r="384" spans="1:11">
      <c r="A384" s="67"/>
      <c r="B384" s="55"/>
      <c r="C384" s="55"/>
      <c r="D384" s="55"/>
      <c r="E384" s="93"/>
      <c r="F384" s="56"/>
      <c r="I384" s="392"/>
      <c r="J384" s="62"/>
      <c r="K384" s="62"/>
    </row>
    <row r="385" spans="1:11">
      <c r="A385" s="67"/>
      <c r="B385" s="55"/>
      <c r="C385" s="55"/>
      <c r="D385" s="55"/>
      <c r="E385" s="93"/>
      <c r="F385" s="56"/>
      <c r="I385" s="392"/>
      <c r="J385" s="62"/>
      <c r="K385" s="62"/>
    </row>
    <row r="386" spans="1:11">
      <c r="A386" s="67"/>
      <c r="B386" s="55"/>
      <c r="C386" s="55"/>
      <c r="D386" s="55"/>
      <c r="E386" s="93"/>
      <c r="F386" s="56"/>
      <c r="I386" s="392"/>
      <c r="J386" s="62"/>
      <c r="K386" s="62"/>
    </row>
    <row r="387" spans="1:11">
      <c r="A387" s="67"/>
      <c r="B387" s="55"/>
      <c r="C387" s="55"/>
      <c r="D387" s="55"/>
      <c r="E387" s="93"/>
      <c r="F387" s="56"/>
      <c r="I387" s="392"/>
      <c r="J387" s="62"/>
      <c r="K387" s="62"/>
    </row>
    <row r="388" spans="1:11">
      <c r="A388" s="67"/>
      <c r="B388" s="55"/>
      <c r="C388" s="55"/>
      <c r="D388" s="55"/>
      <c r="E388" s="93"/>
      <c r="F388" s="56"/>
      <c r="I388" s="392"/>
      <c r="J388" s="62"/>
      <c r="K388" s="62"/>
    </row>
    <row r="389" spans="1:11">
      <c r="A389" s="67"/>
      <c r="B389" s="55"/>
      <c r="C389" s="55"/>
      <c r="D389" s="55"/>
      <c r="E389" s="93"/>
      <c r="F389" s="56"/>
      <c r="I389" s="392"/>
      <c r="J389" s="62"/>
      <c r="K389" s="62"/>
    </row>
    <row r="390" spans="1:11">
      <c r="A390" s="67"/>
      <c r="B390" s="55"/>
      <c r="C390" s="55"/>
      <c r="D390" s="55"/>
      <c r="E390" s="93"/>
      <c r="F390" s="56"/>
      <c r="I390" s="392"/>
      <c r="J390" s="62"/>
      <c r="K390" s="62"/>
    </row>
    <row r="391" spans="1:11">
      <c r="A391" s="67"/>
      <c r="B391" s="55"/>
      <c r="C391" s="55"/>
      <c r="D391" s="55"/>
      <c r="E391" s="93"/>
      <c r="F391" s="56"/>
      <c r="I391" s="392"/>
      <c r="J391" s="62"/>
      <c r="K391" s="62"/>
    </row>
    <row r="392" spans="1:11">
      <c r="A392" s="67"/>
      <c r="B392" s="55"/>
      <c r="C392" s="55"/>
      <c r="D392" s="55"/>
      <c r="E392" s="93"/>
      <c r="F392" s="56"/>
      <c r="I392" s="392"/>
      <c r="J392" s="62"/>
      <c r="K392" s="62"/>
    </row>
    <row r="393" spans="1:11">
      <c r="A393" s="67"/>
      <c r="B393" s="55"/>
      <c r="C393" s="55"/>
      <c r="D393" s="55"/>
      <c r="E393" s="93"/>
      <c r="F393" s="56"/>
      <c r="I393" s="392"/>
      <c r="J393" s="62"/>
      <c r="K393" s="62"/>
    </row>
    <row r="394" spans="1:11">
      <c r="A394" s="67"/>
      <c r="B394" s="55"/>
      <c r="C394" s="55"/>
      <c r="D394" s="55"/>
      <c r="E394" s="93"/>
      <c r="F394" s="56"/>
      <c r="I394" s="392"/>
      <c r="J394" s="62"/>
      <c r="K394" s="62"/>
    </row>
    <row r="395" spans="1:11">
      <c r="A395" s="67"/>
      <c r="B395" s="55"/>
      <c r="C395" s="55"/>
      <c r="D395" s="55"/>
      <c r="E395" s="93"/>
      <c r="F395" s="56"/>
      <c r="I395" s="392"/>
      <c r="J395" s="62"/>
      <c r="K395" s="62"/>
    </row>
    <row r="396" spans="1:11">
      <c r="A396" s="67"/>
      <c r="B396" s="55"/>
      <c r="C396" s="55"/>
      <c r="D396" s="55"/>
      <c r="E396" s="93"/>
      <c r="F396" s="56"/>
      <c r="I396" s="392"/>
      <c r="J396" s="62"/>
      <c r="K396" s="62"/>
    </row>
    <row r="397" spans="1:11">
      <c r="A397" s="67"/>
      <c r="B397" s="55"/>
      <c r="C397" s="55"/>
      <c r="D397" s="55"/>
      <c r="E397" s="93"/>
      <c r="F397" s="56"/>
      <c r="I397" s="392"/>
      <c r="J397" s="62"/>
      <c r="K397" s="62"/>
    </row>
    <row r="398" spans="1:11">
      <c r="A398" s="67"/>
      <c r="B398" s="55"/>
      <c r="C398" s="55"/>
      <c r="D398" s="55"/>
      <c r="E398" s="93"/>
      <c r="F398" s="56"/>
      <c r="I398" s="392"/>
      <c r="J398" s="62"/>
      <c r="K398" s="62"/>
    </row>
    <row r="399" spans="1:11">
      <c r="A399" s="67"/>
      <c r="B399" s="55"/>
      <c r="C399" s="55"/>
      <c r="D399" s="55"/>
      <c r="E399" s="93"/>
      <c r="F399" s="56"/>
      <c r="I399" s="392"/>
      <c r="J399" s="62"/>
      <c r="K399" s="62"/>
    </row>
    <row r="400" spans="1:11">
      <c r="A400" s="67"/>
      <c r="B400" s="55"/>
      <c r="C400" s="55"/>
      <c r="D400" s="55"/>
      <c r="E400" s="93"/>
      <c r="F400" s="56"/>
      <c r="I400" s="392"/>
      <c r="J400" s="62"/>
      <c r="K400" s="62"/>
    </row>
    <row r="401" spans="1:11">
      <c r="A401" s="67"/>
      <c r="B401" s="55"/>
      <c r="C401" s="55"/>
      <c r="D401" s="55"/>
      <c r="E401" s="93"/>
      <c r="F401" s="56"/>
      <c r="I401" s="392"/>
      <c r="J401" s="62"/>
      <c r="K401" s="62"/>
    </row>
    <row r="402" spans="1:11">
      <c r="A402" s="67"/>
      <c r="B402" s="55"/>
      <c r="C402" s="55"/>
      <c r="D402" s="55"/>
      <c r="E402" s="93"/>
      <c r="F402" s="56"/>
      <c r="I402" s="392"/>
      <c r="J402" s="62"/>
      <c r="K402" s="62"/>
    </row>
    <row r="403" spans="1:11">
      <c r="A403" s="67"/>
      <c r="B403" s="55"/>
      <c r="C403" s="55"/>
      <c r="D403" s="55"/>
      <c r="E403" s="93"/>
      <c r="F403" s="56"/>
      <c r="I403" s="392"/>
      <c r="J403" s="62"/>
      <c r="K403" s="62"/>
    </row>
    <row r="404" spans="1:11">
      <c r="A404" s="67"/>
      <c r="B404" s="55"/>
      <c r="C404" s="55"/>
      <c r="D404" s="55"/>
      <c r="E404" s="93"/>
      <c r="F404" s="56"/>
      <c r="I404" s="392"/>
      <c r="J404" s="62"/>
      <c r="K404" s="62"/>
    </row>
    <row r="405" spans="1:11">
      <c r="A405" s="67"/>
      <c r="B405" s="55"/>
      <c r="C405" s="55"/>
      <c r="D405" s="55"/>
      <c r="E405" s="93"/>
      <c r="F405" s="56"/>
      <c r="I405" s="392"/>
      <c r="J405" s="62"/>
      <c r="K405" s="62"/>
    </row>
    <row r="406" spans="1:11">
      <c r="A406" s="67"/>
      <c r="B406" s="55"/>
      <c r="C406" s="55"/>
      <c r="D406" s="55"/>
      <c r="E406" s="93"/>
      <c r="F406" s="56"/>
      <c r="I406" s="392"/>
      <c r="J406" s="62"/>
      <c r="K406" s="62"/>
    </row>
    <row r="407" spans="1:11">
      <c r="A407" s="67"/>
      <c r="B407" s="55"/>
      <c r="C407" s="55"/>
      <c r="D407" s="55"/>
      <c r="E407" s="93"/>
      <c r="F407" s="56"/>
      <c r="I407" s="392"/>
      <c r="J407" s="62"/>
      <c r="K407" s="62"/>
    </row>
    <row r="408" spans="1:11">
      <c r="A408" s="67"/>
      <c r="B408" s="55"/>
      <c r="C408" s="55"/>
      <c r="D408" s="55"/>
      <c r="E408" s="93"/>
      <c r="F408" s="56"/>
      <c r="I408" s="392"/>
      <c r="J408" s="62"/>
      <c r="K408" s="62"/>
    </row>
    <row r="409" spans="1:11">
      <c r="A409" s="67"/>
      <c r="B409" s="55"/>
      <c r="C409" s="55"/>
      <c r="D409" s="55"/>
      <c r="E409" s="93"/>
      <c r="F409" s="56"/>
      <c r="I409" s="392"/>
      <c r="J409" s="62"/>
      <c r="K409" s="62"/>
    </row>
    <row r="410" spans="1:11">
      <c r="A410" s="67"/>
      <c r="B410" s="55"/>
      <c r="C410" s="55"/>
      <c r="D410" s="55"/>
      <c r="E410" s="93"/>
      <c r="F410" s="56"/>
      <c r="I410" s="392"/>
      <c r="J410" s="62"/>
      <c r="K410" s="62"/>
    </row>
    <row r="411" spans="1:11">
      <c r="A411" s="67"/>
      <c r="B411" s="55"/>
      <c r="C411" s="55"/>
      <c r="D411" s="55"/>
      <c r="E411" s="93"/>
      <c r="F411" s="56"/>
      <c r="I411" s="392"/>
      <c r="J411" s="62"/>
      <c r="K411" s="62"/>
    </row>
    <row r="412" spans="1:11">
      <c r="A412" s="67"/>
      <c r="B412" s="55"/>
      <c r="C412" s="55"/>
      <c r="D412" s="55"/>
      <c r="E412" s="93"/>
      <c r="F412" s="56"/>
      <c r="I412" s="392"/>
      <c r="J412" s="62"/>
      <c r="K412" s="62"/>
    </row>
    <row r="413" spans="1:11">
      <c r="A413" s="67"/>
      <c r="B413" s="55"/>
      <c r="C413" s="55"/>
      <c r="D413" s="55"/>
      <c r="E413" s="93"/>
      <c r="F413" s="56"/>
      <c r="I413" s="392"/>
      <c r="J413" s="62"/>
      <c r="K413" s="62"/>
    </row>
    <row r="414" spans="1:11">
      <c r="A414" s="67"/>
      <c r="B414" s="55"/>
      <c r="C414" s="55"/>
      <c r="D414" s="55"/>
      <c r="E414" s="93"/>
      <c r="F414" s="56"/>
      <c r="I414" s="392"/>
      <c r="J414" s="62"/>
      <c r="K414" s="62"/>
    </row>
    <row r="415" spans="1:11">
      <c r="A415" s="67"/>
      <c r="B415" s="55"/>
      <c r="C415" s="55"/>
      <c r="D415" s="55"/>
      <c r="E415" s="93"/>
      <c r="F415" s="56"/>
      <c r="I415" s="392"/>
      <c r="J415" s="62"/>
      <c r="K415" s="62"/>
    </row>
    <row r="416" spans="1:11">
      <c r="A416" s="67"/>
      <c r="B416" s="55"/>
      <c r="C416" s="55"/>
      <c r="D416" s="55"/>
      <c r="E416" s="93"/>
      <c r="F416" s="56"/>
      <c r="I416" s="392"/>
      <c r="J416" s="62"/>
      <c r="K416" s="62"/>
    </row>
    <row r="417" spans="1:11">
      <c r="A417" s="67"/>
      <c r="B417" s="55"/>
      <c r="C417" s="55"/>
      <c r="D417" s="55"/>
      <c r="E417" s="93"/>
      <c r="F417" s="56"/>
      <c r="I417" s="392"/>
      <c r="J417" s="62"/>
      <c r="K417" s="62"/>
    </row>
    <row r="418" spans="1:11">
      <c r="A418" s="67"/>
      <c r="B418" s="55"/>
      <c r="C418" s="55"/>
      <c r="D418" s="55"/>
      <c r="E418" s="93"/>
      <c r="F418" s="56"/>
      <c r="I418" s="392"/>
      <c r="J418" s="62"/>
      <c r="K418" s="62"/>
    </row>
    <row r="419" spans="1:11">
      <c r="A419" s="67"/>
      <c r="B419" s="55"/>
      <c r="C419" s="55"/>
      <c r="D419" s="55"/>
      <c r="E419" s="93"/>
      <c r="F419" s="56"/>
      <c r="I419" s="392"/>
      <c r="J419" s="62"/>
      <c r="K419" s="62"/>
    </row>
    <row r="420" spans="1:11">
      <c r="A420" s="67"/>
      <c r="B420" s="55"/>
      <c r="C420" s="55"/>
      <c r="D420" s="55"/>
      <c r="E420" s="93"/>
      <c r="F420" s="56"/>
      <c r="I420" s="392"/>
      <c r="J420" s="62"/>
      <c r="K420" s="62"/>
    </row>
    <row r="421" spans="1:11">
      <c r="A421" s="67"/>
      <c r="B421" s="55"/>
      <c r="C421" s="55"/>
      <c r="D421" s="55"/>
      <c r="E421" s="93"/>
      <c r="F421" s="56"/>
      <c r="I421" s="392"/>
      <c r="J421" s="62"/>
      <c r="K421" s="62"/>
    </row>
    <row r="422" spans="1:11">
      <c r="A422" s="67"/>
      <c r="B422" s="55"/>
      <c r="C422" s="55"/>
      <c r="D422" s="55"/>
      <c r="E422" s="93"/>
      <c r="F422" s="56"/>
      <c r="I422" s="392"/>
      <c r="J422" s="62"/>
      <c r="K422" s="62"/>
    </row>
    <row r="423" spans="1:11">
      <c r="A423" s="67"/>
      <c r="B423" s="55"/>
      <c r="C423" s="55"/>
      <c r="D423" s="55"/>
      <c r="E423" s="93"/>
      <c r="F423" s="56"/>
      <c r="I423" s="392"/>
      <c r="J423" s="62"/>
      <c r="K423" s="62"/>
    </row>
    <row r="424" spans="1:11">
      <c r="A424" s="67"/>
      <c r="B424" s="55"/>
      <c r="C424" s="55"/>
      <c r="D424" s="55"/>
      <c r="E424" s="93"/>
      <c r="F424" s="56"/>
      <c r="I424" s="392"/>
      <c r="J424" s="62"/>
      <c r="K424" s="62"/>
    </row>
    <row r="425" spans="1:11">
      <c r="A425" s="67"/>
      <c r="B425" s="55"/>
      <c r="C425" s="55"/>
      <c r="D425" s="55"/>
      <c r="E425" s="93"/>
      <c r="F425" s="56"/>
      <c r="I425" s="392"/>
      <c r="J425" s="62"/>
      <c r="K425" s="62"/>
    </row>
    <row r="426" spans="1:11">
      <c r="A426" s="67"/>
      <c r="B426" s="55"/>
      <c r="C426" s="55"/>
      <c r="D426" s="55"/>
      <c r="E426" s="93"/>
      <c r="F426" s="56"/>
      <c r="I426" s="392"/>
      <c r="J426" s="62"/>
      <c r="K426" s="62"/>
    </row>
    <row r="427" spans="1:11">
      <c r="A427" s="67"/>
      <c r="B427" s="55"/>
      <c r="C427" s="55"/>
      <c r="D427" s="55"/>
      <c r="E427" s="93"/>
      <c r="F427" s="56"/>
      <c r="I427" s="392"/>
      <c r="J427" s="62"/>
      <c r="K427" s="62"/>
    </row>
    <row r="428" spans="1:11">
      <c r="A428" s="67"/>
      <c r="B428" s="55"/>
      <c r="C428" s="55"/>
      <c r="D428" s="55"/>
      <c r="E428" s="93"/>
      <c r="F428" s="56"/>
      <c r="I428" s="392"/>
      <c r="J428" s="62"/>
      <c r="K428" s="62"/>
    </row>
    <row r="429" spans="1:11">
      <c r="A429" s="67"/>
      <c r="B429" s="55"/>
      <c r="C429" s="55"/>
      <c r="D429" s="55"/>
      <c r="E429" s="93"/>
      <c r="F429" s="56"/>
      <c r="I429" s="392"/>
      <c r="J429" s="62"/>
      <c r="K429" s="62"/>
    </row>
    <row r="430" spans="1:11">
      <c r="A430" s="67"/>
      <c r="B430" s="55"/>
      <c r="C430" s="55"/>
      <c r="D430" s="55"/>
      <c r="E430" s="93"/>
      <c r="F430" s="56"/>
      <c r="I430" s="392"/>
      <c r="J430" s="62"/>
      <c r="K430" s="62"/>
    </row>
    <row r="431" spans="1:11">
      <c r="A431" s="67"/>
      <c r="B431" s="55"/>
      <c r="C431" s="55"/>
      <c r="D431" s="55"/>
      <c r="E431" s="93"/>
      <c r="F431" s="56"/>
      <c r="I431" s="392"/>
      <c r="J431" s="62"/>
      <c r="K431" s="62"/>
    </row>
    <row r="432" spans="1:11">
      <c r="A432" s="67"/>
      <c r="B432" s="55"/>
      <c r="C432" s="55"/>
      <c r="D432" s="55"/>
      <c r="E432" s="93"/>
      <c r="F432" s="56"/>
      <c r="I432" s="392"/>
      <c r="J432" s="62"/>
      <c r="K432" s="62"/>
    </row>
    <row r="433" spans="1:11">
      <c r="A433" s="67"/>
      <c r="B433" s="55"/>
      <c r="C433" s="55"/>
      <c r="D433" s="55"/>
      <c r="E433" s="93"/>
      <c r="F433" s="56"/>
      <c r="I433" s="392"/>
      <c r="J433" s="62"/>
      <c r="K433" s="62"/>
    </row>
    <row r="434" spans="1:11">
      <c r="A434" s="67"/>
      <c r="B434" s="55"/>
      <c r="C434" s="55"/>
      <c r="D434" s="55"/>
      <c r="E434" s="93"/>
      <c r="F434" s="56"/>
      <c r="I434" s="392"/>
      <c r="J434" s="62"/>
      <c r="K434" s="62"/>
    </row>
    <row r="435" spans="1:11">
      <c r="A435" s="67"/>
      <c r="B435" s="55"/>
      <c r="C435" s="55"/>
      <c r="D435" s="55"/>
      <c r="E435" s="93"/>
      <c r="F435" s="56"/>
      <c r="I435" s="392"/>
      <c r="J435" s="62"/>
      <c r="K435" s="62"/>
    </row>
    <row r="436" spans="1:11">
      <c r="A436" s="67"/>
      <c r="B436" s="55"/>
      <c r="C436" s="55"/>
      <c r="D436" s="55"/>
      <c r="E436" s="93"/>
      <c r="F436" s="56"/>
      <c r="I436" s="392"/>
      <c r="J436" s="62"/>
      <c r="K436" s="62"/>
    </row>
    <row r="437" spans="1:11">
      <c r="A437" s="67"/>
      <c r="B437" s="55"/>
      <c r="C437" s="55"/>
      <c r="D437" s="55"/>
      <c r="E437" s="93"/>
      <c r="F437" s="56"/>
      <c r="I437" s="392"/>
      <c r="J437" s="62"/>
      <c r="K437" s="62"/>
    </row>
    <row r="438" spans="1:11">
      <c r="A438" s="67"/>
      <c r="B438" s="55"/>
      <c r="C438" s="55"/>
      <c r="D438" s="55"/>
      <c r="E438" s="93"/>
      <c r="F438" s="56"/>
      <c r="I438" s="392"/>
      <c r="J438" s="62"/>
      <c r="K438" s="62"/>
    </row>
    <row r="439" spans="1:11">
      <c r="A439" s="67"/>
      <c r="B439" s="55"/>
      <c r="C439" s="55"/>
      <c r="D439" s="55"/>
      <c r="E439" s="93"/>
      <c r="F439" s="56"/>
      <c r="I439" s="392"/>
      <c r="J439" s="62"/>
      <c r="K439" s="62"/>
    </row>
    <row r="440" spans="1:11">
      <c r="A440" s="67"/>
      <c r="B440" s="55"/>
      <c r="C440" s="55"/>
      <c r="D440" s="55"/>
      <c r="E440" s="93"/>
      <c r="F440" s="56"/>
      <c r="I440" s="392"/>
      <c r="J440" s="62"/>
      <c r="K440" s="62"/>
    </row>
    <row r="441" spans="1:11">
      <c r="A441" s="67"/>
      <c r="B441" s="55"/>
      <c r="C441" s="55"/>
      <c r="D441" s="55"/>
      <c r="E441" s="93"/>
      <c r="F441" s="56"/>
      <c r="I441" s="392"/>
      <c r="J441" s="62"/>
      <c r="K441" s="62"/>
    </row>
    <row r="442" spans="1:11">
      <c r="A442" s="67"/>
      <c r="B442" s="55"/>
      <c r="C442" s="55"/>
      <c r="D442" s="55"/>
      <c r="E442" s="93"/>
      <c r="F442" s="56"/>
      <c r="I442" s="392"/>
      <c r="J442" s="62"/>
      <c r="K442" s="62"/>
    </row>
    <row r="443" spans="1:11">
      <c r="A443" s="67"/>
      <c r="B443" s="55"/>
      <c r="C443" s="55"/>
      <c r="D443" s="55"/>
      <c r="E443" s="93"/>
      <c r="F443" s="56"/>
      <c r="I443" s="392"/>
      <c r="J443" s="62"/>
      <c r="K443" s="62"/>
    </row>
    <row r="444" spans="1:11">
      <c r="A444" s="67"/>
      <c r="B444" s="55"/>
      <c r="C444" s="55"/>
      <c r="D444" s="55"/>
      <c r="E444" s="93"/>
      <c r="F444" s="56"/>
      <c r="I444" s="392"/>
      <c r="J444" s="62"/>
      <c r="K444" s="62"/>
    </row>
    <row r="445" spans="1:11">
      <c r="A445" s="67"/>
      <c r="B445" s="55"/>
      <c r="C445" s="55"/>
      <c r="D445" s="55"/>
      <c r="E445" s="93"/>
      <c r="F445" s="56"/>
      <c r="I445" s="392"/>
      <c r="J445" s="62"/>
      <c r="K445" s="62"/>
    </row>
    <row r="446" spans="1:11">
      <c r="A446" s="67"/>
      <c r="B446" s="55"/>
      <c r="C446" s="55"/>
      <c r="D446" s="55"/>
      <c r="E446" s="93"/>
      <c r="F446" s="56"/>
      <c r="I446" s="392"/>
      <c r="J446" s="62"/>
      <c r="K446" s="62"/>
    </row>
    <row r="447" spans="1:11">
      <c r="A447" s="67"/>
      <c r="B447" s="55"/>
      <c r="C447" s="55"/>
      <c r="D447" s="55"/>
      <c r="E447" s="93"/>
      <c r="F447" s="56"/>
      <c r="I447" s="392"/>
      <c r="J447" s="62"/>
      <c r="K447" s="62"/>
    </row>
    <row r="448" spans="1:11">
      <c r="A448" s="67"/>
      <c r="B448" s="55"/>
      <c r="C448" s="55"/>
      <c r="D448" s="55"/>
      <c r="E448" s="93"/>
      <c r="F448" s="56"/>
      <c r="I448" s="392"/>
      <c r="J448" s="62"/>
      <c r="K448" s="62"/>
    </row>
    <row r="449" spans="1:11">
      <c r="A449" s="67"/>
      <c r="B449" s="55"/>
      <c r="C449" s="55"/>
      <c r="D449" s="55"/>
      <c r="E449" s="93"/>
      <c r="F449" s="56"/>
      <c r="I449" s="392"/>
      <c r="J449" s="62"/>
      <c r="K449" s="62"/>
    </row>
    <row r="450" spans="1:11">
      <c r="A450" s="67"/>
      <c r="B450" s="55"/>
      <c r="C450" s="55"/>
      <c r="D450" s="55"/>
      <c r="E450" s="93"/>
      <c r="F450" s="56"/>
      <c r="I450" s="392"/>
      <c r="J450" s="62"/>
      <c r="K450" s="62"/>
    </row>
    <row r="451" spans="1:11">
      <c r="A451" s="67"/>
      <c r="B451" s="55"/>
      <c r="C451" s="55"/>
      <c r="D451" s="55"/>
      <c r="E451" s="93"/>
      <c r="F451" s="56"/>
      <c r="I451" s="392"/>
      <c r="J451" s="62"/>
      <c r="K451" s="62"/>
    </row>
    <row r="452" spans="1:11">
      <c r="A452" s="67"/>
      <c r="B452" s="55"/>
      <c r="C452" s="55"/>
      <c r="D452" s="55"/>
      <c r="E452" s="93"/>
      <c r="F452" s="56"/>
      <c r="I452" s="392"/>
      <c r="J452" s="62"/>
      <c r="K452" s="62"/>
    </row>
    <row r="453" spans="1:11">
      <c r="A453" s="67"/>
      <c r="B453" s="55"/>
      <c r="C453" s="55"/>
      <c r="D453" s="55"/>
      <c r="E453" s="93"/>
      <c r="F453" s="56"/>
      <c r="I453" s="392"/>
      <c r="J453" s="62"/>
      <c r="K453" s="62"/>
    </row>
    <row r="454" spans="1:11">
      <c r="A454" s="67"/>
      <c r="B454" s="55"/>
      <c r="C454" s="55"/>
      <c r="D454" s="55"/>
      <c r="E454" s="93"/>
      <c r="F454" s="56"/>
      <c r="I454" s="392"/>
      <c r="J454" s="62"/>
      <c r="K454" s="62"/>
    </row>
    <row r="455" spans="1:11">
      <c r="A455" s="67"/>
      <c r="B455" s="55"/>
      <c r="C455" s="55"/>
      <c r="D455" s="55"/>
      <c r="E455" s="93"/>
      <c r="F455" s="56"/>
      <c r="I455" s="392"/>
      <c r="J455" s="62"/>
      <c r="K455" s="62"/>
    </row>
    <row r="456" spans="1:11">
      <c r="A456" s="67"/>
      <c r="B456" s="55"/>
      <c r="C456" s="55"/>
      <c r="D456" s="55"/>
      <c r="E456" s="93"/>
      <c r="F456" s="56"/>
      <c r="I456" s="392"/>
      <c r="J456" s="62"/>
      <c r="K456" s="62"/>
    </row>
    <row r="457" spans="1:11">
      <c r="A457" s="67"/>
      <c r="B457" s="55"/>
      <c r="C457" s="55"/>
      <c r="D457" s="55"/>
      <c r="E457" s="93"/>
      <c r="F457" s="56"/>
      <c r="I457" s="392"/>
      <c r="J457" s="62"/>
      <c r="K457" s="62"/>
    </row>
    <row r="458" spans="1:11">
      <c r="A458" s="67"/>
      <c r="B458" s="55"/>
      <c r="C458" s="55"/>
      <c r="D458" s="55"/>
      <c r="E458" s="93"/>
      <c r="F458" s="56"/>
      <c r="I458" s="392"/>
      <c r="J458" s="62"/>
      <c r="K458" s="62"/>
    </row>
    <row r="459" spans="1:11">
      <c r="A459" s="67"/>
      <c r="B459" s="55"/>
      <c r="C459" s="55"/>
      <c r="D459" s="55"/>
      <c r="E459" s="93"/>
      <c r="F459" s="56"/>
      <c r="I459" s="392"/>
      <c r="J459" s="62"/>
      <c r="K459" s="62"/>
    </row>
    <row r="460" spans="1:11">
      <c r="A460" s="67"/>
      <c r="B460" s="55"/>
      <c r="C460" s="55"/>
      <c r="D460" s="55"/>
      <c r="E460" s="93"/>
      <c r="F460" s="56"/>
      <c r="I460" s="392"/>
      <c r="J460" s="62"/>
      <c r="K460" s="62"/>
    </row>
    <row r="461" spans="1:11">
      <c r="A461" s="67"/>
      <c r="B461" s="55"/>
      <c r="C461" s="55"/>
      <c r="D461" s="55"/>
      <c r="E461" s="93"/>
      <c r="F461" s="56"/>
      <c r="I461" s="392"/>
      <c r="J461" s="62"/>
      <c r="K461" s="62"/>
    </row>
    <row r="462" spans="1:11">
      <c r="A462" s="67"/>
      <c r="B462" s="55"/>
      <c r="C462" s="55"/>
      <c r="D462" s="55"/>
      <c r="E462" s="93"/>
      <c r="F462" s="56"/>
      <c r="I462" s="392"/>
      <c r="J462" s="62"/>
      <c r="K462" s="62"/>
    </row>
    <row r="463" spans="1:11">
      <c r="A463" s="67"/>
      <c r="B463" s="55"/>
      <c r="C463" s="55"/>
      <c r="D463" s="55"/>
      <c r="E463" s="93"/>
      <c r="F463" s="56"/>
      <c r="I463" s="392"/>
      <c r="J463" s="62"/>
      <c r="K463" s="62"/>
    </row>
    <row r="464" spans="1:11">
      <c r="A464" s="67"/>
      <c r="B464" s="55"/>
      <c r="C464" s="55"/>
      <c r="D464" s="55"/>
      <c r="E464" s="93"/>
      <c r="F464" s="56"/>
      <c r="I464" s="392"/>
      <c r="J464" s="62"/>
      <c r="K464" s="62"/>
    </row>
    <row r="465" spans="1:11">
      <c r="A465" s="67"/>
      <c r="B465" s="55"/>
      <c r="C465" s="55"/>
      <c r="D465" s="55"/>
      <c r="E465" s="93"/>
      <c r="F465" s="56"/>
      <c r="I465" s="392"/>
      <c r="J465" s="62"/>
      <c r="K465" s="62"/>
    </row>
    <row r="466" spans="1:11">
      <c r="A466" s="67"/>
      <c r="B466" s="55"/>
      <c r="C466" s="55"/>
      <c r="D466" s="55"/>
      <c r="E466" s="93"/>
      <c r="F466" s="56"/>
      <c r="I466" s="392"/>
      <c r="J466" s="62"/>
      <c r="K466" s="62"/>
    </row>
    <row r="467" spans="1:11">
      <c r="A467" s="67"/>
      <c r="B467" s="55"/>
      <c r="C467" s="55"/>
      <c r="D467" s="55"/>
      <c r="E467" s="93"/>
      <c r="F467" s="56"/>
      <c r="I467" s="392"/>
      <c r="J467" s="62"/>
      <c r="K467" s="62"/>
    </row>
    <row r="468" spans="1:11">
      <c r="A468" s="67"/>
      <c r="B468" s="55"/>
      <c r="C468" s="55"/>
      <c r="D468" s="55"/>
      <c r="E468" s="93"/>
      <c r="F468" s="56"/>
      <c r="I468" s="392"/>
      <c r="J468" s="62"/>
      <c r="K468" s="62"/>
    </row>
    <row r="469" spans="1:11">
      <c r="A469" s="67"/>
      <c r="B469" s="55"/>
      <c r="C469" s="55"/>
      <c r="D469" s="55"/>
      <c r="E469" s="93"/>
      <c r="F469" s="56"/>
      <c r="I469" s="392"/>
      <c r="J469" s="62"/>
      <c r="K469" s="62"/>
    </row>
    <row r="470" spans="1:11">
      <c r="A470" s="67"/>
      <c r="B470" s="55"/>
      <c r="C470" s="55"/>
      <c r="D470" s="55"/>
      <c r="E470" s="93"/>
      <c r="F470" s="56"/>
      <c r="I470" s="392"/>
      <c r="J470" s="62"/>
      <c r="K470" s="62"/>
    </row>
    <row r="471" spans="1:11">
      <c r="A471" s="67"/>
      <c r="B471" s="55"/>
      <c r="C471" s="55"/>
      <c r="D471" s="55"/>
      <c r="E471" s="93"/>
      <c r="F471" s="56"/>
      <c r="I471" s="392"/>
      <c r="J471" s="62"/>
      <c r="K471" s="62"/>
    </row>
    <row r="472" spans="1:11">
      <c r="A472" s="67"/>
      <c r="B472" s="55"/>
      <c r="C472" s="55"/>
      <c r="D472" s="55"/>
      <c r="E472" s="93"/>
      <c r="F472" s="56"/>
      <c r="I472" s="392"/>
      <c r="J472" s="62"/>
      <c r="K472" s="62"/>
    </row>
    <row r="473" spans="1:11">
      <c r="A473" s="67"/>
      <c r="B473" s="55"/>
      <c r="C473" s="55"/>
      <c r="D473" s="55"/>
      <c r="E473" s="93"/>
      <c r="F473" s="56"/>
      <c r="I473" s="392"/>
      <c r="J473" s="62"/>
      <c r="K473" s="62"/>
    </row>
    <row r="474" spans="1:11">
      <c r="A474" s="67"/>
      <c r="B474" s="55"/>
      <c r="C474" s="55"/>
      <c r="D474" s="55"/>
      <c r="E474" s="93"/>
      <c r="F474" s="56"/>
      <c r="I474" s="392"/>
      <c r="J474" s="62"/>
      <c r="K474" s="62"/>
    </row>
    <row r="475" spans="1:11">
      <c r="A475" s="67"/>
      <c r="B475" s="55"/>
      <c r="C475" s="55"/>
      <c r="D475" s="55"/>
      <c r="E475" s="93"/>
      <c r="F475" s="56"/>
      <c r="I475" s="392"/>
      <c r="J475" s="62"/>
      <c r="K475" s="62"/>
    </row>
    <row r="476" spans="1:11">
      <c r="A476" s="67"/>
      <c r="B476" s="55"/>
      <c r="C476" s="55"/>
      <c r="D476" s="55"/>
      <c r="E476" s="93"/>
      <c r="F476" s="56"/>
      <c r="I476" s="392"/>
      <c r="J476" s="62"/>
      <c r="K476" s="62"/>
    </row>
    <row r="477" spans="1:11">
      <c r="A477" s="67"/>
      <c r="B477" s="55"/>
      <c r="C477" s="55"/>
      <c r="D477" s="55"/>
      <c r="E477" s="93"/>
      <c r="F477" s="56"/>
      <c r="I477" s="392"/>
      <c r="J477" s="62"/>
      <c r="K477" s="62"/>
    </row>
    <row r="478" spans="1:11">
      <c r="A478" s="67"/>
      <c r="B478" s="55"/>
      <c r="C478" s="55"/>
      <c r="D478" s="55"/>
      <c r="E478" s="93"/>
      <c r="F478" s="56"/>
      <c r="I478" s="392"/>
      <c r="J478" s="62"/>
      <c r="K478" s="62"/>
    </row>
    <row r="479" spans="1:11">
      <c r="A479" s="67"/>
      <c r="B479" s="55"/>
      <c r="C479" s="55"/>
      <c r="D479" s="55"/>
      <c r="E479" s="93"/>
      <c r="F479" s="56"/>
      <c r="I479" s="392"/>
      <c r="J479" s="62"/>
      <c r="K479" s="62"/>
    </row>
    <row r="480" spans="1:11">
      <c r="A480" s="67"/>
      <c r="B480" s="55"/>
      <c r="C480" s="55"/>
      <c r="D480" s="55"/>
      <c r="E480" s="93"/>
      <c r="F480" s="56"/>
      <c r="I480" s="392"/>
      <c r="J480" s="62"/>
      <c r="K480" s="62"/>
    </row>
    <row r="481" spans="1:11">
      <c r="A481" s="67"/>
      <c r="B481" s="55"/>
      <c r="C481" s="55"/>
      <c r="D481" s="55"/>
      <c r="E481" s="93"/>
      <c r="F481" s="56"/>
      <c r="I481" s="392"/>
      <c r="J481" s="62"/>
      <c r="K481" s="62"/>
    </row>
    <row r="482" spans="1:11">
      <c r="A482" s="67"/>
      <c r="B482" s="55"/>
      <c r="C482" s="55"/>
      <c r="D482" s="55"/>
      <c r="E482" s="93"/>
      <c r="F482" s="56"/>
      <c r="I482" s="392"/>
      <c r="J482" s="62"/>
      <c r="K482" s="62"/>
    </row>
    <row r="483" spans="1:11">
      <c r="A483" s="67"/>
      <c r="B483" s="55"/>
      <c r="C483" s="55"/>
      <c r="D483" s="55"/>
      <c r="E483" s="93"/>
      <c r="F483" s="56"/>
      <c r="I483" s="392"/>
      <c r="J483" s="62"/>
      <c r="K483" s="62"/>
    </row>
    <row r="484" spans="1:11">
      <c r="A484" s="67"/>
      <c r="B484" s="55"/>
      <c r="C484" s="55"/>
      <c r="D484" s="55"/>
      <c r="E484" s="93"/>
      <c r="F484" s="56"/>
      <c r="I484" s="392"/>
      <c r="J484" s="62"/>
      <c r="K484" s="62"/>
    </row>
    <row r="485" spans="1:11">
      <c r="A485" s="67"/>
      <c r="B485" s="55"/>
      <c r="C485" s="55"/>
      <c r="D485" s="55"/>
      <c r="E485" s="93"/>
      <c r="F485" s="56"/>
      <c r="I485" s="392"/>
      <c r="J485" s="62"/>
      <c r="K485" s="62"/>
    </row>
    <row r="486" spans="1:11">
      <c r="A486" s="67"/>
      <c r="B486" s="55"/>
      <c r="C486" s="55"/>
      <c r="D486" s="55"/>
      <c r="E486" s="93"/>
      <c r="F486" s="56"/>
      <c r="I486" s="392"/>
      <c r="J486" s="62"/>
      <c r="K486" s="62"/>
    </row>
    <row r="487" spans="1:11">
      <c r="A487" s="67"/>
      <c r="B487" s="55"/>
      <c r="C487" s="55"/>
      <c r="D487" s="55"/>
      <c r="E487" s="93"/>
      <c r="F487" s="56"/>
      <c r="I487" s="392"/>
      <c r="J487" s="62"/>
      <c r="K487" s="62"/>
    </row>
    <row r="488" spans="1:11">
      <c r="A488" s="67"/>
      <c r="B488" s="55"/>
      <c r="C488" s="55"/>
      <c r="D488" s="55"/>
      <c r="E488" s="93"/>
      <c r="F488" s="56"/>
      <c r="I488" s="392"/>
      <c r="J488" s="62"/>
      <c r="K488" s="62"/>
    </row>
    <row r="489" spans="1:11">
      <c r="A489" s="67"/>
      <c r="B489" s="55"/>
      <c r="C489" s="55"/>
      <c r="D489" s="55"/>
      <c r="E489" s="93"/>
      <c r="F489" s="56"/>
      <c r="I489" s="392"/>
      <c r="J489" s="62"/>
      <c r="K489" s="62"/>
    </row>
    <row r="490" spans="1:11">
      <c r="A490" s="67"/>
      <c r="B490" s="55"/>
      <c r="C490" s="55"/>
      <c r="D490" s="55"/>
      <c r="E490" s="93"/>
      <c r="F490" s="56"/>
      <c r="I490" s="392"/>
      <c r="J490" s="62"/>
      <c r="K490" s="62"/>
    </row>
    <row r="491" spans="1:11">
      <c r="A491" s="67"/>
      <c r="B491" s="55"/>
      <c r="C491" s="55"/>
      <c r="D491" s="55"/>
      <c r="E491" s="93"/>
      <c r="F491" s="56"/>
      <c r="I491" s="392"/>
      <c r="J491" s="62"/>
      <c r="K491" s="62"/>
    </row>
    <row r="492" spans="1:11">
      <c r="A492" s="67"/>
      <c r="B492" s="55"/>
      <c r="C492" s="55"/>
      <c r="D492" s="55"/>
      <c r="E492" s="93"/>
      <c r="F492" s="56"/>
      <c r="I492" s="392"/>
      <c r="J492" s="62"/>
      <c r="K492" s="62"/>
    </row>
    <row r="493" spans="1:11">
      <c r="A493" s="67"/>
      <c r="B493" s="55"/>
      <c r="C493" s="55"/>
      <c r="D493" s="55"/>
      <c r="E493" s="93"/>
      <c r="F493" s="56"/>
      <c r="I493" s="392"/>
      <c r="J493" s="62"/>
      <c r="K493" s="62"/>
    </row>
    <row r="494" spans="1:11">
      <c r="A494" s="67"/>
      <c r="B494" s="55"/>
      <c r="C494" s="55"/>
      <c r="D494" s="55"/>
      <c r="E494" s="93"/>
      <c r="F494" s="56"/>
      <c r="I494" s="392"/>
      <c r="J494" s="62"/>
      <c r="K494" s="62"/>
    </row>
    <row r="495" spans="1:11">
      <c r="A495" s="67"/>
      <c r="B495" s="55"/>
      <c r="C495" s="55"/>
      <c r="D495" s="55"/>
      <c r="E495" s="93"/>
      <c r="F495" s="56"/>
      <c r="I495" s="392"/>
      <c r="J495" s="62"/>
      <c r="K495" s="62"/>
    </row>
    <row r="496" spans="1:11">
      <c r="A496" s="67"/>
      <c r="B496" s="55"/>
      <c r="C496" s="55"/>
      <c r="D496" s="55"/>
      <c r="E496" s="93"/>
      <c r="F496" s="56"/>
      <c r="I496" s="392"/>
      <c r="J496" s="62"/>
      <c r="K496" s="62"/>
    </row>
    <row r="497" spans="1:11">
      <c r="A497" s="67"/>
      <c r="B497" s="55"/>
      <c r="C497" s="55"/>
      <c r="D497" s="55"/>
      <c r="E497" s="93"/>
      <c r="F497" s="56"/>
      <c r="I497" s="392"/>
      <c r="J497" s="62"/>
      <c r="K497" s="62"/>
    </row>
    <row r="498" spans="1:11">
      <c r="A498" s="67"/>
      <c r="B498" s="55"/>
      <c r="C498" s="55"/>
      <c r="D498" s="55"/>
      <c r="E498" s="93"/>
      <c r="F498" s="56"/>
      <c r="I498" s="392"/>
      <c r="J498" s="62"/>
      <c r="K498" s="62"/>
    </row>
    <row r="499" spans="1:11">
      <c r="A499" s="67"/>
      <c r="B499" s="55"/>
      <c r="C499" s="55"/>
      <c r="D499" s="55"/>
      <c r="E499" s="93"/>
      <c r="F499" s="56"/>
      <c r="I499" s="392"/>
      <c r="J499" s="62"/>
      <c r="K499" s="62"/>
    </row>
    <row r="500" spans="1:11">
      <c r="A500" s="67"/>
      <c r="B500" s="55"/>
      <c r="C500" s="55"/>
      <c r="D500" s="55"/>
      <c r="E500" s="93"/>
      <c r="F500" s="56"/>
      <c r="I500" s="392"/>
      <c r="J500" s="62"/>
      <c r="K500" s="62"/>
    </row>
    <row r="501" spans="1:11">
      <c r="A501" s="67"/>
      <c r="B501" s="55"/>
      <c r="C501" s="55"/>
      <c r="D501" s="55"/>
      <c r="E501" s="93"/>
      <c r="F501" s="56"/>
      <c r="I501" s="392"/>
      <c r="J501" s="62"/>
      <c r="K501" s="62"/>
    </row>
    <row r="502" spans="1:11">
      <c r="A502" s="67"/>
      <c r="B502" s="55"/>
      <c r="C502" s="55"/>
      <c r="D502" s="55"/>
      <c r="E502" s="93"/>
      <c r="F502" s="56"/>
      <c r="I502" s="392"/>
      <c r="J502" s="62"/>
      <c r="K502" s="62"/>
    </row>
    <row r="503" spans="1:11">
      <c r="A503" s="67"/>
      <c r="B503" s="55"/>
      <c r="C503" s="55"/>
      <c r="D503" s="55"/>
      <c r="E503" s="93"/>
      <c r="F503" s="56"/>
      <c r="I503" s="392"/>
      <c r="J503" s="62"/>
      <c r="K503" s="62"/>
    </row>
    <row r="504" spans="1:11">
      <c r="A504" s="67"/>
      <c r="B504" s="55"/>
      <c r="C504" s="55"/>
      <c r="D504" s="55"/>
      <c r="E504" s="93"/>
      <c r="F504" s="56"/>
      <c r="I504" s="392"/>
      <c r="J504" s="62"/>
      <c r="K504" s="62"/>
    </row>
    <row r="505" spans="1:11">
      <c r="A505" s="67"/>
      <c r="B505" s="55"/>
      <c r="C505" s="55"/>
      <c r="D505" s="55"/>
      <c r="E505" s="93"/>
      <c r="F505" s="56"/>
      <c r="I505" s="392"/>
      <c r="J505" s="62"/>
      <c r="K505" s="62"/>
    </row>
    <row r="506" spans="1:11">
      <c r="A506" s="67"/>
      <c r="B506" s="55"/>
      <c r="C506" s="55"/>
      <c r="D506" s="55"/>
      <c r="E506" s="93"/>
      <c r="F506" s="56"/>
      <c r="I506" s="392"/>
      <c r="J506" s="62"/>
      <c r="K506" s="62"/>
    </row>
    <row r="507" spans="1:11">
      <c r="A507" s="67"/>
      <c r="B507" s="55"/>
      <c r="C507" s="55"/>
      <c r="D507" s="55"/>
      <c r="E507" s="93"/>
      <c r="F507" s="56"/>
      <c r="I507" s="392"/>
      <c r="J507" s="62"/>
      <c r="K507" s="62"/>
    </row>
    <row r="508" spans="1:11">
      <c r="A508" s="67"/>
      <c r="B508" s="55"/>
      <c r="C508" s="55"/>
      <c r="D508" s="55"/>
      <c r="E508" s="93"/>
      <c r="F508" s="56"/>
      <c r="I508" s="392"/>
      <c r="J508" s="62"/>
      <c r="K508" s="62"/>
    </row>
    <row r="509" spans="1:11">
      <c r="A509" s="67"/>
      <c r="B509" s="55"/>
      <c r="C509" s="55"/>
      <c r="D509" s="55"/>
      <c r="E509" s="93"/>
      <c r="F509" s="56"/>
      <c r="I509" s="392"/>
      <c r="J509" s="62"/>
      <c r="K509" s="62"/>
    </row>
    <row r="510" spans="1:11">
      <c r="A510" s="67"/>
      <c r="B510" s="55"/>
      <c r="C510" s="55"/>
      <c r="D510" s="55"/>
      <c r="E510" s="93"/>
      <c r="F510" s="56"/>
      <c r="I510" s="392"/>
      <c r="J510" s="62"/>
      <c r="K510" s="62"/>
    </row>
    <row r="511" spans="1:11">
      <c r="A511" s="67"/>
      <c r="B511" s="55"/>
      <c r="C511" s="55"/>
      <c r="D511" s="55"/>
      <c r="E511" s="93"/>
      <c r="F511" s="56"/>
      <c r="I511" s="392"/>
      <c r="J511" s="62"/>
      <c r="K511" s="62"/>
    </row>
    <row r="512" spans="1:11">
      <c r="A512" s="67"/>
      <c r="B512" s="55"/>
      <c r="C512" s="55"/>
      <c r="D512" s="55"/>
      <c r="E512" s="93"/>
      <c r="F512" s="56"/>
      <c r="I512" s="392"/>
      <c r="J512" s="62"/>
      <c r="K512" s="62"/>
    </row>
    <row r="513" spans="1:11">
      <c r="A513" s="67"/>
      <c r="B513" s="55"/>
      <c r="C513" s="55"/>
      <c r="D513" s="55"/>
      <c r="E513" s="93"/>
      <c r="F513" s="56"/>
      <c r="I513" s="392"/>
      <c r="J513" s="62"/>
      <c r="K513" s="62"/>
    </row>
    <row r="514" spans="1:11">
      <c r="A514" s="67"/>
      <c r="B514" s="55"/>
      <c r="C514" s="55"/>
      <c r="D514" s="55"/>
      <c r="E514" s="93"/>
      <c r="F514" s="56"/>
      <c r="I514" s="392"/>
      <c r="J514" s="62"/>
      <c r="K514" s="62"/>
    </row>
    <row r="515" spans="1:11">
      <c r="A515" s="67"/>
      <c r="B515" s="55"/>
      <c r="C515" s="55"/>
      <c r="D515" s="55"/>
      <c r="E515" s="93"/>
      <c r="F515" s="56"/>
      <c r="I515" s="392"/>
      <c r="J515" s="62"/>
      <c r="K515" s="62"/>
    </row>
    <row r="516" spans="1:11">
      <c r="A516" s="67"/>
      <c r="B516" s="55"/>
      <c r="C516" s="55"/>
      <c r="D516" s="55"/>
      <c r="E516" s="93"/>
      <c r="F516" s="56"/>
      <c r="I516" s="392"/>
      <c r="J516" s="62"/>
      <c r="K516" s="62"/>
    </row>
    <row r="517" spans="1:11">
      <c r="A517" s="67"/>
      <c r="B517" s="55"/>
      <c r="C517" s="55"/>
      <c r="D517" s="55"/>
      <c r="E517" s="93"/>
      <c r="F517" s="56"/>
      <c r="I517" s="392"/>
      <c r="J517" s="62"/>
      <c r="K517" s="62"/>
    </row>
    <row r="518" spans="1:11">
      <c r="A518" s="67"/>
      <c r="B518" s="55"/>
      <c r="C518" s="55"/>
      <c r="D518" s="55"/>
      <c r="E518" s="93"/>
      <c r="F518" s="56"/>
      <c r="I518" s="392"/>
      <c r="J518" s="62"/>
      <c r="K518" s="62"/>
    </row>
    <row r="519" spans="1:11">
      <c r="A519" s="67"/>
      <c r="B519" s="55"/>
      <c r="C519" s="55"/>
      <c r="D519" s="55"/>
      <c r="E519" s="93"/>
      <c r="F519" s="56"/>
      <c r="I519" s="392"/>
      <c r="J519" s="62"/>
      <c r="K519" s="62"/>
    </row>
    <row r="520" spans="1:11">
      <c r="A520" s="67"/>
      <c r="B520" s="55"/>
      <c r="C520" s="55"/>
      <c r="D520" s="55"/>
      <c r="E520" s="93"/>
      <c r="F520" s="56"/>
      <c r="I520" s="392"/>
      <c r="J520" s="62"/>
      <c r="K520" s="62"/>
    </row>
    <row r="521" spans="1:11">
      <c r="A521" s="67"/>
      <c r="B521" s="55"/>
      <c r="C521" s="55"/>
      <c r="D521" s="55"/>
      <c r="E521" s="93"/>
      <c r="F521" s="56"/>
      <c r="I521" s="392"/>
      <c r="J521" s="62"/>
      <c r="K521" s="62"/>
    </row>
    <row r="522" spans="1:11">
      <c r="A522" s="67"/>
      <c r="B522" s="55"/>
      <c r="C522" s="55"/>
      <c r="D522" s="55"/>
      <c r="E522" s="93"/>
      <c r="F522" s="56"/>
      <c r="I522" s="392"/>
      <c r="J522" s="62"/>
      <c r="K522" s="62"/>
    </row>
    <row r="523" spans="1:11">
      <c r="A523" s="67"/>
      <c r="B523" s="55"/>
      <c r="C523" s="55"/>
      <c r="D523" s="55"/>
      <c r="E523" s="93"/>
      <c r="F523" s="56"/>
      <c r="I523" s="392"/>
      <c r="J523" s="62"/>
      <c r="K523" s="62"/>
    </row>
    <row r="524" spans="1:11">
      <c r="A524" s="67"/>
      <c r="B524" s="55"/>
      <c r="C524" s="55"/>
      <c r="D524" s="55"/>
      <c r="E524" s="93"/>
      <c r="F524" s="56"/>
      <c r="I524" s="392"/>
      <c r="J524" s="62"/>
      <c r="K524" s="62"/>
    </row>
    <row r="525" spans="1:11">
      <c r="A525" s="67"/>
      <c r="B525" s="55"/>
      <c r="C525" s="55"/>
      <c r="D525" s="55"/>
      <c r="E525" s="93"/>
      <c r="F525" s="56"/>
      <c r="I525" s="392"/>
      <c r="J525" s="62"/>
      <c r="K525" s="62"/>
    </row>
    <row r="526" spans="1:11">
      <c r="A526" s="67"/>
      <c r="B526" s="55"/>
      <c r="C526" s="55"/>
      <c r="D526" s="55"/>
      <c r="E526" s="93"/>
      <c r="F526" s="56"/>
      <c r="I526" s="392"/>
      <c r="J526" s="62"/>
      <c r="K526" s="62"/>
    </row>
    <row r="527" spans="1:11">
      <c r="A527" s="67"/>
      <c r="B527" s="55"/>
      <c r="C527" s="55"/>
      <c r="D527" s="55"/>
      <c r="E527" s="93"/>
      <c r="F527" s="56"/>
      <c r="I527" s="392"/>
      <c r="J527" s="62"/>
      <c r="K527" s="62"/>
    </row>
    <row r="528" spans="1:11">
      <c r="A528" s="67"/>
      <c r="B528" s="55"/>
      <c r="C528" s="55"/>
      <c r="D528" s="55"/>
      <c r="E528" s="93"/>
      <c r="F528" s="56"/>
      <c r="I528" s="392"/>
      <c r="J528" s="62"/>
      <c r="K528" s="62"/>
    </row>
    <row r="529" spans="1:11">
      <c r="A529" s="67"/>
      <c r="B529" s="55"/>
      <c r="C529" s="55"/>
      <c r="D529" s="55"/>
      <c r="E529" s="93"/>
      <c r="F529" s="56"/>
      <c r="I529" s="392"/>
      <c r="J529" s="62"/>
      <c r="K529" s="62"/>
    </row>
    <row r="530" spans="1:11">
      <c r="A530" s="67"/>
      <c r="B530" s="55"/>
      <c r="C530" s="55"/>
      <c r="D530" s="55"/>
      <c r="E530" s="93"/>
      <c r="F530" s="56"/>
      <c r="I530" s="392"/>
      <c r="J530" s="62"/>
      <c r="K530" s="62"/>
    </row>
    <row r="531" spans="1:11">
      <c r="A531" s="67"/>
      <c r="B531" s="55"/>
      <c r="C531" s="55"/>
      <c r="D531" s="55"/>
      <c r="E531" s="93"/>
      <c r="F531" s="56"/>
      <c r="I531" s="392"/>
      <c r="J531" s="62"/>
      <c r="K531" s="62"/>
    </row>
    <row r="532" spans="1:11">
      <c r="A532" s="67"/>
      <c r="B532" s="55"/>
      <c r="C532" s="55"/>
      <c r="D532" s="55"/>
      <c r="E532" s="93"/>
      <c r="F532" s="56"/>
      <c r="I532" s="392"/>
      <c r="J532" s="62"/>
      <c r="K532" s="62"/>
    </row>
    <row r="533" spans="1:11">
      <c r="A533" s="67"/>
      <c r="B533" s="55"/>
      <c r="C533" s="55"/>
      <c r="D533" s="55"/>
      <c r="E533" s="93"/>
      <c r="F533" s="56"/>
      <c r="I533" s="392"/>
      <c r="J533" s="62"/>
      <c r="K533" s="62"/>
    </row>
    <row r="534" spans="1:11">
      <c r="A534" s="67"/>
      <c r="B534" s="55"/>
      <c r="C534" s="55"/>
      <c r="D534" s="55"/>
      <c r="E534" s="93"/>
      <c r="F534" s="56"/>
      <c r="I534" s="392"/>
      <c r="J534" s="62"/>
      <c r="K534" s="62"/>
    </row>
    <row r="535" spans="1:11">
      <c r="A535" s="67"/>
      <c r="B535" s="55"/>
      <c r="C535" s="55"/>
      <c r="D535" s="55"/>
      <c r="E535" s="93"/>
      <c r="F535" s="56"/>
      <c r="I535" s="392"/>
      <c r="J535" s="62"/>
      <c r="K535" s="62"/>
    </row>
    <row r="536" spans="1:11">
      <c r="A536" s="67"/>
      <c r="B536" s="55"/>
      <c r="C536" s="55"/>
      <c r="D536" s="55"/>
      <c r="E536" s="93"/>
      <c r="F536" s="56"/>
      <c r="I536" s="392"/>
      <c r="J536" s="62"/>
      <c r="K536" s="62"/>
    </row>
    <row r="537" spans="1:11">
      <c r="A537" s="67"/>
      <c r="B537" s="55"/>
      <c r="C537" s="55"/>
      <c r="D537" s="55"/>
      <c r="E537" s="93"/>
      <c r="F537" s="56"/>
      <c r="I537" s="392"/>
      <c r="J537" s="62"/>
      <c r="K537" s="62"/>
    </row>
    <row r="538" spans="1:11">
      <c r="A538" s="67"/>
      <c r="B538" s="55"/>
      <c r="C538" s="55"/>
      <c r="D538" s="55"/>
      <c r="E538" s="93"/>
      <c r="F538" s="56"/>
      <c r="I538" s="392"/>
      <c r="J538" s="62"/>
      <c r="K538" s="62"/>
    </row>
    <row r="539" spans="1:11">
      <c r="A539" s="67"/>
      <c r="B539" s="55"/>
      <c r="C539" s="55"/>
      <c r="D539" s="55"/>
      <c r="E539" s="93"/>
      <c r="F539" s="56"/>
      <c r="I539" s="392"/>
      <c r="J539" s="62"/>
      <c r="K539" s="62"/>
    </row>
    <row r="540" spans="1:11">
      <c r="A540" s="67"/>
      <c r="B540" s="55"/>
      <c r="C540" s="55"/>
      <c r="D540" s="55"/>
      <c r="E540" s="93"/>
      <c r="F540" s="56"/>
      <c r="I540" s="392"/>
      <c r="J540" s="62"/>
      <c r="K540" s="62"/>
    </row>
    <row r="541" spans="1:11">
      <c r="A541" s="67"/>
      <c r="B541" s="55"/>
      <c r="C541" s="55"/>
      <c r="D541" s="55"/>
      <c r="E541" s="93"/>
      <c r="F541" s="56"/>
      <c r="I541" s="392"/>
      <c r="J541" s="62"/>
      <c r="K541" s="62"/>
    </row>
    <row r="542" spans="1:11">
      <c r="A542" s="67"/>
      <c r="B542" s="55"/>
      <c r="C542" s="55"/>
      <c r="D542" s="55"/>
      <c r="E542" s="93"/>
      <c r="F542" s="56"/>
      <c r="I542" s="392"/>
      <c r="J542" s="62"/>
      <c r="K542" s="62"/>
    </row>
    <row r="543" spans="1:11">
      <c r="A543" s="67"/>
      <c r="B543" s="55"/>
      <c r="C543" s="55"/>
      <c r="D543" s="55"/>
      <c r="E543" s="93"/>
      <c r="F543" s="56"/>
      <c r="I543" s="392"/>
      <c r="J543" s="62"/>
      <c r="K543" s="62"/>
    </row>
    <row r="544" spans="1:11">
      <c r="A544" s="67"/>
      <c r="B544" s="55"/>
      <c r="C544" s="55"/>
      <c r="D544" s="55"/>
      <c r="E544" s="93"/>
      <c r="F544" s="56"/>
      <c r="I544" s="392"/>
      <c r="J544" s="62"/>
      <c r="K544" s="62"/>
    </row>
    <row r="545" spans="1:11">
      <c r="A545" s="67"/>
      <c r="B545" s="55"/>
      <c r="C545" s="55"/>
      <c r="D545" s="55"/>
      <c r="E545" s="93"/>
      <c r="F545" s="56"/>
      <c r="I545" s="392"/>
      <c r="J545" s="62"/>
      <c r="K545" s="62"/>
    </row>
    <row r="546" spans="1:11">
      <c r="A546" s="67"/>
      <c r="B546" s="55"/>
      <c r="C546" s="55"/>
      <c r="D546" s="55"/>
      <c r="E546" s="93"/>
      <c r="F546" s="56"/>
      <c r="I546" s="392"/>
      <c r="J546" s="62"/>
      <c r="K546" s="62"/>
    </row>
    <row r="547" spans="1:11">
      <c r="A547" s="67"/>
      <c r="B547" s="55"/>
      <c r="C547" s="55"/>
      <c r="D547" s="55"/>
      <c r="E547" s="93"/>
      <c r="F547" s="56"/>
      <c r="I547" s="392"/>
      <c r="J547" s="62"/>
      <c r="K547" s="62"/>
    </row>
    <row r="548" spans="1:11">
      <c r="A548" s="67"/>
      <c r="B548" s="55"/>
      <c r="C548" s="55"/>
      <c r="D548" s="55"/>
      <c r="E548" s="93"/>
      <c r="F548" s="56"/>
      <c r="I548" s="392"/>
      <c r="J548" s="62"/>
      <c r="K548" s="62"/>
    </row>
    <row r="549" spans="1:11">
      <c r="A549" s="67"/>
      <c r="B549" s="55"/>
      <c r="C549" s="55"/>
      <c r="D549" s="55"/>
      <c r="E549" s="93"/>
      <c r="F549" s="56"/>
      <c r="I549" s="392"/>
      <c r="J549" s="62"/>
      <c r="K549" s="62"/>
    </row>
    <row r="550" spans="1:11">
      <c r="A550" s="67"/>
      <c r="B550" s="55"/>
      <c r="C550" s="55"/>
      <c r="D550" s="55"/>
      <c r="E550" s="93"/>
      <c r="F550" s="56"/>
      <c r="I550" s="392"/>
      <c r="J550" s="62"/>
      <c r="K550" s="62"/>
    </row>
    <row r="551" spans="1:11">
      <c r="A551" s="67"/>
      <c r="B551" s="55"/>
      <c r="C551" s="55"/>
      <c r="D551" s="55"/>
      <c r="E551" s="93"/>
      <c r="F551" s="56"/>
      <c r="I551" s="392"/>
      <c r="J551" s="62"/>
      <c r="K551" s="62"/>
    </row>
    <row r="552" spans="1:11">
      <c r="A552" s="67"/>
      <c r="B552" s="55"/>
      <c r="C552" s="55"/>
      <c r="D552" s="55"/>
      <c r="E552" s="93"/>
      <c r="F552" s="56"/>
      <c r="I552" s="392"/>
      <c r="J552" s="62"/>
      <c r="K552" s="62"/>
    </row>
    <row r="553" spans="1:11">
      <c r="A553" s="67"/>
      <c r="B553" s="55"/>
      <c r="C553" s="55"/>
      <c r="D553" s="55"/>
      <c r="E553" s="93"/>
      <c r="F553" s="56"/>
      <c r="I553" s="392"/>
      <c r="J553" s="62"/>
      <c r="K553" s="62"/>
    </row>
    <row r="554" spans="1:11">
      <c r="A554" s="67"/>
      <c r="B554" s="55"/>
      <c r="C554" s="55"/>
      <c r="D554" s="55"/>
      <c r="E554" s="93"/>
      <c r="F554" s="56"/>
      <c r="I554" s="392"/>
      <c r="J554" s="62"/>
      <c r="K554" s="62"/>
    </row>
    <row r="555" spans="1:11">
      <c r="A555" s="67"/>
      <c r="B555" s="55"/>
      <c r="C555" s="55"/>
      <c r="D555" s="55"/>
      <c r="E555" s="93"/>
      <c r="F555" s="56"/>
      <c r="I555" s="392"/>
      <c r="J555" s="62"/>
      <c r="K555" s="62"/>
    </row>
    <row r="556" spans="1:11">
      <c r="A556" s="67"/>
      <c r="B556" s="55"/>
      <c r="C556" s="55"/>
      <c r="D556" s="55"/>
      <c r="E556" s="93"/>
      <c r="F556" s="56"/>
      <c r="I556" s="392"/>
      <c r="J556" s="62"/>
      <c r="K556" s="62"/>
    </row>
    <row r="557" spans="1:11">
      <c r="A557" s="67"/>
      <c r="B557" s="55"/>
      <c r="C557" s="55"/>
      <c r="D557" s="55"/>
      <c r="E557" s="93"/>
      <c r="F557" s="56"/>
      <c r="I557" s="392"/>
      <c r="J557" s="62"/>
      <c r="K557" s="62"/>
    </row>
    <row r="558" spans="1:11">
      <c r="A558" s="67"/>
      <c r="B558" s="55"/>
      <c r="C558" s="55"/>
      <c r="D558" s="55"/>
      <c r="E558" s="93"/>
      <c r="F558" s="56"/>
      <c r="I558" s="392"/>
      <c r="J558" s="62"/>
      <c r="K558" s="62"/>
    </row>
    <row r="559" spans="1:11">
      <c r="A559" s="67"/>
      <c r="B559" s="55"/>
      <c r="C559" s="55"/>
      <c r="D559" s="55"/>
      <c r="E559" s="93"/>
      <c r="F559" s="56"/>
      <c r="I559" s="392"/>
      <c r="J559" s="62"/>
      <c r="K559" s="62"/>
    </row>
    <row r="560" spans="1:11">
      <c r="A560" s="67"/>
      <c r="B560" s="55"/>
      <c r="C560" s="55"/>
      <c r="D560" s="55"/>
      <c r="E560" s="93"/>
      <c r="F560" s="56"/>
      <c r="I560" s="392"/>
      <c r="J560" s="62"/>
      <c r="K560" s="62"/>
    </row>
    <row r="561" spans="1:11">
      <c r="A561" s="67"/>
      <c r="B561" s="55"/>
      <c r="C561" s="55"/>
      <c r="D561" s="55"/>
      <c r="E561" s="93"/>
      <c r="F561" s="56"/>
      <c r="I561" s="392"/>
      <c r="J561" s="62"/>
      <c r="K561" s="62"/>
    </row>
    <row r="562" spans="1:11">
      <c r="A562" s="67"/>
      <c r="B562" s="55"/>
      <c r="C562" s="55"/>
      <c r="D562" s="55"/>
      <c r="E562" s="93"/>
      <c r="F562" s="56"/>
      <c r="I562" s="392"/>
      <c r="J562" s="62"/>
      <c r="K562" s="62"/>
    </row>
    <row r="563" spans="1:11">
      <c r="A563" s="67"/>
      <c r="B563" s="55"/>
      <c r="C563" s="55"/>
      <c r="D563" s="55"/>
      <c r="E563" s="93"/>
      <c r="F563" s="56"/>
      <c r="I563" s="392"/>
      <c r="J563" s="62"/>
      <c r="K563" s="62"/>
    </row>
    <row r="564" spans="1:11">
      <c r="A564" s="67"/>
      <c r="B564" s="55"/>
      <c r="C564" s="55"/>
      <c r="D564" s="55"/>
      <c r="E564" s="93"/>
      <c r="F564" s="56"/>
      <c r="I564" s="392"/>
      <c r="J564" s="62"/>
      <c r="K564" s="62"/>
    </row>
    <row r="565" spans="1:11">
      <c r="A565" s="67"/>
      <c r="B565" s="55"/>
      <c r="C565" s="55"/>
      <c r="D565" s="55"/>
      <c r="E565" s="93"/>
      <c r="F565" s="56"/>
      <c r="I565" s="392"/>
      <c r="J565" s="62"/>
      <c r="K565" s="62"/>
    </row>
    <row r="566" spans="1:11">
      <c r="A566" s="67"/>
      <c r="B566" s="55"/>
      <c r="C566" s="55"/>
      <c r="D566" s="55"/>
      <c r="E566" s="93"/>
      <c r="F566" s="56"/>
      <c r="I566" s="392"/>
      <c r="J566" s="62"/>
      <c r="K566" s="62"/>
    </row>
    <row r="567" spans="1:11">
      <c r="A567" s="67"/>
      <c r="B567" s="55"/>
      <c r="C567" s="55"/>
      <c r="D567" s="55"/>
      <c r="E567" s="93"/>
      <c r="F567" s="56"/>
      <c r="I567" s="392"/>
      <c r="J567" s="62"/>
      <c r="K567" s="62"/>
    </row>
    <row r="568" spans="1:11">
      <c r="A568" s="67"/>
      <c r="B568" s="55"/>
      <c r="C568" s="55"/>
      <c r="D568" s="55"/>
      <c r="E568" s="93"/>
      <c r="F568" s="56"/>
      <c r="I568" s="392"/>
      <c r="J568" s="62"/>
      <c r="K568" s="62"/>
    </row>
    <row r="569" spans="1:11">
      <c r="A569" s="67"/>
      <c r="B569" s="55"/>
      <c r="C569" s="55"/>
      <c r="D569" s="55"/>
      <c r="E569" s="93"/>
      <c r="F569" s="56"/>
      <c r="I569" s="392"/>
      <c r="J569" s="62"/>
      <c r="K569" s="62"/>
    </row>
    <row r="570" spans="1:11">
      <c r="A570" s="67"/>
      <c r="B570" s="55"/>
      <c r="C570" s="55"/>
      <c r="D570" s="55"/>
      <c r="E570" s="93"/>
      <c r="F570" s="56"/>
      <c r="I570" s="392"/>
      <c r="J570" s="62"/>
      <c r="K570" s="62"/>
    </row>
    <row r="571" spans="1:11">
      <c r="A571" s="67"/>
      <c r="B571" s="55"/>
      <c r="C571" s="55"/>
      <c r="D571" s="55"/>
      <c r="E571" s="93"/>
      <c r="F571" s="56"/>
      <c r="I571" s="392"/>
      <c r="J571" s="62"/>
      <c r="K571" s="62"/>
    </row>
    <row r="572" spans="1:11">
      <c r="A572" s="67"/>
      <c r="B572" s="55"/>
      <c r="C572" s="55"/>
      <c r="D572" s="55"/>
      <c r="E572" s="93"/>
      <c r="F572" s="56"/>
      <c r="I572" s="392"/>
      <c r="J572" s="62"/>
      <c r="K572" s="62"/>
    </row>
    <row r="573" spans="1:11">
      <c r="A573" s="67"/>
      <c r="B573" s="55"/>
      <c r="C573" s="55"/>
      <c r="D573" s="55"/>
      <c r="E573" s="93"/>
      <c r="F573" s="56"/>
      <c r="I573" s="392"/>
      <c r="J573" s="62"/>
      <c r="K573" s="62"/>
    </row>
    <row r="574" spans="1:11">
      <c r="A574" s="67"/>
      <c r="B574" s="55"/>
      <c r="C574" s="55"/>
      <c r="D574" s="55"/>
      <c r="E574" s="93"/>
      <c r="F574" s="56"/>
      <c r="I574" s="392"/>
      <c r="J574" s="62"/>
      <c r="K574" s="62"/>
    </row>
    <row r="575" spans="1:11">
      <c r="A575" s="67"/>
      <c r="B575" s="55"/>
      <c r="C575" s="55"/>
      <c r="D575" s="55"/>
      <c r="E575" s="93"/>
      <c r="F575" s="56"/>
      <c r="I575" s="392"/>
      <c r="J575" s="62"/>
      <c r="K575" s="62"/>
    </row>
    <row r="576" spans="1:11">
      <c r="A576" s="67"/>
      <c r="B576" s="55"/>
      <c r="C576" s="55"/>
      <c r="D576" s="55"/>
      <c r="E576" s="93"/>
      <c r="F576" s="56"/>
      <c r="I576" s="392"/>
      <c r="J576" s="62"/>
      <c r="K576" s="62"/>
    </row>
    <row r="577" spans="1:11">
      <c r="A577" s="67"/>
      <c r="B577" s="55"/>
      <c r="C577" s="55"/>
      <c r="D577" s="55"/>
      <c r="E577" s="93"/>
      <c r="F577" s="56"/>
      <c r="I577" s="392"/>
      <c r="J577" s="62"/>
      <c r="K577" s="62"/>
    </row>
    <row r="578" spans="1:11">
      <c r="A578" s="67"/>
      <c r="B578" s="55"/>
      <c r="C578" s="55"/>
      <c r="D578" s="55"/>
      <c r="E578" s="93"/>
      <c r="F578" s="56"/>
      <c r="I578" s="392"/>
      <c r="J578" s="62"/>
      <c r="K578" s="62"/>
    </row>
    <row r="579" spans="1:11">
      <c r="A579" s="67"/>
      <c r="B579" s="55"/>
      <c r="C579" s="55"/>
      <c r="D579" s="55"/>
      <c r="E579" s="93"/>
      <c r="F579" s="56"/>
      <c r="I579" s="392"/>
      <c r="J579" s="62"/>
      <c r="K579" s="62"/>
    </row>
    <row r="580" spans="1:11">
      <c r="A580" s="67"/>
      <c r="B580" s="55"/>
      <c r="C580" s="55"/>
      <c r="D580" s="55"/>
      <c r="E580" s="93"/>
      <c r="F580" s="56"/>
      <c r="I580" s="392"/>
      <c r="J580" s="62"/>
      <c r="K580" s="62"/>
    </row>
    <row r="581" spans="1:11">
      <c r="A581" s="67"/>
      <c r="B581" s="55"/>
      <c r="C581" s="55"/>
      <c r="D581" s="55"/>
      <c r="E581" s="93"/>
      <c r="F581" s="56"/>
      <c r="I581" s="392"/>
      <c r="J581" s="62"/>
      <c r="K581" s="62"/>
    </row>
    <row r="582" spans="1:11">
      <c r="A582" s="67"/>
      <c r="B582" s="55"/>
      <c r="C582" s="55"/>
      <c r="D582" s="55"/>
      <c r="E582" s="93"/>
      <c r="F582" s="56"/>
      <c r="I582" s="392"/>
      <c r="J582" s="62"/>
      <c r="K582" s="62"/>
    </row>
    <row r="583" spans="1:11">
      <c r="A583" s="67"/>
      <c r="B583" s="55"/>
      <c r="C583" s="55"/>
      <c r="D583" s="55"/>
      <c r="E583" s="93"/>
      <c r="F583" s="56"/>
      <c r="I583" s="392"/>
      <c r="J583" s="62"/>
      <c r="K583" s="62"/>
    </row>
    <row r="584" spans="1:11">
      <c r="A584" s="67"/>
      <c r="B584" s="55"/>
      <c r="C584" s="55"/>
      <c r="D584" s="55"/>
      <c r="E584" s="93"/>
      <c r="F584" s="56"/>
      <c r="I584" s="392"/>
      <c r="J584" s="62"/>
      <c r="K584" s="62"/>
    </row>
    <row r="585" spans="1:11">
      <c r="A585" s="67"/>
      <c r="B585" s="55"/>
      <c r="C585" s="55"/>
      <c r="D585" s="55"/>
      <c r="E585" s="93"/>
      <c r="F585" s="56"/>
      <c r="I585" s="392"/>
      <c r="J585" s="62"/>
      <c r="K585" s="62"/>
    </row>
    <row r="586" spans="1:11">
      <c r="A586" s="67"/>
      <c r="B586" s="55"/>
      <c r="C586" s="55"/>
      <c r="D586" s="55"/>
      <c r="E586" s="93"/>
      <c r="F586" s="56"/>
      <c r="I586" s="392"/>
      <c r="J586" s="62"/>
      <c r="K586" s="62"/>
    </row>
    <row r="587" spans="1:11">
      <c r="A587" s="67"/>
      <c r="B587" s="55"/>
      <c r="C587" s="55"/>
      <c r="D587" s="55"/>
      <c r="E587" s="93"/>
      <c r="F587" s="56"/>
      <c r="I587" s="392"/>
      <c r="J587" s="62"/>
      <c r="K587" s="62"/>
    </row>
    <row r="588" spans="1:11">
      <c r="A588" s="67"/>
      <c r="B588" s="55"/>
      <c r="C588" s="55"/>
      <c r="D588" s="55"/>
      <c r="E588" s="93"/>
      <c r="F588" s="56"/>
      <c r="I588" s="392"/>
      <c r="J588" s="62"/>
      <c r="K588" s="62"/>
    </row>
    <row r="589" spans="1:11">
      <c r="A589" s="67"/>
      <c r="B589" s="55"/>
      <c r="C589" s="55"/>
      <c r="D589" s="55"/>
      <c r="E589" s="93"/>
      <c r="F589" s="56"/>
      <c r="I589" s="392"/>
      <c r="J589" s="62"/>
      <c r="K589" s="62"/>
    </row>
    <row r="590" spans="1:11">
      <c r="A590" s="67"/>
      <c r="B590" s="55"/>
      <c r="C590" s="55"/>
      <c r="D590" s="55"/>
      <c r="E590" s="93"/>
      <c r="F590" s="56"/>
      <c r="I590" s="392"/>
      <c r="J590" s="62"/>
      <c r="K590" s="62"/>
    </row>
    <row r="591" spans="1:11">
      <c r="A591" s="67"/>
      <c r="B591" s="55"/>
      <c r="C591" s="55"/>
      <c r="D591" s="55"/>
      <c r="E591" s="93"/>
      <c r="F591" s="56"/>
      <c r="I591" s="392"/>
      <c r="J591" s="62"/>
      <c r="K591" s="62"/>
    </row>
    <row r="592" spans="1:11">
      <c r="A592" s="67"/>
      <c r="B592" s="55"/>
      <c r="C592" s="55"/>
      <c r="D592" s="55"/>
      <c r="E592" s="93"/>
      <c r="F592" s="56"/>
      <c r="I592" s="392"/>
      <c r="J592" s="62"/>
      <c r="K592" s="62"/>
    </row>
    <row r="593" spans="1:11">
      <c r="A593" s="67"/>
      <c r="B593" s="55"/>
      <c r="C593" s="55"/>
      <c r="D593" s="55"/>
      <c r="E593" s="93"/>
      <c r="F593" s="56"/>
      <c r="I593" s="392"/>
      <c r="J593" s="62"/>
      <c r="K593" s="62"/>
    </row>
    <row r="594" spans="1:11">
      <c r="A594" s="67"/>
      <c r="B594" s="55"/>
      <c r="C594" s="55"/>
      <c r="D594" s="55"/>
      <c r="E594" s="93"/>
      <c r="F594" s="56"/>
      <c r="I594" s="392"/>
      <c r="J594" s="62"/>
      <c r="K594" s="62"/>
    </row>
    <row r="595" spans="1:11">
      <c r="A595" s="67"/>
      <c r="B595" s="55"/>
      <c r="C595" s="55"/>
      <c r="D595" s="55"/>
      <c r="E595" s="93"/>
      <c r="F595" s="56"/>
      <c r="I595" s="392"/>
      <c r="J595" s="62"/>
      <c r="K595" s="62"/>
    </row>
    <row r="596" spans="1:11">
      <c r="A596" s="67"/>
      <c r="B596" s="55"/>
      <c r="C596" s="55"/>
      <c r="D596" s="55"/>
      <c r="E596" s="93"/>
      <c r="F596" s="56"/>
      <c r="I596" s="392"/>
      <c r="J596" s="62"/>
      <c r="K596" s="62"/>
    </row>
    <row r="597" spans="1:11">
      <c r="A597" s="67"/>
      <c r="B597" s="55"/>
      <c r="C597" s="55"/>
      <c r="D597" s="55"/>
      <c r="E597" s="93"/>
      <c r="F597" s="56"/>
      <c r="I597" s="392"/>
      <c r="J597" s="62"/>
      <c r="K597" s="62"/>
    </row>
    <row r="598" spans="1:11">
      <c r="A598" s="67"/>
      <c r="B598" s="55"/>
      <c r="C598" s="55"/>
      <c r="D598" s="55"/>
      <c r="E598" s="93"/>
      <c r="F598" s="56"/>
      <c r="I598" s="392"/>
      <c r="J598" s="62"/>
      <c r="K598" s="62"/>
    </row>
    <row r="599" spans="1:11">
      <c r="A599" s="67"/>
      <c r="B599" s="55"/>
      <c r="C599" s="55"/>
      <c r="D599" s="55"/>
      <c r="E599" s="93"/>
      <c r="F599" s="56"/>
      <c r="I599" s="392"/>
      <c r="J599" s="62"/>
      <c r="K599" s="62"/>
    </row>
    <row r="600" spans="1:11">
      <c r="A600" s="67"/>
      <c r="B600" s="55"/>
      <c r="C600" s="55"/>
      <c r="D600" s="55"/>
      <c r="E600" s="93"/>
      <c r="F600" s="56"/>
      <c r="I600" s="392"/>
      <c r="J600" s="62"/>
      <c r="K600" s="62"/>
    </row>
    <row r="601" spans="1:11">
      <c r="A601" s="67"/>
      <c r="B601" s="55"/>
      <c r="C601" s="55"/>
      <c r="D601" s="55"/>
      <c r="E601" s="93"/>
      <c r="F601" s="56"/>
      <c r="I601" s="392"/>
      <c r="J601" s="62"/>
      <c r="K601" s="62"/>
    </row>
    <row r="602" spans="1:11">
      <c r="A602" s="67"/>
      <c r="B602" s="55"/>
      <c r="C602" s="55"/>
      <c r="D602" s="55"/>
      <c r="E602" s="93"/>
      <c r="F602" s="56"/>
      <c r="I602" s="392"/>
      <c r="J602" s="62"/>
      <c r="K602" s="62"/>
    </row>
    <row r="603" spans="1:11">
      <c r="A603" s="67"/>
      <c r="B603" s="55"/>
      <c r="C603" s="55"/>
      <c r="D603" s="55"/>
      <c r="E603" s="93"/>
      <c r="F603" s="56"/>
      <c r="I603" s="392"/>
      <c r="J603" s="62"/>
      <c r="K603" s="62"/>
    </row>
    <row r="604" spans="1:11">
      <c r="A604" s="67"/>
      <c r="B604" s="55"/>
      <c r="C604" s="55"/>
      <c r="D604" s="55"/>
      <c r="E604" s="93"/>
      <c r="F604" s="56"/>
      <c r="I604" s="392"/>
      <c r="J604" s="62"/>
      <c r="K604" s="62"/>
    </row>
    <row r="605" spans="1:11">
      <c r="A605" s="67"/>
      <c r="B605" s="55"/>
      <c r="C605" s="55"/>
      <c r="D605" s="55"/>
      <c r="E605" s="93"/>
      <c r="F605" s="56"/>
      <c r="I605" s="392"/>
      <c r="J605" s="62"/>
      <c r="K605" s="62"/>
    </row>
    <row r="606" spans="1:11">
      <c r="A606" s="67"/>
      <c r="B606" s="55"/>
      <c r="C606" s="55"/>
      <c r="D606" s="55"/>
      <c r="E606" s="93"/>
      <c r="F606" s="56"/>
      <c r="I606" s="392"/>
      <c r="J606" s="62"/>
      <c r="K606" s="62"/>
    </row>
    <row r="607" spans="1:11">
      <c r="A607" s="67"/>
      <c r="B607" s="55"/>
      <c r="C607" s="55"/>
      <c r="D607" s="55"/>
      <c r="E607" s="93"/>
      <c r="F607" s="56"/>
      <c r="I607" s="392"/>
      <c r="J607" s="62"/>
      <c r="K607" s="62"/>
    </row>
    <row r="608" spans="1:11">
      <c r="A608" s="67"/>
      <c r="B608" s="55"/>
      <c r="C608" s="55"/>
      <c r="D608" s="55"/>
      <c r="E608" s="93"/>
      <c r="F608" s="56"/>
      <c r="I608" s="392"/>
      <c r="J608" s="62"/>
      <c r="K608" s="62"/>
    </row>
    <row r="609" spans="1:11">
      <c r="A609" s="67"/>
      <c r="B609" s="55"/>
      <c r="C609" s="55"/>
      <c r="D609" s="55"/>
      <c r="E609" s="93"/>
      <c r="F609" s="56"/>
      <c r="I609" s="392"/>
      <c r="J609" s="62"/>
      <c r="K609" s="62"/>
    </row>
    <row r="610" spans="1:11">
      <c r="A610" s="67"/>
      <c r="B610" s="55"/>
      <c r="C610" s="55"/>
      <c r="D610" s="55"/>
      <c r="E610" s="93"/>
      <c r="F610" s="56"/>
      <c r="I610" s="392"/>
      <c r="J610" s="62"/>
      <c r="K610" s="62"/>
    </row>
    <row r="611" spans="1:11">
      <c r="A611" s="67"/>
      <c r="B611" s="55"/>
      <c r="C611" s="55"/>
      <c r="D611" s="55"/>
      <c r="E611" s="93"/>
      <c r="F611" s="56"/>
      <c r="I611" s="392"/>
      <c r="J611" s="62"/>
      <c r="K611" s="62"/>
    </row>
    <row r="612" spans="1:11">
      <c r="A612" s="67"/>
      <c r="B612" s="55"/>
      <c r="C612" s="55"/>
      <c r="D612" s="55"/>
      <c r="E612" s="93"/>
      <c r="F612" s="56"/>
      <c r="I612" s="392"/>
      <c r="J612" s="62"/>
      <c r="K612" s="62"/>
    </row>
    <row r="613" spans="1:11">
      <c r="A613" s="67"/>
      <c r="B613" s="55"/>
      <c r="C613" s="55"/>
      <c r="D613" s="55"/>
      <c r="E613" s="93"/>
      <c r="F613" s="56"/>
      <c r="I613" s="392"/>
      <c r="J613" s="62"/>
      <c r="K613" s="62"/>
    </row>
    <row r="614" spans="1:11">
      <c r="A614" s="67"/>
      <c r="B614" s="55"/>
      <c r="C614" s="55"/>
      <c r="D614" s="55"/>
      <c r="E614" s="93"/>
      <c r="F614" s="56"/>
      <c r="I614" s="392"/>
      <c r="J614" s="62"/>
      <c r="K614" s="62"/>
    </row>
    <row r="615" spans="1:11">
      <c r="A615" s="67"/>
      <c r="B615" s="55"/>
      <c r="C615" s="55"/>
      <c r="D615" s="55"/>
      <c r="E615" s="93"/>
      <c r="F615" s="56"/>
      <c r="I615" s="392"/>
      <c r="J615" s="62"/>
      <c r="K615" s="62"/>
    </row>
    <row r="616" spans="1:11">
      <c r="A616" s="67"/>
      <c r="B616" s="55"/>
      <c r="C616" s="55"/>
      <c r="D616" s="55"/>
      <c r="E616" s="93"/>
      <c r="F616" s="56"/>
      <c r="I616" s="392"/>
      <c r="J616" s="62"/>
      <c r="K616" s="62"/>
    </row>
    <row r="617" spans="1:11">
      <c r="A617" s="67"/>
      <c r="B617" s="55"/>
      <c r="C617" s="55"/>
      <c r="D617" s="55"/>
      <c r="E617" s="93"/>
      <c r="F617" s="56"/>
      <c r="I617" s="392"/>
      <c r="J617" s="62"/>
      <c r="K617" s="62"/>
    </row>
    <row r="618" spans="1:11">
      <c r="A618" s="67"/>
      <c r="B618" s="55"/>
      <c r="C618" s="55"/>
      <c r="D618" s="55"/>
      <c r="E618" s="93"/>
      <c r="F618" s="56"/>
      <c r="I618" s="392"/>
      <c r="J618" s="62"/>
      <c r="K618" s="62"/>
    </row>
    <row r="619" spans="1:11">
      <c r="A619" s="67"/>
      <c r="B619" s="55"/>
      <c r="C619" s="55"/>
      <c r="D619" s="55"/>
      <c r="E619" s="93"/>
      <c r="F619" s="56"/>
      <c r="I619" s="392"/>
      <c r="J619" s="62"/>
      <c r="K619" s="62"/>
    </row>
    <row r="620" spans="1:11">
      <c r="A620" s="67"/>
      <c r="B620" s="55"/>
      <c r="C620" s="55"/>
      <c r="D620" s="55"/>
      <c r="E620" s="93"/>
      <c r="F620" s="56"/>
      <c r="I620" s="392"/>
      <c r="J620" s="62"/>
      <c r="K620" s="62"/>
    </row>
    <row r="621" spans="1:11">
      <c r="A621" s="67"/>
      <c r="B621" s="55"/>
      <c r="C621" s="55"/>
      <c r="D621" s="55"/>
      <c r="E621" s="93"/>
      <c r="F621" s="56"/>
      <c r="I621" s="392"/>
      <c r="J621" s="62"/>
      <c r="K621" s="62"/>
    </row>
    <row r="622" spans="1:11">
      <c r="A622" s="67"/>
      <c r="B622" s="55"/>
      <c r="C622" s="55"/>
      <c r="D622" s="55"/>
      <c r="E622" s="93"/>
      <c r="F622" s="56"/>
      <c r="I622" s="392"/>
      <c r="J622" s="62"/>
      <c r="K622" s="62"/>
    </row>
    <row r="623" spans="1:11">
      <c r="A623" s="67"/>
      <c r="B623" s="55"/>
      <c r="C623" s="55"/>
      <c r="D623" s="55"/>
      <c r="E623" s="93"/>
      <c r="F623" s="56"/>
      <c r="I623" s="392"/>
      <c r="J623" s="62"/>
      <c r="K623" s="62"/>
    </row>
    <row r="624" spans="1:11">
      <c r="A624" s="67"/>
      <c r="B624" s="55"/>
      <c r="C624" s="55"/>
      <c r="D624" s="55"/>
      <c r="E624" s="93"/>
      <c r="F624" s="56"/>
      <c r="I624" s="392"/>
      <c r="J624" s="62"/>
      <c r="K624" s="62"/>
    </row>
    <row r="625" spans="1:11">
      <c r="A625" s="67"/>
      <c r="B625" s="55"/>
      <c r="C625" s="55"/>
      <c r="D625" s="55"/>
      <c r="E625" s="93"/>
      <c r="F625" s="56"/>
      <c r="I625" s="392"/>
      <c r="J625" s="62"/>
      <c r="K625" s="62"/>
    </row>
    <row r="626" spans="1:11">
      <c r="A626" s="67"/>
      <c r="B626" s="55"/>
      <c r="C626" s="55"/>
      <c r="D626" s="55"/>
      <c r="E626" s="93"/>
      <c r="F626" s="56"/>
      <c r="I626" s="392"/>
      <c r="J626" s="62"/>
      <c r="K626" s="62"/>
    </row>
    <row r="627" spans="1:11">
      <c r="A627" s="67"/>
      <c r="B627" s="55"/>
      <c r="C627" s="55"/>
      <c r="D627" s="55"/>
      <c r="E627" s="93"/>
      <c r="F627" s="56"/>
      <c r="I627" s="392"/>
      <c r="J627" s="62"/>
      <c r="K627" s="62"/>
    </row>
    <row r="628" spans="1:11">
      <c r="A628" s="67"/>
      <c r="B628" s="55"/>
      <c r="C628" s="55"/>
      <c r="D628" s="55"/>
      <c r="E628" s="93"/>
      <c r="F628" s="56"/>
      <c r="I628" s="392"/>
      <c r="J628" s="62"/>
      <c r="K628" s="62"/>
    </row>
    <row r="629" spans="1:11">
      <c r="A629" s="67"/>
      <c r="B629" s="55"/>
      <c r="C629" s="55"/>
      <c r="D629" s="55"/>
      <c r="E629" s="93"/>
      <c r="F629" s="56"/>
      <c r="I629" s="392"/>
      <c r="J629" s="62"/>
      <c r="K629" s="62"/>
    </row>
    <row r="630" spans="1:11">
      <c r="A630" s="67"/>
      <c r="B630" s="55"/>
      <c r="C630" s="55"/>
      <c r="D630" s="55"/>
      <c r="E630" s="93"/>
      <c r="F630" s="56"/>
      <c r="I630" s="392"/>
      <c r="J630" s="62"/>
      <c r="K630" s="62"/>
    </row>
    <row r="631" spans="1:11">
      <c r="A631" s="67"/>
      <c r="B631" s="55"/>
      <c r="C631" s="55"/>
      <c r="D631" s="55"/>
      <c r="E631" s="93"/>
      <c r="F631" s="56"/>
      <c r="I631" s="392"/>
      <c r="J631" s="62"/>
      <c r="K631" s="62"/>
    </row>
    <row r="632" spans="1:11">
      <c r="A632" s="67"/>
      <c r="B632" s="55"/>
      <c r="C632" s="55"/>
      <c r="D632" s="55"/>
      <c r="E632" s="93"/>
      <c r="F632" s="56"/>
    </row>
    <row r="633" spans="1:11">
      <c r="A633" s="67"/>
      <c r="B633" s="55"/>
      <c r="C633" s="55"/>
      <c r="D633" s="55"/>
      <c r="E633" s="93"/>
      <c r="F633" s="56"/>
    </row>
    <row r="634" spans="1:11">
      <c r="A634" s="67"/>
      <c r="B634" s="55"/>
      <c r="C634" s="55"/>
      <c r="D634" s="55"/>
      <c r="E634" s="93"/>
      <c r="F634" s="56"/>
    </row>
    <row r="635" spans="1:11">
      <c r="A635" s="67"/>
      <c r="B635" s="55"/>
      <c r="C635" s="55"/>
      <c r="D635" s="55"/>
      <c r="E635" s="93"/>
      <c r="F635" s="56"/>
    </row>
    <row r="636" spans="1:11">
      <c r="A636" s="67"/>
      <c r="B636" s="55"/>
      <c r="C636" s="55"/>
      <c r="D636" s="55"/>
      <c r="E636" s="93"/>
      <c r="F636" s="56"/>
    </row>
    <row r="637" spans="1:11">
      <c r="A637" s="67"/>
      <c r="B637" s="55"/>
      <c r="C637" s="55"/>
      <c r="D637" s="55"/>
      <c r="E637" s="93"/>
      <c r="F637" s="56"/>
    </row>
    <row r="638" spans="1:11">
      <c r="A638" s="67"/>
      <c r="B638" s="55"/>
      <c r="C638" s="55"/>
      <c r="D638" s="55"/>
      <c r="E638" s="93"/>
      <c r="F638" s="56"/>
    </row>
    <row r="639" spans="1:11">
      <c r="A639" s="67"/>
      <c r="B639" s="55"/>
      <c r="C639" s="55"/>
      <c r="D639" s="55"/>
      <c r="E639" s="93"/>
      <c r="F639" s="56"/>
    </row>
    <row r="640" spans="1:11">
      <c r="A640" s="67"/>
      <c r="B640" s="55"/>
      <c r="C640" s="55"/>
      <c r="D640" s="55"/>
      <c r="E640" s="93"/>
      <c r="F640" s="56"/>
    </row>
    <row r="641" spans="1:6">
      <c r="A641" s="67"/>
      <c r="B641" s="55"/>
      <c r="C641" s="55"/>
      <c r="D641" s="55"/>
      <c r="E641" s="93"/>
      <c r="F641" s="56"/>
    </row>
    <row r="642" spans="1:6">
      <c r="A642" s="67"/>
      <c r="B642" s="55"/>
      <c r="C642" s="55"/>
      <c r="D642" s="55"/>
      <c r="E642" s="93"/>
      <c r="F642" s="56"/>
    </row>
    <row r="643" spans="1:6">
      <c r="A643" s="67"/>
      <c r="B643" s="55"/>
      <c r="C643" s="55"/>
      <c r="D643" s="55"/>
      <c r="E643" s="93"/>
      <c r="F643" s="56"/>
    </row>
    <row r="644" spans="1:6">
      <c r="A644" s="67"/>
      <c r="B644" s="55"/>
      <c r="C644" s="55"/>
      <c r="D644" s="55"/>
      <c r="E644" s="93"/>
      <c r="F644" s="56"/>
    </row>
    <row r="645" spans="1:6">
      <c r="A645" s="67"/>
      <c r="B645" s="55"/>
      <c r="C645" s="55"/>
      <c r="D645" s="55"/>
      <c r="E645" s="93"/>
      <c r="F645" s="56"/>
    </row>
    <row r="646" spans="1:6">
      <c r="A646" s="67"/>
      <c r="B646" s="55"/>
      <c r="C646" s="55"/>
      <c r="D646" s="55"/>
      <c r="E646" s="93"/>
      <c r="F646" s="56"/>
    </row>
    <row r="647" spans="1:6">
      <c r="A647" s="67"/>
      <c r="B647" s="55"/>
      <c r="C647" s="55"/>
      <c r="D647" s="55"/>
      <c r="E647" s="93"/>
      <c r="F647" s="56"/>
    </row>
    <row r="648" spans="1:6">
      <c r="A648" s="67"/>
      <c r="B648" s="55"/>
      <c r="C648" s="55"/>
      <c r="D648" s="55"/>
      <c r="E648" s="93"/>
      <c r="F648" s="56"/>
    </row>
    <row r="649" spans="1:6">
      <c r="A649" s="67"/>
      <c r="B649" s="55"/>
      <c r="C649" s="55"/>
      <c r="D649" s="55"/>
      <c r="E649" s="93"/>
      <c r="F649" s="56"/>
    </row>
    <row r="650" spans="1:6">
      <c r="A650" s="67"/>
      <c r="B650" s="55"/>
      <c r="C650" s="55"/>
      <c r="D650" s="55"/>
      <c r="E650" s="93"/>
      <c r="F650" s="56"/>
    </row>
    <row r="651" spans="1:6">
      <c r="A651" s="67"/>
      <c r="B651" s="55"/>
      <c r="C651" s="55"/>
      <c r="D651" s="55"/>
      <c r="E651" s="93"/>
      <c r="F651" s="56"/>
    </row>
    <row r="652" spans="1:6">
      <c r="A652" s="67"/>
      <c r="B652" s="55"/>
      <c r="C652" s="55"/>
      <c r="D652" s="55"/>
      <c r="E652" s="93"/>
      <c r="F652" s="56"/>
    </row>
    <row r="653" spans="1:6">
      <c r="A653" s="67"/>
      <c r="B653" s="55"/>
      <c r="C653" s="55"/>
      <c r="D653" s="55"/>
      <c r="E653" s="93"/>
      <c r="F653" s="56"/>
    </row>
    <row r="654" spans="1:6">
      <c r="A654" s="67"/>
      <c r="B654" s="55"/>
      <c r="C654" s="55"/>
      <c r="D654" s="55"/>
      <c r="E654" s="93"/>
      <c r="F654" s="56"/>
    </row>
    <row r="655" spans="1:6">
      <c r="A655" s="67"/>
      <c r="B655" s="55"/>
      <c r="C655" s="55"/>
      <c r="D655" s="55"/>
      <c r="E655" s="93"/>
      <c r="F655" s="56"/>
    </row>
    <row r="656" spans="1:6">
      <c r="A656" s="67"/>
      <c r="B656" s="55"/>
      <c r="C656" s="55"/>
      <c r="D656" s="55"/>
      <c r="E656" s="93"/>
      <c r="F656" s="56"/>
    </row>
    <row r="657" spans="1:6">
      <c r="A657" s="67"/>
      <c r="B657" s="55"/>
      <c r="C657" s="55"/>
      <c r="D657" s="55"/>
      <c r="E657" s="93"/>
      <c r="F657" s="56"/>
    </row>
    <row r="658" spans="1:6">
      <c r="A658" s="67"/>
      <c r="B658" s="55"/>
      <c r="C658" s="55"/>
      <c r="D658" s="55"/>
      <c r="E658" s="93"/>
      <c r="F658" s="56"/>
    </row>
    <row r="659" spans="1:6">
      <c r="A659" s="67"/>
      <c r="B659" s="55"/>
      <c r="C659" s="55"/>
      <c r="D659" s="55"/>
      <c r="E659" s="93"/>
      <c r="F659" s="56"/>
    </row>
    <row r="660" spans="1:6">
      <c r="A660" s="67"/>
      <c r="B660" s="55"/>
      <c r="C660" s="55"/>
      <c r="D660" s="55"/>
      <c r="E660" s="93"/>
      <c r="F660" s="56"/>
    </row>
    <row r="661" spans="1:6">
      <c r="A661" s="67"/>
      <c r="B661" s="55"/>
      <c r="C661" s="55"/>
      <c r="D661" s="55"/>
      <c r="E661" s="93"/>
      <c r="F661" s="56"/>
    </row>
    <row r="662" spans="1:6">
      <c r="A662" s="67"/>
      <c r="B662" s="55"/>
      <c r="C662" s="55"/>
      <c r="D662" s="55"/>
      <c r="E662" s="93"/>
      <c r="F662" s="56"/>
    </row>
    <row r="663" spans="1:6">
      <c r="A663" s="67"/>
      <c r="B663" s="55"/>
      <c r="C663" s="55"/>
      <c r="D663" s="55"/>
      <c r="E663" s="93"/>
      <c r="F663" s="56"/>
    </row>
    <row r="664" spans="1:6">
      <c r="A664" s="67"/>
      <c r="B664" s="55"/>
      <c r="C664" s="55"/>
      <c r="D664" s="55"/>
      <c r="E664" s="93"/>
      <c r="F664" s="56"/>
    </row>
    <row r="665" spans="1:6">
      <c r="A665" s="67"/>
      <c r="B665" s="55"/>
      <c r="C665" s="55"/>
      <c r="D665" s="55"/>
      <c r="E665" s="93"/>
      <c r="F665" s="56"/>
    </row>
    <row r="666" spans="1:6">
      <c r="A666" s="67"/>
      <c r="B666" s="55"/>
      <c r="C666" s="55"/>
      <c r="D666" s="55"/>
      <c r="E666" s="93"/>
      <c r="F666" s="56"/>
    </row>
    <row r="667" spans="1:6">
      <c r="A667" s="67"/>
      <c r="B667" s="55"/>
      <c r="C667" s="55"/>
      <c r="D667" s="55"/>
      <c r="E667" s="93"/>
      <c r="F667" s="56"/>
    </row>
    <row r="668" spans="1:6">
      <c r="A668" s="67"/>
      <c r="B668" s="55"/>
      <c r="C668" s="55"/>
      <c r="D668" s="55"/>
      <c r="E668" s="93"/>
      <c r="F668" s="56"/>
    </row>
    <row r="669" spans="1:6">
      <c r="A669" s="67"/>
      <c r="B669" s="55"/>
      <c r="C669" s="55"/>
      <c r="D669" s="55"/>
      <c r="E669" s="93"/>
      <c r="F669" s="56"/>
    </row>
    <row r="670" spans="1:6">
      <c r="A670" s="67"/>
      <c r="B670" s="55"/>
      <c r="C670" s="55"/>
      <c r="D670" s="55"/>
      <c r="E670" s="93"/>
      <c r="F670" s="56"/>
    </row>
    <row r="671" spans="1:6">
      <c r="A671" s="67"/>
      <c r="B671" s="55"/>
      <c r="C671" s="55"/>
      <c r="D671" s="55"/>
      <c r="E671" s="93"/>
      <c r="F671" s="56"/>
    </row>
    <row r="672" spans="1:6">
      <c r="A672" s="67"/>
      <c r="B672" s="55"/>
      <c r="C672" s="55"/>
      <c r="D672" s="55"/>
      <c r="E672" s="93"/>
      <c r="F672" s="56"/>
    </row>
    <row r="673" spans="1:6">
      <c r="A673" s="67"/>
      <c r="B673" s="55"/>
      <c r="C673" s="55"/>
      <c r="D673" s="55"/>
      <c r="E673" s="93"/>
      <c r="F673" s="56"/>
    </row>
    <row r="674" spans="1:6">
      <c r="A674" s="67"/>
      <c r="B674" s="55"/>
      <c r="C674" s="55"/>
      <c r="D674" s="55"/>
      <c r="E674" s="93"/>
      <c r="F674" s="56"/>
    </row>
    <row r="675" spans="1:6">
      <c r="A675" s="67"/>
      <c r="B675" s="55"/>
      <c r="C675" s="55"/>
      <c r="D675" s="55"/>
      <c r="E675" s="93"/>
      <c r="F675" s="56"/>
    </row>
    <row r="676" spans="1:6">
      <c r="A676" s="67"/>
      <c r="B676" s="55"/>
      <c r="C676" s="55"/>
      <c r="D676" s="55"/>
      <c r="E676" s="93"/>
      <c r="F676" s="56"/>
    </row>
    <row r="677" spans="1:6">
      <c r="A677" s="67"/>
      <c r="B677" s="55"/>
      <c r="C677" s="55"/>
      <c r="D677" s="55"/>
      <c r="E677" s="93"/>
      <c r="F677" s="56"/>
    </row>
    <row r="678" spans="1:6">
      <c r="A678" s="67"/>
      <c r="B678" s="55"/>
      <c r="C678" s="55"/>
      <c r="D678" s="55"/>
      <c r="E678" s="93"/>
      <c r="F678" s="56"/>
    </row>
    <row r="679" spans="1:6">
      <c r="A679" s="67"/>
      <c r="B679" s="55"/>
      <c r="C679" s="55"/>
      <c r="D679" s="55"/>
      <c r="E679" s="93"/>
      <c r="F679" s="56"/>
    </row>
    <row r="680" spans="1:6">
      <c r="A680" s="67"/>
      <c r="B680" s="55"/>
      <c r="C680" s="55"/>
      <c r="D680" s="55"/>
      <c r="E680" s="93"/>
      <c r="F680" s="56"/>
    </row>
    <row r="681" spans="1:6">
      <c r="A681" s="67"/>
      <c r="B681" s="55"/>
      <c r="C681" s="55"/>
      <c r="D681" s="55"/>
      <c r="E681" s="93"/>
      <c r="F681" s="56"/>
    </row>
    <row r="682" spans="1:6">
      <c r="A682" s="67"/>
      <c r="B682" s="55"/>
      <c r="C682" s="55"/>
      <c r="D682" s="55"/>
      <c r="E682" s="93"/>
      <c r="F682" s="56"/>
    </row>
    <row r="683" spans="1:6">
      <c r="A683" s="67"/>
      <c r="B683" s="55"/>
      <c r="C683" s="55"/>
      <c r="D683" s="55"/>
      <c r="E683" s="93"/>
      <c r="F683" s="56"/>
    </row>
    <row r="684" spans="1:6">
      <c r="A684" s="67"/>
      <c r="B684" s="55"/>
      <c r="C684" s="55"/>
      <c r="D684" s="55"/>
      <c r="E684" s="93"/>
      <c r="F684" s="56"/>
    </row>
    <row r="685" spans="1:6">
      <c r="A685" s="67"/>
      <c r="B685" s="55"/>
      <c r="C685" s="55"/>
      <c r="D685" s="55"/>
      <c r="E685" s="93"/>
      <c r="F685" s="56"/>
    </row>
    <row r="686" spans="1:6">
      <c r="A686" s="67"/>
      <c r="B686" s="55"/>
      <c r="C686" s="55"/>
      <c r="D686" s="55"/>
      <c r="E686" s="93"/>
      <c r="F686" s="56"/>
    </row>
    <row r="687" spans="1:6">
      <c r="A687" s="67"/>
      <c r="B687" s="55"/>
      <c r="C687" s="55"/>
      <c r="D687" s="55"/>
      <c r="E687" s="93"/>
      <c r="F687" s="56"/>
    </row>
    <row r="688" spans="1:6">
      <c r="A688" s="67"/>
      <c r="B688" s="55"/>
      <c r="C688" s="55"/>
      <c r="D688" s="55"/>
      <c r="E688" s="93"/>
      <c r="F688" s="56"/>
    </row>
    <row r="689" spans="1:6">
      <c r="A689" s="67"/>
      <c r="B689" s="55"/>
      <c r="C689" s="55"/>
      <c r="D689" s="55"/>
      <c r="E689" s="93"/>
      <c r="F689" s="56"/>
    </row>
    <row r="690" spans="1:6">
      <c r="A690" s="67"/>
      <c r="B690" s="55"/>
      <c r="C690" s="55"/>
      <c r="D690" s="55"/>
      <c r="E690" s="93"/>
      <c r="F690" s="56"/>
    </row>
    <row r="691" spans="1:6">
      <c r="A691" s="67"/>
      <c r="B691" s="55"/>
      <c r="C691" s="55"/>
      <c r="D691" s="55"/>
      <c r="E691" s="93"/>
      <c r="F691" s="56"/>
    </row>
    <row r="692" spans="1:6">
      <c r="A692" s="67"/>
      <c r="B692" s="55"/>
      <c r="C692" s="55"/>
      <c r="D692" s="55"/>
      <c r="E692" s="93"/>
      <c r="F692" s="56"/>
    </row>
    <row r="693" spans="1:6">
      <c r="A693" s="67"/>
      <c r="B693" s="55"/>
      <c r="C693" s="55"/>
      <c r="D693" s="55"/>
      <c r="E693" s="93"/>
      <c r="F693" s="56"/>
    </row>
    <row r="694" spans="1:6">
      <c r="A694" s="67"/>
      <c r="B694" s="55"/>
      <c r="C694" s="55"/>
      <c r="D694" s="55"/>
      <c r="E694" s="93"/>
      <c r="F694" s="56"/>
    </row>
    <row r="695" spans="1:6">
      <c r="A695" s="67"/>
      <c r="B695" s="55"/>
      <c r="C695" s="55"/>
      <c r="D695" s="55"/>
      <c r="E695" s="93"/>
      <c r="F695" s="56"/>
    </row>
    <row r="696" spans="1:6">
      <c r="A696" s="67"/>
      <c r="B696" s="55"/>
      <c r="C696" s="55"/>
      <c r="D696" s="55"/>
      <c r="E696" s="93"/>
      <c r="F696" s="56"/>
    </row>
    <row r="697" spans="1:6">
      <c r="A697" s="67"/>
      <c r="B697" s="55"/>
      <c r="C697" s="55"/>
      <c r="D697" s="55"/>
      <c r="E697" s="93"/>
      <c r="F697" s="56"/>
    </row>
    <row r="698" spans="1:6">
      <c r="A698" s="67"/>
      <c r="B698" s="55"/>
      <c r="C698" s="55"/>
      <c r="D698" s="55"/>
      <c r="E698" s="93"/>
      <c r="F698" s="56"/>
    </row>
    <row r="699" spans="1:6">
      <c r="A699" s="67"/>
      <c r="B699" s="55"/>
      <c r="C699" s="55"/>
      <c r="D699" s="55"/>
      <c r="E699" s="93"/>
      <c r="F699" s="56"/>
    </row>
    <row r="700" spans="1:6">
      <c r="A700" s="67"/>
      <c r="B700" s="55"/>
      <c r="C700" s="55"/>
      <c r="D700" s="55"/>
      <c r="E700" s="93"/>
      <c r="F700" s="56"/>
    </row>
    <row r="701" spans="1:6">
      <c r="A701" s="67"/>
      <c r="B701" s="55"/>
      <c r="C701" s="55"/>
      <c r="D701" s="55"/>
      <c r="E701" s="93"/>
      <c r="F701" s="56"/>
    </row>
    <row r="702" spans="1:6">
      <c r="A702" s="67"/>
      <c r="B702" s="55"/>
      <c r="C702" s="55"/>
      <c r="D702" s="55"/>
      <c r="E702" s="93"/>
      <c r="F702" s="56"/>
    </row>
    <row r="703" spans="1:6">
      <c r="A703" s="67"/>
      <c r="B703" s="55"/>
      <c r="C703" s="55"/>
      <c r="D703" s="55"/>
      <c r="E703" s="93"/>
      <c r="F703" s="56"/>
    </row>
    <row r="704" spans="1:6">
      <c r="A704" s="67"/>
      <c r="B704" s="55"/>
      <c r="C704" s="55"/>
      <c r="D704" s="55"/>
      <c r="E704" s="93"/>
      <c r="F704" s="56"/>
    </row>
    <row r="705" spans="1:6">
      <c r="A705" s="67"/>
      <c r="B705" s="55"/>
      <c r="C705" s="55"/>
      <c r="D705" s="55"/>
      <c r="E705" s="93"/>
      <c r="F705" s="56"/>
    </row>
    <row r="706" spans="1:6">
      <c r="A706" s="67"/>
      <c r="B706" s="55"/>
      <c r="C706" s="55"/>
      <c r="D706" s="55"/>
      <c r="E706" s="93"/>
      <c r="F706" s="56"/>
    </row>
    <row r="707" spans="1:6">
      <c r="A707" s="67"/>
      <c r="B707" s="55"/>
      <c r="C707" s="55"/>
      <c r="D707" s="55"/>
      <c r="E707" s="93"/>
      <c r="F707" s="56"/>
    </row>
    <row r="708" spans="1:6">
      <c r="A708" s="67"/>
      <c r="B708" s="55"/>
      <c r="C708" s="55"/>
      <c r="D708" s="55"/>
      <c r="E708" s="93"/>
      <c r="F708" s="56"/>
    </row>
    <row r="709" spans="1:6">
      <c r="A709" s="67"/>
      <c r="B709" s="55"/>
      <c r="C709" s="55"/>
      <c r="D709" s="55"/>
      <c r="E709" s="93"/>
      <c r="F709" s="56"/>
    </row>
    <row r="710" spans="1:6">
      <c r="A710" s="67"/>
      <c r="B710" s="55"/>
      <c r="C710" s="55"/>
      <c r="D710" s="55"/>
      <c r="E710" s="93"/>
      <c r="F710" s="56"/>
    </row>
    <row r="711" spans="1:6">
      <c r="A711" s="67"/>
      <c r="B711" s="55"/>
      <c r="C711" s="55"/>
      <c r="D711" s="55"/>
      <c r="E711" s="93"/>
      <c r="F711" s="56"/>
    </row>
    <row r="712" spans="1:6">
      <c r="A712" s="67"/>
      <c r="B712" s="55"/>
      <c r="C712" s="55"/>
      <c r="D712" s="55"/>
      <c r="E712" s="93"/>
      <c r="F712" s="56"/>
    </row>
    <row r="713" spans="1:6">
      <c r="A713" s="67"/>
      <c r="B713" s="55"/>
      <c r="C713" s="55"/>
      <c r="D713" s="55"/>
      <c r="E713" s="93"/>
      <c r="F713" s="56"/>
    </row>
    <row r="714" spans="1:6">
      <c r="A714" s="67"/>
      <c r="B714" s="55"/>
      <c r="C714" s="55"/>
      <c r="D714" s="55"/>
      <c r="E714" s="93"/>
      <c r="F714" s="56"/>
    </row>
    <row r="715" spans="1:6">
      <c r="A715" s="67"/>
      <c r="B715" s="55"/>
      <c r="C715" s="55"/>
      <c r="D715" s="55"/>
      <c r="E715" s="93"/>
      <c r="F715" s="56"/>
    </row>
    <row r="716" spans="1:6">
      <c r="A716" s="67"/>
      <c r="B716" s="55"/>
      <c r="C716" s="55"/>
      <c r="D716" s="55"/>
      <c r="E716" s="93"/>
      <c r="F716" s="56"/>
    </row>
    <row r="717" spans="1:6">
      <c r="A717" s="67"/>
      <c r="B717" s="55"/>
      <c r="C717" s="55"/>
      <c r="D717" s="55"/>
      <c r="E717" s="93"/>
      <c r="F717" s="56"/>
    </row>
    <row r="718" spans="1:6">
      <c r="A718" s="67"/>
      <c r="B718" s="55"/>
      <c r="C718" s="55"/>
      <c r="D718" s="55"/>
      <c r="E718" s="93"/>
      <c r="F718" s="56"/>
    </row>
    <row r="719" spans="1:6">
      <c r="A719" s="67"/>
      <c r="B719" s="55"/>
      <c r="C719" s="55"/>
      <c r="D719" s="55"/>
      <c r="E719" s="93"/>
      <c r="F719" s="56"/>
    </row>
    <row r="720" spans="1:6">
      <c r="A720" s="67"/>
      <c r="B720" s="55"/>
      <c r="C720" s="55"/>
      <c r="D720" s="55"/>
      <c r="E720" s="93"/>
      <c r="F720" s="56"/>
    </row>
    <row r="721" spans="1:6">
      <c r="A721" s="67"/>
      <c r="B721" s="55"/>
      <c r="C721" s="55"/>
      <c r="D721" s="55"/>
      <c r="E721" s="93"/>
      <c r="F721" s="56"/>
    </row>
    <row r="722" spans="1:6">
      <c r="A722" s="67"/>
      <c r="B722" s="55"/>
      <c r="C722" s="55"/>
      <c r="D722" s="55"/>
      <c r="E722" s="93"/>
      <c r="F722" s="56"/>
    </row>
    <row r="723" spans="1:6">
      <c r="A723" s="67"/>
      <c r="B723" s="55"/>
      <c r="C723" s="55"/>
      <c r="D723" s="55"/>
      <c r="E723" s="93"/>
      <c r="F723" s="56"/>
    </row>
    <row r="724" spans="1:6">
      <c r="A724" s="67"/>
      <c r="B724" s="55"/>
      <c r="C724" s="55"/>
      <c r="D724" s="55"/>
      <c r="E724" s="93"/>
      <c r="F724" s="56"/>
    </row>
    <row r="725" spans="1:6">
      <c r="A725" s="67"/>
      <c r="B725" s="55"/>
      <c r="C725" s="55"/>
      <c r="D725" s="55"/>
      <c r="E725" s="93"/>
      <c r="F725" s="56"/>
    </row>
    <row r="726" spans="1:6">
      <c r="A726" s="67"/>
      <c r="B726" s="55"/>
      <c r="C726" s="55"/>
      <c r="D726" s="55"/>
      <c r="E726" s="93"/>
      <c r="F726" s="56"/>
    </row>
    <row r="727" spans="1:6">
      <c r="A727" s="67"/>
      <c r="B727" s="55"/>
      <c r="C727" s="55"/>
      <c r="D727" s="55"/>
      <c r="E727" s="93"/>
      <c r="F727" s="56"/>
    </row>
    <row r="728" spans="1:6">
      <c r="A728" s="67"/>
      <c r="B728" s="55"/>
      <c r="C728" s="55"/>
      <c r="D728" s="55"/>
      <c r="E728" s="93"/>
      <c r="F728" s="56"/>
    </row>
    <row r="729" spans="1:6">
      <c r="A729" s="67"/>
      <c r="B729" s="55"/>
      <c r="C729" s="55"/>
      <c r="D729" s="55"/>
      <c r="E729" s="93"/>
      <c r="F729" s="56"/>
    </row>
    <row r="730" spans="1:6">
      <c r="A730" s="67"/>
      <c r="B730" s="55"/>
      <c r="C730" s="55"/>
      <c r="D730" s="55"/>
      <c r="E730" s="93"/>
      <c r="F730" s="56"/>
    </row>
    <row r="731" spans="1:6">
      <c r="A731" s="67"/>
      <c r="B731" s="55"/>
      <c r="C731" s="55"/>
      <c r="D731" s="55"/>
      <c r="E731" s="93"/>
      <c r="F731" s="56"/>
    </row>
    <row r="732" spans="1:6">
      <c r="A732" s="67"/>
      <c r="B732" s="55"/>
      <c r="C732" s="55"/>
      <c r="D732" s="55"/>
      <c r="E732" s="93"/>
      <c r="F732" s="56"/>
    </row>
    <row r="733" spans="1:6">
      <c r="A733" s="67"/>
      <c r="B733" s="55"/>
      <c r="C733" s="55"/>
      <c r="D733" s="55"/>
      <c r="E733" s="93"/>
      <c r="F733" s="56"/>
    </row>
    <row r="734" spans="1:6">
      <c r="A734" s="67"/>
      <c r="B734" s="55"/>
      <c r="C734" s="55"/>
      <c r="D734" s="55"/>
      <c r="E734" s="93"/>
      <c r="F734" s="56"/>
    </row>
    <row r="735" spans="1:6">
      <c r="A735" s="67"/>
      <c r="B735" s="55"/>
      <c r="C735" s="55"/>
      <c r="D735" s="55"/>
      <c r="E735" s="93"/>
      <c r="F735" s="56"/>
    </row>
    <row r="736" spans="1:6">
      <c r="A736" s="67"/>
      <c r="B736" s="55"/>
      <c r="C736" s="55"/>
      <c r="D736" s="55"/>
      <c r="E736" s="93"/>
      <c r="F736" s="56"/>
    </row>
    <row r="737" spans="1:6">
      <c r="A737" s="67"/>
      <c r="B737" s="55"/>
      <c r="C737" s="55"/>
      <c r="D737" s="55"/>
      <c r="E737" s="93"/>
      <c r="F737" s="56"/>
    </row>
    <row r="738" spans="1:6">
      <c r="A738" s="67"/>
      <c r="B738" s="55"/>
      <c r="C738" s="55"/>
      <c r="D738" s="55"/>
      <c r="E738" s="93"/>
      <c r="F738" s="56"/>
    </row>
    <row r="739" spans="1:6">
      <c r="A739" s="67"/>
      <c r="B739" s="55"/>
      <c r="C739" s="55"/>
      <c r="D739" s="55"/>
      <c r="E739" s="93"/>
      <c r="F739" s="56"/>
    </row>
    <row r="740" spans="1:6">
      <c r="A740" s="67"/>
      <c r="B740" s="55"/>
      <c r="C740" s="55"/>
      <c r="D740" s="55"/>
      <c r="E740" s="93"/>
      <c r="F740" s="56"/>
    </row>
    <row r="741" spans="1:6">
      <c r="A741" s="67"/>
      <c r="B741" s="55"/>
      <c r="C741" s="55"/>
      <c r="D741" s="55"/>
      <c r="E741" s="93"/>
      <c r="F741" s="56"/>
    </row>
    <row r="742" spans="1:6">
      <c r="A742" s="67"/>
      <c r="B742" s="55"/>
      <c r="C742" s="55"/>
      <c r="D742" s="55"/>
      <c r="E742" s="93"/>
      <c r="F742" s="56"/>
    </row>
    <row r="743" spans="1:6">
      <c r="A743" s="67"/>
      <c r="B743" s="55"/>
      <c r="C743" s="55"/>
      <c r="D743" s="55"/>
      <c r="E743" s="93"/>
      <c r="F743" s="56"/>
    </row>
    <row r="744" spans="1:6">
      <c r="A744" s="67"/>
      <c r="B744" s="55"/>
      <c r="C744" s="55"/>
      <c r="D744" s="55"/>
      <c r="E744" s="93"/>
      <c r="F744" s="56"/>
    </row>
    <row r="745" spans="1:6">
      <c r="A745" s="67"/>
      <c r="B745" s="55"/>
      <c r="C745" s="55"/>
      <c r="D745" s="55"/>
      <c r="E745" s="93"/>
      <c r="F745" s="56"/>
    </row>
    <row r="746" spans="1:6">
      <c r="A746" s="67"/>
      <c r="B746" s="55"/>
      <c r="C746" s="55"/>
      <c r="D746" s="55"/>
      <c r="E746" s="93"/>
      <c r="F746" s="56"/>
    </row>
    <row r="747" spans="1:6">
      <c r="A747" s="67"/>
      <c r="B747" s="55"/>
      <c r="C747" s="55"/>
      <c r="D747" s="55"/>
      <c r="E747" s="93"/>
      <c r="F747" s="56"/>
    </row>
    <row r="748" spans="1:6">
      <c r="A748" s="67"/>
      <c r="B748" s="55"/>
      <c r="C748" s="55"/>
      <c r="D748" s="55"/>
      <c r="E748" s="93"/>
      <c r="F748" s="56"/>
    </row>
    <row r="749" spans="1:6">
      <c r="A749" s="67"/>
      <c r="B749" s="55"/>
      <c r="C749" s="55"/>
      <c r="D749" s="55"/>
      <c r="E749" s="93"/>
      <c r="F749" s="56"/>
    </row>
    <row r="750" spans="1:6">
      <c r="A750" s="67"/>
      <c r="B750" s="55"/>
      <c r="C750" s="55"/>
      <c r="D750" s="55"/>
      <c r="E750" s="93"/>
      <c r="F750" s="56"/>
    </row>
    <row r="751" spans="1:6">
      <c r="A751" s="67"/>
      <c r="B751" s="55"/>
      <c r="C751" s="55"/>
      <c r="D751" s="55"/>
      <c r="E751" s="93"/>
      <c r="F751" s="56"/>
    </row>
    <row r="752" spans="1:6">
      <c r="A752" s="67"/>
      <c r="B752" s="55"/>
      <c r="C752" s="55"/>
      <c r="D752" s="55"/>
      <c r="E752" s="93"/>
      <c r="F752" s="56"/>
    </row>
    <row r="753" spans="1:6">
      <c r="A753" s="67"/>
      <c r="B753" s="55"/>
      <c r="C753" s="55"/>
      <c r="D753" s="55"/>
      <c r="E753" s="93"/>
      <c r="F753" s="56"/>
    </row>
    <row r="754" spans="1:6">
      <c r="A754" s="67"/>
      <c r="B754" s="55"/>
      <c r="C754" s="55"/>
      <c r="D754" s="55"/>
      <c r="E754" s="93"/>
      <c r="F754" s="56"/>
    </row>
    <row r="755" spans="1:6">
      <c r="A755" s="67"/>
      <c r="B755" s="55"/>
      <c r="C755" s="55"/>
      <c r="D755" s="55"/>
      <c r="E755" s="93"/>
      <c r="F755" s="56"/>
    </row>
    <row r="756" spans="1:6">
      <c r="A756" s="67"/>
      <c r="B756" s="55"/>
      <c r="C756" s="55"/>
      <c r="D756" s="55"/>
      <c r="E756" s="93"/>
      <c r="F756" s="56"/>
    </row>
    <row r="757" spans="1:6">
      <c r="A757" s="67"/>
      <c r="B757" s="55"/>
      <c r="C757" s="55"/>
      <c r="D757" s="55"/>
      <c r="E757" s="93"/>
      <c r="F757" s="56"/>
    </row>
    <row r="758" spans="1:6">
      <c r="A758" s="67"/>
      <c r="B758" s="55"/>
      <c r="C758" s="55"/>
      <c r="D758" s="55"/>
      <c r="E758" s="93"/>
      <c r="F758" s="56"/>
    </row>
    <row r="759" spans="1:6">
      <c r="A759" s="67"/>
      <c r="B759" s="55"/>
      <c r="C759" s="55"/>
      <c r="D759" s="55"/>
      <c r="E759" s="93"/>
      <c r="F759" s="56"/>
    </row>
    <row r="760" spans="1:6">
      <c r="A760" s="67"/>
      <c r="B760" s="55"/>
      <c r="C760" s="55"/>
      <c r="D760" s="55"/>
      <c r="E760" s="93"/>
      <c r="F760" s="56"/>
    </row>
    <row r="761" spans="1:6">
      <c r="A761" s="67"/>
      <c r="B761" s="55"/>
      <c r="C761" s="55"/>
      <c r="D761" s="55"/>
      <c r="E761" s="93"/>
      <c r="F761" s="56"/>
    </row>
    <row r="762" spans="1:6">
      <c r="A762" s="67"/>
      <c r="B762" s="55"/>
      <c r="C762" s="55"/>
      <c r="D762" s="55"/>
      <c r="E762" s="93"/>
      <c r="F762" s="56"/>
    </row>
    <row r="763" spans="1:6">
      <c r="A763" s="67"/>
      <c r="B763" s="55"/>
      <c r="C763" s="55"/>
      <c r="D763" s="55"/>
      <c r="E763" s="93"/>
      <c r="F763" s="56"/>
    </row>
    <row r="764" spans="1:6">
      <c r="A764" s="67"/>
      <c r="B764" s="55"/>
      <c r="C764" s="55"/>
      <c r="D764" s="55"/>
      <c r="E764" s="93"/>
      <c r="F764" s="56"/>
    </row>
    <row r="765" spans="1:6">
      <c r="A765" s="67"/>
      <c r="B765" s="55"/>
      <c r="C765" s="55"/>
      <c r="D765" s="55"/>
      <c r="E765" s="93"/>
      <c r="F765" s="56"/>
    </row>
    <row r="766" spans="1:6">
      <c r="A766" s="67"/>
      <c r="B766" s="55"/>
      <c r="C766" s="55"/>
      <c r="D766" s="55"/>
      <c r="E766" s="93"/>
      <c r="F766" s="56"/>
    </row>
    <row r="767" spans="1:6">
      <c r="A767" s="67"/>
      <c r="B767" s="55"/>
      <c r="C767" s="55"/>
      <c r="D767" s="55"/>
      <c r="E767" s="93"/>
      <c r="F767" s="56"/>
    </row>
    <row r="768" spans="1:6">
      <c r="A768" s="67"/>
      <c r="B768" s="55"/>
      <c r="C768" s="55"/>
      <c r="D768" s="55"/>
      <c r="E768" s="93"/>
      <c r="F768" s="56"/>
    </row>
    <row r="769" spans="1:6">
      <c r="A769" s="67"/>
      <c r="B769" s="55"/>
      <c r="C769" s="55"/>
      <c r="D769" s="55"/>
      <c r="E769" s="93"/>
      <c r="F769" s="56"/>
    </row>
    <row r="770" spans="1:6">
      <c r="A770" s="67"/>
      <c r="B770" s="55"/>
      <c r="C770" s="55"/>
      <c r="D770" s="55"/>
      <c r="E770" s="93"/>
      <c r="F770" s="56"/>
    </row>
    <row r="771" spans="1:6">
      <c r="A771" s="67"/>
      <c r="B771" s="55"/>
      <c r="C771" s="55"/>
      <c r="D771" s="55"/>
      <c r="E771" s="93"/>
      <c r="F771" s="56"/>
    </row>
    <row r="772" spans="1:6">
      <c r="A772" s="67"/>
      <c r="B772" s="55"/>
      <c r="C772" s="55"/>
      <c r="D772" s="55"/>
      <c r="E772" s="93"/>
      <c r="F772" s="56"/>
    </row>
    <row r="773" spans="1:6">
      <c r="A773" s="67"/>
      <c r="B773" s="55"/>
      <c r="C773" s="55"/>
      <c r="D773" s="55"/>
      <c r="E773" s="93"/>
      <c r="F773" s="56"/>
    </row>
    <row r="774" spans="1:6">
      <c r="A774" s="67"/>
      <c r="B774" s="55"/>
      <c r="C774" s="55"/>
      <c r="D774" s="55"/>
      <c r="E774" s="93"/>
      <c r="F774" s="56"/>
    </row>
    <row r="775" spans="1:6">
      <c r="A775" s="67"/>
      <c r="B775" s="55"/>
      <c r="C775" s="55"/>
      <c r="D775" s="55"/>
      <c r="E775" s="93"/>
      <c r="F775" s="56"/>
    </row>
    <row r="776" spans="1:6">
      <c r="A776" s="67"/>
      <c r="B776" s="55"/>
      <c r="C776" s="55"/>
      <c r="D776" s="55"/>
      <c r="E776" s="93"/>
      <c r="F776" s="56"/>
    </row>
    <row r="777" spans="1:6">
      <c r="A777" s="67"/>
      <c r="B777" s="55"/>
      <c r="C777" s="55"/>
      <c r="D777" s="55"/>
      <c r="E777" s="93"/>
      <c r="F777" s="56"/>
    </row>
    <row r="778" spans="1:6">
      <c r="A778" s="67"/>
      <c r="B778" s="55"/>
      <c r="C778" s="55"/>
      <c r="D778" s="55"/>
      <c r="E778" s="93"/>
      <c r="F778" s="56"/>
    </row>
    <row r="779" spans="1:6">
      <c r="A779" s="67"/>
      <c r="B779" s="55"/>
      <c r="C779" s="55"/>
      <c r="D779" s="55"/>
      <c r="E779" s="93"/>
      <c r="F779" s="56"/>
    </row>
    <row r="780" spans="1:6">
      <c r="A780" s="67"/>
      <c r="B780" s="55"/>
      <c r="C780" s="55"/>
      <c r="D780" s="55"/>
      <c r="E780" s="93"/>
      <c r="F780" s="56"/>
    </row>
    <row r="781" spans="1:6">
      <c r="A781" s="67"/>
      <c r="B781" s="55"/>
      <c r="C781" s="55"/>
      <c r="D781" s="55"/>
      <c r="E781" s="93"/>
      <c r="F781" s="56"/>
    </row>
    <row r="782" spans="1:6">
      <c r="A782" s="67"/>
      <c r="B782" s="55"/>
      <c r="C782" s="55"/>
      <c r="D782" s="55"/>
      <c r="E782" s="93"/>
      <c r="F782" s="56"/>
    </row>
    <row r="783" spans="1:6">
      <c r="A783" s="67"/>
      <c r="B783" s="55"/>
      <c r="C783" s="55"/>
      <c r="D783" s="55"/>
      <c r="E783" s="93"/>
      <c r="F783" s="56"/>
    </row>
    <row r="784" spans="1:6">
      <c r="A784" s="67"/>
      <c r="B784" s="55"/>
      <c r="C784" s="55"/>
      <c r="D784" s="55"/>
      <c r="E784" s="93"/>
      <c r="F784" s="56"/>
    </row>
    <row r="785" spans="1:6">
      <c r="A785" s="67"/>
      <c r="B785" s="55"/>
      <c r="C785" s="55"/>
      <c r="D785" s="55"/>
      <c r="E785" s="93"/>
      <c r="F785" s="56"/>
    </row>
    <row r="786" spans="1:6">
      <c r="A786" s="67"/>
      <c r="B786" s="55"/>
      <c r="C786" s="55"/>
      <c r="D786" s="55"/>
      <c r="E786" s="93"/>
      <c r="F786" s="56"/>
    </row>
    <row r="787" spans="1:6">
      <c r="A787" s="67"/>
      <c r="B787" s="55"/>
      <c r="C787" s="55"/>
      <c r="D787" s="55"/>
      <c r="E787" s="93"/>
      <c r="F787" s="56"/>
    </row>
    <row r="788" spans="1:6">
      <c r="A788" s="67"/>
      <c r="B788" s="55"/>
      <c r="C788" s="55"/>
      <c r="D788" s="55"/>
      <c r="E788" s="93"/>
      <c r="F788" s="56"/>
    </row>
    <row r="789" spans="1:6">
      <c r="A789" s="67"/>
      <c r="B789" s="55"/>
      <c r="C789" s="55"/>
      <c r="D789" s="55"/>
      <c r="E789" s="93"/>
      <c r="F789" s="56"/>
    </row>
    <row r="790" spans="1:6">
      <c r="A790" s="67"/>
      <c r="B790" s="55"/>
      <c r="C790" s="55"/>
      <c r="D790" s="55"/>
      <c r="E790" s="93"/>
      <c r="F790" s="56"/>
    </row>
    <row r="791" spans="1:6">
      <c r="A791" s="67"/>
      <c r="B791" s="55"/>
      <c r="C791" s="55"/>
      <c r="D791" s="55"/>
      <c r="E791" s="93"/>
      <c r="F791" s="56"/>
    </row>
    <row r="792" spans="1:6">
      <c r="A792" s="67"/>
      <c r="B792" s="55"/>
      <c r="C792" s="55"/>
      <c r="D792" s="55"/>
      <c r="E792" s="93"/>
      <c r="F792" s="56"/>
    </row>
    <row r="793" spans="1:6">
      <c r="A793" s="67"/>
      <c r="B793" s="55"/>
      <c r="C793" s="55"/>
      <c r="D793" s="55"/>
      <c r="E793" s="93"/>
      <c r="F793" s="56"/>
    </row>
    <row r="794" spans="1:6">
      <c r="A794" s="67"/>
      <c r="B794" s="55"/>
      <c r="C794" s="55"/>
      <c r="D794" s="55"/>
      <c r="E794" s="93"/>
      <c r="F794" s="56"/>
    </row>
    <row r="795" spans="1:6">
      <c r="A795" s="67"/>
      <c r="B795" s="55"/>
      <c r="C795" s="55"/>
      <c r="D795" s="55"/>
      <c r="E795" s="93"/>
      <c r="F795" s="56"/>
    </row>
    <row r="796" spans="1:6">
      <c r="A796" s="67"/>
      <c r="B796" s="55"/>
      <c r="C796" s="55"/>
      <c r="D796" s="55"/>
      <c r="E796" s="93"/>
      <c r="F796" s="56"/>
    </row>
    <row r="797" spans="1:6">
      <c r="A797" s="67"/>
      <c r="B797" s="55"/>
      <c r="C797" s="55"/>
      <c r="D797" s="55"/>
      <c r="E797" s="93"/>
      <c r="F797" s="56"/>
    </row>
    <row r="798" spans="1:6">
      <c r="A798" s="67"/>
      <c r="B798" s="55"/>
      <c r="C798" s="55"/>
      <c r="D798" s="55"/>
      <c r="E798" s="93"/>
      <c r="F798" s="56"/>
    </row>
    <row r="799" spans="1:6">
      <c r="A799" s="67"/>
      <c r="B799" s="55"/>
      <c r="C799" s="55"/>
      <c r="D799" s="55"/>
      <c r="E799" s="93"/>
      <c r="F799" s="56"/>
    </row>
    <row r="800" spans="1:6">
      <c r="A800" s="67"/>
      <c r="B800" s="55"/>
      <c r="C800" s="55"/>
      <c r="D800" s="55"/>
      <c r="E800" s="93"/>
      <c r="F800" s="56"/>
    </row>
    <row r="801" spans="1:6">
      <c r="A801" s="67"/>
      <c r="B801" s="55"/>
      <c r="C801" s="55"/>
      <c r="D801" s="55"/>
      <c r="E801" s="93"/>
      <c r="F801" s="56"/>
    </row>
    <row r="802" spans="1:6">
      <c r="A802" s="67"/>
      <c r="B802" s="55"/>
      <c r="C802" s="55"/>
      <c r="D802" s="55"/>
      <c r="E802" s="93"/>
      <c r="F802" s="56"/>
    </row>
    <row r="803" spans="1:6">
      <c r="A803" s="67"/>
      <c r="B803" s="55"/>
      <c r="C803" s="55"/>
      <c r="D803" s="55"/>
      <c r="E803" s="93"/>
      <c r="F803" s="56"/>
    </row>
    <row r="804" spans="1:6">
      <c r="A804" s="67"/>
      <c r="B804" s="55"/>
      <c r="C804" s="55"/>
      <c r="D804" s="55"/>
      <c r="E804" s="93"/>
      <c r="F804" s="56"/>
    </row>
    <row r="805" spans="1:6">
      <c r="A805" s="67"/>
      <c r="B805" s="55"/>
      <c r="C805" s="55"/>
      <c r="D805" s="55"/>
      <c r="E805" s="93"/>
      <c r="F805" s="56"/>
    </row>
    <row r="806" spans="1:6">
      <c r="A806" s="67"/>
      <c r="B806" s="55"/>
      <c r="C806" s="55"/>
      <c r="D806" s="55"/>
      <c r="E806" s="93"/>
      <c r="F806" s="56"/>
    </row>
    <row r="807" spans="1:6">
      <c r="A807" s="67"/>
      <c r="B807" s="55"/>
      <c r="C807" s="55"/>
      <c r="D807" s="55"/>
      <c r="E807" s="93"/>
      <c r="F807" s="56"/>
    </row>
    <row r="808" spans="1:6">
      <c r="A808" s="67"/>
      <c r="B808" s="55"/>
      <c r="C808" s="55"/>
      <c r="D808" s="55"/>
      <c r="E808" s="93"/>
      <c r="F808" s="56"/>
    </row>
    <row r="809" spans="1:6">
      <c r="A809" s="67"/>
      <c r="B809" s="55"/>
      <c r="C809" s="55"/>
      <c r="D809" s="55"/>
      <c r="E809" s="93"/>
      <c r="F809" s="56"/>
    </row>
    <row r="810" spans="1:6">
      <c r="A810" s="67"/>
      <c r="B810" s="55"/>
      <c r="C810" s="55"/>
      <c r="D810" s="55"/>
      <c r="E810" s="93"/>
      <c r="F810" s="56"/>
    </row>
    <row r="811" spans="1:6">
      <c r="A811" s="67"/>
      <c r="B811" s="55"/>
      <c r="C811" s="55"/>
      <c r="D811" s="55"/>
      <c r="E811" s="93"/>
      <c r="F811" s="56"/>
    </row>
    <row r="812" spans="1:6">
      <c r="A812" s="67"/>
      <c r="B812" s="55"/>
      <c r="C812" s="55"/>
      <c r="D812" s="55"/>
      <c r="E812" s="93"/>
      <c r="F812" s="56"/>
    </row>
    <row r="813" spans="1:6">
      <c r="A813" s="67"/>
      <c r="B813" s="55"/>
      <c r="C813" s="55"/>
      <c r="D813" s="55"/>
      <c r="E813" s="93"/>
      <c r="F813" s="56"/>
    </row>
    <row r="814" spans="1:6">
      <c r="A814" s="67"/>
      <c r="B814" s="55"/>
      <c r="C814" s="55"/>
      <c r="D814" s="55"/>
      <c r="E814" s="93"/>
      <c r="F814" s="56"/>
    </row>
    <row r="815" spans="1:6">
      <c r="A815" s="67"/>
      <c r="B815" s="55"/>
      <c r="C815" s="55"/>
      <c r="D815" s="55"/>
      <c r="E815" s="93"/>
      <c r="F815" s="56"/>
    </row>
    <row r="816" spans="1:6">
      <c r="A816" s="67"/>
      <c r="B816" s="55"/>
      <c r="C816" s="55"/>
      <c r="D816" s="55"/>
      <c r="E816" s="93"/>
      <c r="F816" s="56"/>
    </row>
    <row r="817" spans="1:6">
      <c r="A817" s="67"/>
      <c r="B817" s="55"/>
      <c r="C817" s="55"/>
      <c r="D817" s="55"/>
      <c r="E817" s="93"/>
      <c r="F817" s="56"/>
    </row>
    <row r="818" spans="1:6">
      <c r="A818" s="67"/>
      <c r="B818" s="55"/>
      <c r="C818" s="55"/>
      <c r="D818" s="55"/>
      <c r="E818" s="93"/>
      <c r="F818" s="56"/>
    </row>
    <row r="819" spans="1:6">
      <c r="A819" s="67"/>
      <c r="B819" s="55"/>
      <c r="C819" s="55"/>
      <c r="D819" s="55"/>
      <c r="E819" s="93"/>
      <c r="F819" s="56"/>
    </row>
    <row r="820" spans="1:6">
      <c r="A820" s="67"/>
      <c r="B820" s="55"/>
      <c r="C820" s="55"/>
      <c r="D820" s="55"/>
      <c r="E820" s="93"/>
      <c r="F820" s="56"/>
    </row>
    <row r="821" spans="1:6">
      <c r="A821" s="67"/>
      <c r="B821" s="55"/>
      <c r="C821" s="55"/>
      <c r="D821" s="55"/>
      <c r="E821" s="93"/>
      <c r="F821" s="56"/>
    </row>
    <row r="822" spans="1:6">
      <c r="A822" s="67"/>
      <c r="B822" s="55"/>
      <c r="C822" s="55"/>
      <c r="D822" s="55"/>
      <c r="E822" s="93"/>
      <c r="F822" s="56"/>
    </row>
    <row r="823" spans="1:6">
      <c r="A823" s="67"/>
      <c r="B823" s="55"/>
      <c r="C823" s="55"/>
      <c r="D823" s="55"/>
      <c r="E823" s="93"/>
      <c r="F823" s="56"/>
    </row>
    <row r="824" spans="1:6">
      <c r="A824" s="67"/>
      <c r="B824" s="55"/>
      <c r="C824" s="55"/>
      <c r="D824" s="55"/>
      <c r="E824" s="93"/>
      <c r="F824" s="56"/>
    </row>
    <row r="825" spans="1:6">
      <c r="A825" s="67"/>
      <c r="B825" s="55"/>
      <c r="C825" s="55"/>
      <c r="D825" s="55"/>
      <c r="E825" s="93"/>
      <c r="F825" s="56"/>
    </row>
    <row r="826" spans="1:6">
      <c r="A826" s="67"/>
      <c r="B826" s="55"/>
      <c r="C826" s="55"/>
      <c r="D826" s="55"/>
      <c r="E826" s="93"/>
      <c r="F826" s="56"/>
    </row>
    <row r="827" spans="1:6">
      <c r="A827" s="67"/>
      <c r="B827" s="55"/>
      <c r="C827" s="55"/>
      <c r="D827" s="55"/>
      <c r="E827" s="93"/>
      <c r="F827" s="56"/>
    </row>
    <row r="828" spans="1:6">
      <c r="A828" s="67"/>
      <c r="B828" s="55"/>
      <c r="C828" s="55"/>
      <c r="D828" s="55"/>
      <c r="E828" s="93"/>
      <c r="F828" s="56"/>
    </row>
    <row r="829" spans="1:6">
      <c r="A829" s="67"/>
      <c r="B829" s="55"/>
      <c r="C829" s="55"/>
      <c r="D829" s="55"/>
      <c r="E829" s="93"/>
      <c r="F829" s="56"/>
    </row>
    <row r="830" spans="1:6">
      <c r="A830" s="67"/>
      <c r="B830" s="55"/>
      <c r="C830" s="55"/>
      <c r="D830" s="55"/>
      <c r="E830" s="93"/>
      <c r="F830" s="56"/>
    </row>
    <row r="831" spans="1:6">
      <c r="A831" s="67"/>
      <c r="B831" s="55"/>
      <c r="C831" s="55"/>
      <c r="D831" s="55"/>
      <c r="E831" s="93"/>
      <c r="F831" s="56"/>
    </row>
    <row r="832" spans="1:6">
      <c r="A832" s="67"/>
      <c r="B832" s="55"/>
      <c r="C832" s="55"/>
      <c r="D832" s="55"/>
      <c r="E832" s="93"/>
      <c r="F832" s="56"/>
    </row>
    <row r="833" spans="1:6">
      <c r="A833" s="67"/>
      <c r="B833" s="55"/>
      <c r="C833" s="55"/>
      <c r="D833" s="55"/>
      <c r="E833" s="93"/>
      <c r="F833" s="56"/>
    </row>
    <row r="834" spans="1:6">
      <c r="A834" s="67"/>
      <c r="B834" s="55"/>
      <c r="C834" s="55"/>
      <c r="D834" s="55"/>
      <c r="E834" s="93"/>
      <c r="F834" s="56"/>
    </row>
    <row r="835" spans="1:6">
      <c r="A835" s="67"/>
      <c r="B835" s="55"/>
      <c r="C835" s="55"/>
      <c r="D835" s="55"/>
      <c r="E835" s="93"/>
      <c r="F835" s="56"/>
    </row>
    <row r="836" spans="1:6">
      <c r="A836" s="67"/>
      <c r="B836" s="55"/>
      <c r="C836" s="55"/>
      <c r="D836" s="55"/>
      <c r="E836" s="93"/>
      <c r="F836" s="56"/>
    </row>
    <row r="837" spans="1:6">
      <c r="A837" s="67"/>
      <c r="B837" s="55"/>
      <c r="C837" s="55"/>
      <c r="D837" s="55"/>
      <c r="E837" s="93"/>
      <c r="F837" s="56"/>
    </row>
    <row r="838" spans="1:6">
      <c r="A838" s="67"/>
      <c r="B838" s="55"/>
      <c r="C838" s="55"/>
      <c r="D838" s="55"/>
      <c r="E838" s="93"/>
      <c r="F838" s="56"/>
    </row>
    <row r="839" spans="1:6">
      <c r="A839" s="67"/>
      <c r="B839" s="55"/>
      <c r="C839" s="55"/>
      <c r="D839" s="55"/>
      <c r="E839" s="93"/>
      <c r="F839" s="56"/>
    </row>
    <row r="840" spans="1:6">
      <c r="A840" s="67"/>
      <c r="B840" s="55"/>
      <c r="C840" s="55"/>
      <c r="D840" s="55"/>
      <c r="E840" s="93"/>
      <c r="F840" s="56"/>
    </row>
    <row r="841" spans="1:6">
      <c r="A841" s="67"/>
      <c r="B841" s="55"/>
      <c r="C841" s="55"/>
      <c r="D841" s="55"/>
      <c r="E841" s="93"/>
      <c r="F841" s="56"/>
    </row>
    <row r="842" spans="1:6">
      <c r="A842" s="67"/>
      <c r="B842" s="55"/>
      <c r="C842" s="55"/>
      <c r="D842" s="55"/>
      <c r="E842" s="93"/>
      <c r="F842" s="56"/>
    </row>
    <row r="843" spans="1:6">
      <c r="A843" s="67"/>
      <c r="B843" s="55"/>
      <c r="C843" s="55"/>
      <c r="D843" s="55"/>
      <c r="E843" s="93"/>
      <c r="F843" s="56"/>
    </row>
    <row r="844" spans="1:6">
      <c r="A844" s="67"/>
      <c r="B844" s="55"/>
      <c r="C844" s="55"/>
      <c r="D844" s="55"/>
      <c r="E844" s="93"/>
      <c r="F844" s="56"/>
    </row>
    <row r="845" spans="1:6">
      <c r="A845" s="67"/>
      <c r="B845" s="55"/>
      <c r="C845" s="55"/>
      <c r="D845" s="55"/>
      <c r="E845" s="93"/>
      <c r="F845" s="56"/>
    </row>
    <row r="846" spans="1:6">
      <c r="A846" s="67"/>
      <c r="B846" s="55"/>
      <c r="C846" s="55"/>
      <c r="D846" s="55"/>
      <c r="E846" s="93"/>
      <c r="F846" s="56"/>
    </row>
    <row r="847" spans="1:6">
      <c r="A847" s="67"/>
      <c r="B847" s="55"/>
      <c r="C847" s="55"/>
      <c r="D847" s="55"/>
      <c r="E847" s="93"/>
      <c r="F847" s="56"/>
    </row>
    <row r="848" spans="1:6">
      <c r="A848" s="67"/>
      <c r="B848" s="55"/>
      <c r="C848" s="55"/>
      <c r="D848" s="55"/>
      <c r="E848" s="93"/>
      <c r="F848" s="56"/>
    </row>
    <row r="849" spans="1:6">
      <c r="A849" s="67"/>
      <c r="B849" s="55"/>
      <c r="C849" s="55"/>
      <c r="D849" s="55"/>
      <c r="E849" s="93"/>
      <c r="F849" s="56"/>
    </row>
    <row r="850" spans="1:6">
      <c r="A850" s="67"/>
      <c r="B850" s="55"/>
      <c r="C850" s="55"/>
      <c r="D850" s="55"/>
      <c r="E850" s="93"/>
      <c r="F850" s="56"/>
    </row>
    <row r="851" spans="1:6">
      <c r="A851" s="67"/>
      <c r="B851" s="55"/>
      <c r="C851" s="55"/>
      <c r="D851" s="55"/>
      <c r="E851" s="93"/>
      <c r="F851" s="56"/>
    </row>
    <row r="852" spans="1:6">
      <c r="A852" s="67"/>
      <c r="B852" s="55"/>
      <c r="C852" s="55"/>
      <c r="D852" s="55"/>
      <c r="E852" s="93"/>
      <c r="F852" s="56"/>
    </row>
    <row r="853" spans="1:6">
      <c r="A853" s="67"/>
      <c r="B853" s="55"/>
      <c r="C853" s="55"/>
      <c r="D853" s="55"/>
      <c r="E853" s="93"/>
      <c r="F853" s="56"/>
    </row>
    <row r="854" spans="1:6">
      <c r="A854" s="67"/>
      <c r="B854" s="55"/>
      <c r="C854" s="55"/>
      <c r="D854" s="55"/>
      <c r="E854" s="93"/>
      <c r="F854" s="56"/>
    </row>
    <row r="855" spans="1:6">
      <c r="A855" s="67"/>
      <c r="B855" s="55"/>
      <c r="C855" s="55"/>
      <c r="D855" s="55"/>
      <c r="E855" s="93"/>
      <c r="F855" s="56"/>
    </row>
    <row r="856" spans="1:6">
      <c r="A856" s="67"/>
      <c r="B856" s="55"/>
      <c r="C856" s="55"/>
      <c r="D856" s="55"/>
      <c r="E856" s="93"/>
      <c r="F856" s="56"/>
    </row>
    <row r="857" spans="1:6">
      <c r="A857" s="67"/>
      <c r="B857" s="55"/>
      <c r="C857" s="55"/>
      <c r="D857" s="55"/>
      <c r="E857" s="93"/>
      <c r="F857" s="56"/>
    </row>
    <row r="858" spans="1:6">
      <c r="A858" s="67"/>
      <c r="B858" s="55"/>
      <c r="C858" s="55"/>
      <c r="D858" s="55"/>
      <c r="E858" s="93"/>
      <c r="F858" s="56"/>
    </row>
    <row r="859" spans="1:6">
      <c r="A859" s="67"/>
      <c r="B859" s="55"/>
      <c r="C859" s="55"/>
      <c r="D859" s="55"/>
      <c r="E859" s="93"/>
      <c r="F859" s="56"/>
    </row>
    <row r="860" spans="1:6">
      <c r="A860" s="67"/>
      <c r="B860" s="55"/>
      <c r="C860" s="55"/>
      <c r="D860" s="55"/>
      <c r="E860" s="93"/>
      <c r="F860" s="56"/>
    </row>
    <row r="861" spans="1:6">
      <c r="A861" s="67"/>
      <c r="B861" s="55"/>
      <c r="C861" s="55"/>
      <c r="D861" s="55"/>
      <c r="E861" s="93"/>
      <c r="F861" s="56"/>
    </row>
    <row r="862" spans="1:6">
      <c r="A862" s="67"/>
      <c r="B862" s="55"/>
      <c r="C862" s="55"/>
      <c r="D862" s="55"/>
      <c r="E862" s="93"/>
      <c r="F862" s="56"/>
    </row>
    <row r="863" spans="1:6">
      <c r="A863" s="67"/>
      <c r="B863" s="55"/>
      <c r="C863" s="55"/>
      <c r="D863" s="55"/>
      <c r="E863" s="93"/>
      <c r="F863" s="56"/>
    </row>
    <row r="864" spans="1:6">
      <c r="A864" s="67"/>
      <c r="B864" s="55"/>
      <c r="C864" s="55"/>
      <c r="D864" s="55"/>
      <c r="E864" s="93"/>
      <c r="F864" s="56"/>
    </row>
    <row r="865" spans="1:6">
      <c r="A865" s="67"/>
      <c r="B865" s="55"/>
      <c r="C865" s="55"/>
      <c r="D865" s="55"/>
      <c r="E865" s="93"/>
      <c r="F865" s="56"/>
    </row>
    <row r="866" spans="1:6">
      <c r="A866" s="67"/>
      <c r="B866" s="55"/>
      <c r="C866" s="55"/>
      <c r="D866" s="55"/>
      <c r="E866" s="93"/>
      <c r="F866" s="56"/>
    </row>
    <row r="867" spans="1:6">
      <c r="A867" s="67"/>
      <c r="B867" s="55"/>
      <c r="C867" s="55"/>
      <c r="D867" s="55"/>
      <c r="E867" s="93"/>
      <c r="F867" s="56"/>
    </row>
    <row r="868" spans="1:6">
      <c r="A868" s="67"/>
      <c r="B868" s="55"/>
      <c r="C868" s="55"/>
      <c r="D868" s="55"/>
      <c r="E868" s="93"/>
      <c r="F868" s="56"/>
    </row>
    <row r="869" spans="1:6">
      <c r="A869" s="67"/>
      <c r="B869" s="55"/>
      <c r="C869" s="55"/>
      <c r="D869" s="55"/>
      <c r="E869" s="93"/>
      <c r="F869" s="56"/>
    </row>
    <row r="870" spans="1:6">
      <c r="A870" s="67"/>
      <c r="B870" s="55"/>
      <c r="C870" s="55"/>
      <c r="D870" s="55"/>
      <c r="E870" s="93"/>
      <c r="F870" s="56"/>
    </row>
    <row r="871" spans="1:6">
      <c r="A871" s="67"/>
      <c r="B871" s="55"/>
      <c r="C871" s="55"/>
      <c r="D871" s="55"/>
      <c r="E871" s="93"/>
      <c r="F871" s="56"/>
    </row>
    <row r="872" spans="1:6">
      <c r="A872" s="67"/>
      <c r="B872" s="55"/>
      <c r="C872" s="55"/>
      <c r="D872" s="55"/>
      <c r="E872" s="93"/>
      <c r="F872" s="56"/>
    </row>
    <row r="873" spans="1:6">
      <c r="A873" s="67"/>
      <c r="B873" s="55"/>
      <c r="C873" s="55"/>
      <c r="D873" s="55"/>
      <c r="E873" s="93"/>
      <c r="F873" s="56"/>
    </row>
    <row r="874" spans="1:6">
      <c r="A874" s="67"/>
      <c r="B874" s="55"/>
      <c r="C874" s="55"/>
      <c r="D874" s="55"/>
      <c r="E874" s="93"/>
      <c r="F874" s="56"/>
    </row>
    <row r="875" spans="1:6">
      <c r="A875" s="67"/>
      <c r="B875" s="55"/>
      <c r="C875" s="55"/>
      <c r="D875" s="55"/>
      <c r="E875" s="93"/>
      <c r="F875" s="56"/>
    </row>
    <row r="876" spans="1:6">
      <c r="A876" s="67"/>
      <c r="B876" s="55"/>
      <c r="C876" s="55"/>
      <c r="D876" s="55"/>
      <c r="E876" s="93"/>
      <c r="F876" s="56"/>
    </row>
    <row r="877" spans="1:6">
      <c r="A877" s="67"/>
      <c r="B877" s="55"/>
      <c r="C877" s="55"/>
      <c r="D877" s="55"/>
      <c r="E877" s="93"/>
      <c r="F877" s="56"/>
    </row>
    <row r="878" spans="1:6">
      <c r="A878" s="67"/>
      <c r="B878" s="55"/>
      <c r="C878" s="55"/>
      <c r="D878" s="55"/>
      <c r="E878" s="93"/>
      <c r="F878" s="56"/>
    </row>
    <row r="879" spans="1:6">
      <c r="A879" s="67"/>
      <c r="B879" s="55"/>
      <c r="C879" s="55"/>
      <c r="D879" s="55"/>
      <c r="E879" s="93"/>
      <c r="F879" s="56"/>
    </row>
    <row r="880" spans="1:6">
      <c r="A880" s="67"/>
      <c r="B880" s="55"/>
      <c r="C880" s="55"/>
      <c r="D880" s="55"/>
      <c r="E880" s="93"/>
      <c r="F880" s="56"/>
    </row>
    <row r="881" spans="1:6">
      <c r="A881" s="67"/>
      <c r="B881" s="55"/>
      <c r="C881" s="55"/>
      <c r="D881" s="55"/>
      <c r="E881" s="93"/>
      <c r="F881" s="56"/>
    </row>
    <row r="882" spans="1:6">
      <c r="A882" s="67"/>
      <c r="B882" s="55"/>
      <c r="C882" s="55"/>
      <c r="D882" s="55"/>
      <c r="E882" s="93"/>
      <c r="F882" s="56"/>
    </row>
    <row r="883" spans="1:6">
      <c r="A883" s="67"/>
      <c r="B883" s="55"/>
      <c r="C883" s="55"/>
      <c r="D883" s="55"/>
      <c r="E883" s="93"/>
      <c r="F883" s="56"/>
    </row>
    <row r="884" spans="1:6">
      <c r="A884" s="67"/>
      <c r="B884" s="55"/>
      <c r="C884" s="55"/>
      <c r="D884" s="55"/>
      <c r="E884" s="93"/>
      <c r="F884" s="56"/>
    </row>
    <row r="885" spans="1:6">
      <c r="A885" s="67"/>
      <c r="B885" s="55"/>
      <c r="C885" s="55"/>
      <c r="D885" s="55"/>
      <c r="E885" s="93"/>
      <c r="F885" s="56"/>
    </row>
    <row r="886" spans="1:6">
      <c r="A886" s="67"/>
      <c r="B886" s="55"/>
      <c r="C886" s="55"/>
      <c r="D886" s="55"/>
      <c r="E886" s="93"/>
      <c r="F886" s="56"/>
    </row>
    <row r="887" spans="1:6">
      <c r="A887" s="67"/>
      <c r="B887" s="55"/>
      <c r="C887" s="55"/>
      <c r="D887" s="55"/>
      <c r="E887" s="93"/>
      <c r="F887" s="56"/>
    </row>
    <row r="888" spans="1:6">
      <c r="A888" s="67"/>
      <c r="B888" s="55"/>
      <c r="C888" s="55"/>
      <c r="D888" s="55"/>
      <c r="E888" s="93"/>
      <c r="F888" s="56"/>
    </row>
    <row r="889" spans="1:6">
      <c r="A889" s="67"/>
      <c r="B889" s="55"/>
      <c r="C889" s="55"/>
      <c r="D889" s="55"/>
      <c r="E889" s="93"/>
      <c r="F889" s="56"/>
    </row>
    <row r="890" spans="1:6">
      <c r="A890" s="67"/>
      <c r="B890" s="55"/>
      <c r="C890" s="55"/>
      <c r="D890" s="55"/>
      <c r="E890" s="93"/>
      <c r="F890" s="56"/>
    </row>
    <row r="891" spans="1:6">
      <c r="A891" s="67"/>
      <c r="B891" s="55"/>
      <c r="C891" s="55"/>
      <c r="D891" s="55"/>
      <c r="E891" s="93"/>
      <c r="F891" s="56"/>
    </row>
    <row r="892" spans="1:6">
      <c r="A892" s="67"/>
      <c r="B892" s="55"/>
      <c r="C892" s="55"/>
      <c r="D892" s="55"/>
      <c r="E892" s="93"/>
      <c r="F892" s="56"/>
    </row>
    <row r="893" spans="1:6">
      <c r="A893" s="67"/>
      <c r="B893" s="55"/>
      <c r="C893" s="55"/>
      <c r="D893" s="55"/>
      <c r="E893" s="93"/>
      <c r="F893" s="56"/>
    </row>
    <row r="894" spans="1:6">
      <c r="A894" s="67"/>
      <c r="B894" s="55"/>
      <c r="C894" s="55"/>
      <c r="D894" s="55"/>
      <c r="E894" s="93"/>
      <c r="F894" s="56"/>
    </row>
    <row r="895" spans="1:6">
      <c r="A895" s="67"/>
      <c r="B895" s="55"/>
      <c r="C895" s="55"/>
      <c r="D895" s="55"/>
      <c r="E895" s="93"/>
      <c r="F895" s="56"/>
    </row>
    <row r="896" spans="1:6">
      <c r="A896" s="67"/>
      <c r="B896" s="55"/>
      <c r="C896" s="55"/>
      <c r="D896" s="55"/>
      <c r="E896" s="93"/>
      <c r="F896" s="56"/>
    </row>
    <row r="897" spans="1:6">
      <c r="A897" s="67"/>
      <c r="B897" s="55"/>
      <c r="C897" s="55"/>
      <c r="D897" s="55"/>
      <c r="E897" s="93"/>
      <c r="F897" s="56"/>
    </row>
    <row r="898" spans="1:6">
      <c r="A898" s="67"/>
      <c r="B898" s="55"/>
      <c r="C898" s="55"/>
      <c r="D898" s="55"/>
      <c r="E898" s="93"/>
      <c r="F898" s="56"/>
    </row>
    <row r="899" spans="1:6">
      <c r="A899" s="67"/>
      <c r="B899" s="55"/>
      <c r="C899" s="55"/>
      <c r="D899" s="55"/>
      <c r="E899" s="93"/>
      <c r="F899" s="56"/>
    </row>
    <row r="900" spans="1:6">
      <c r="A900" s="67"/>
      <c r="B900" s="55"/>
      <c r="C900" s="55"/>
      <c r="D900" s="55"/>
      <c r="E900" s="93"/>
      <c r="F900" s="56"/>
    </row>
    <row r="901" spans="1:6">
      <c r="A901" s="67"/>
      <c r="B901" s="55"/>
      <c r="C901" s="55"/>
      <c r="D901" s="55"/>
      <c r="E901" s="93"/>
      <c r="F901" s="56"/>
    </row>
    <row r="902" spans="1:6">
      <c r="A902" s="67"/>
      <c r="B902" s="55"/>
      <c r="C902" s="55"/>
      <c r="D902" s="55"/>
      <c r="E902" s="93"/>
      <c r="F902" s="56"/>
    </row>
    <row r="903" spans="1:6">
      <c r="A903" s="67"/>
      <c r="B903" s="55"/>
      <c r="C903" s="55"/>
      <c r="D903" s="55"/>
      <c r="E903" s="93"/>
      <c r="F903" s="56"/>
    </row>
    <row r="904" spans="1:6">
      <c r="A904" s="67"/>
      <c r="B904" s="55"/>
      <c r="C904" s="55"/>
      <c r="D904" s="55"/>
      <c r="E904" s="93"/>
      <c r="F904" s="56"/>
    </row>
    <row r="905" spans="1:6">
      <c r="A905" s="67"/>
      <c r="B905" s="55"/>
      <c r="C905" s="55"/>
      <c r="D905" s="55"/>
      <c r="E905" s="93"/>
      <c r="F905" s="56"/>
    </row>
    <row r="906" spans="1:6">
      <c r="A906" s="67"/>
      <c r="B906" s="55"/>
      <c r="C906" s="55"/>
      <c r="D906" s="55"/>
      <c r="E906" s="93"/>
      <c r="F906" s="56"/>
    </row>
    <row r="907" spans="1:6">
      <c r="A907" s="67"/>
      <c r="B907" s="55"/>
      <c r="C907" s="55"/>
      <c r="D907" s="55"/>
      <c r="E907" s="93"/>
      <c r="F907" s="56"/>
    </row>
    <row r="908" spans="1:6">
      <c r="A908" s="67"/>
      <c r="B908" s="55"/>
      <c r="C908" s="55"/>
      <c r="D908" s="55"/>
      <c r="E908" s="93"/>
      <c r="F908" s="56"/>
    </row>
    <row r="909" spans="1:6">
      <c r="A909" s="67"/>
      <c r="B909" s="55"/>
      <c r="C909" s="55"/>
      <c r="D909" s="55"/>
      <c r="E909" s="93"/>
      <c r="F909" s="56"/>
    </row>
    <row r="910" spans="1:6">
      <c r="A910" s="67"/>
      <c r="B910" s="55"/>
      <c r="C910" s="55"/>
      <c r="D910" s="55"/>
      <c r="E910" s="93"/>
      <c r="F910" s="56"/>
    </row>
    <row r="911" spans="1:6">
      <c r="A911" s="67"/>
      <c r="B911" s="55"/>
      <c r="C911" s="55"/>
      <c r="D911" s="55"/>
      <c r="E911" s="93"/>
      <c r="F911" s="56"/>
    </row>
    <row r="912" spans="1:6">
      <c r="A912" s="67"/>
      <c r="B912" s="55"/>
      <c r="C912" s="55"/>
      <c r="D912" s="55"/>
      <c r="E912" s="93"/>
      <c r="F912" s="56"/>
    </row>
    <row r="913" spans="1:6">
      <c r="A913" s="67"/>
      <c r="B913" s="55"/>
      <c r="C913" s="55"/>
      <c r="D913" s="55"/>
      <c r="E913" s="93"/>
      <c r="F913" s="56"/>
    </row>
    <row r="914" spans="1:6">
      <c r="A914" s="67"/>
      <c r="B914" s="55"/>
      <c r="C914" s="55"/>
      <c r="D914" s="55"/>
      <c r="E914" s="93"/>
      <c r="F914" s="56"/>
    </row>
    <row r="915" spans="1:6">
      <c r="A915" s="67"/>
      <c r="B915" s="55"/>
      <c r="C915" s="55"/>
      <c r="D915" s="55"/>
      <c r="E915" s="93"/>
      <c r="F915" s="56"/>
    </row>
    <row r="916" spans="1:6">
      <c r="A916" s="67"/>
      <c r="B916" s="55"/>
      <c r="C916" s="55"/>
      <c r="D916" s="55"/>
      <c r="E916" s="93"/>
      <c r="F916" s="56"/>
    </row>
    <row r="917" spans="1:6">
      <c r="A917" s="67"/>
      <c r="B917" s="55"/>
      <c r="C917" s="55"/>
      <c r="D917" s="55"/>
      <c r="E917" s="93"/>
      <c r="F917" s="56"/>
    </row>
    <row r="918" spans="1:6">
      <c r="A918" s="67"/>
      <c r="B918" s="55"/>
      <c r="C918" s="55"/>
      <c r="D918" s="55"/>
      <c r="E918" s="93"/>
      <c r="F918" s="56"/>
    </row>
    <row r="919" spans="1:6">
      <c r="A919" s="67"/>
      <c r="B919" s="55"/>
      <c r="C919" s="55"/>
      <c r="D919" s="55"/>
      <c r="E919" s="93"/>
      <c r="F919" s="56"/>
    </row>
    <row r="920" spans="1:6">
      <c r="A920" s="67"/>
      <c r="B920" s="55"/>
      <c r="C920" s="55"/>
      <c r="D920" s="55"/>
      <c r="E920" s="93"/>
      <c r="F920" s="56"/>
    </row>
    <row r="921" spans="1:6">
      <c r="A921" s="67"/>
      <c r="B921" s="55"/>
      <c r="C921" s="55"/>
      <c r="D921" s="55"/>
      <c r="E921" s="93"/>
      <c r="F921" s="56"/>
    </row>
    <row r="922" spans="1:6">
      <c r="A922" s="67"/>
      <c r="B922" s="55"/>
      <c r="C922" s="55"/>
      <c r="D922" s="55"/>
      <c r="E922" s="93"/>
      <c r="F922" s="56"/>
    </row>
    <row r="923" spans="1:6">
      <c r="A923" s="67"/>
      <c r="B923" s="55"/>
      <c r="C923" s="55"/>
      <c r="D923" s="55"/>
      <c r="E923" s="93"/>
      <c r="F923" s="56"/>
    </row>
    <row r="924" spans="1:6">
      <c r="A924" s="67"/>
      <c r="B924" s="55"/>
      <c r="C924" s="55"/>
      <c r="D924" s="55"/>
      <c r="E924" s="93"/>
      <c r="F924" s="56"/>
    </row>
    <row r="925" spans="1:6">
      <c r="A925" s="67"/>
      <c r="B925" s="55"/>
      <c r="C925" s="55"/>
      <c r="D925" s="55"/>
      <c r="E925" s="93"/>
      <c r="F925" s="56"/>
    </row>
    <row r="926" spans="1:6">
      <c r="A926" s="67"/>
      <c r="B926" s="55"/>
      <c r="C926" s="55"/>
      <c r="D926" s="55"/>
      <c r="E926" s="93"/>
      <c r="F926" s="56"/>
    </row>
    <row r="927" spans="1:6">
      <c r="A927" s="67"/>
      <c r="B927" s="55"/>
      <c r="C927" s="55"/>
      <c r="D927" s="55"/>
      <c r="E927" s="93"/>
      <c r="F927" s="56"/>
    </row>
    <row r="928" spans="1:6">
      <c r="A928" s="67"/>
      <c r="B928" s="55"/>
      <c r="C928" s="55"/>
      <c r="D928" s="55"/>
      <c r="E928" s="93"/>
      <c r="F928" s="56"/>
    </row>
    <row r="929" spans="1:6">
      <c r="A929" s="67"/>
      <c r="B929" s="55"/>
      <c r="C929" s="55"/>
      <c r="D929" s="55"/>
      <c r="E929" s="93"/>
      <c r="F929" s="56"/>
    </row>
    <row r="930" spans="1:6">
      <c r="A930" s="67"/>
      <c r="B930" s="55"/>
      <c r="C930" s="55"/>
      <c r="D930" s="55"/>
      <c r="E930" s="93"/>
      <c r="F930" s="56"/>
    </row>
    <row r="931" spans="1:6">
      <c r="A931" s="67"/>
      <c r="B931" s="55"/>
      <c r="C931" s="55"/>
      <c r="D931" s="55"/>
      <c r="E931" s="93"/>
      <c r="F931" s="56"/>
    </row>
    <row r="932" spans="1:6">
      <c r="A932" s="67"/>
      <c r="B932" s="55"/>
      <c r="C932" s="55"/>
      <c r="D932" s="55"/>
      <c r="E932" s="93"/>
      <c r="F932" s="56"/>
    </row>
    <row r="933" spans="1:6">
      <c r="A933" s="67"/>
      <c r="B933" s="55"/>
      <c r="C933" s="55"/>
      <c r="D933" s="55"/>
      <c r="E933" s="93"/>
      <c r="F933" s="56"/>
    </row>
    <row r="934" spans="1:6">
      <c r="A934" s="67"/>
      <c r="B934" s="55"/>
      <c r="C934" s="55"/>
      <c r="D934" s="55"/>
      <c r="E934" s="93"/>
      <c r="F934" s="56"/>
    </row>
    <row r="935" spans="1:6">
      <c r="A935" s="67"/>
      <c r="B935" s="55"/>
      <c r="C935" s="55"/>
      <c r="D935" s="55"/>
      <c r="E935" s="93"/>
      <c r="F935" s="56"/>
    </row>
    <row r="936" spans="1:6">
      <c r="A936" s="67"/>
      <c r="B936" s="55"/>
      <c r="C936" s="55"/>
      <c r="D936" s="55"/>
      <c r="E936" s="93"/>
      <c r="F936" s="56"/>
    </row>
    <row r="937" spans="1:6">
      <c r="A937" s="67"/>
      <c r="B937" s="55"/>
      <c r="C937" s="55"/>
      <c r="D937" s="55"/>
      <c r="E937" s="93"/>
      <c r="F937" s="56"/>
    </row>
    <row r="938" spans="1:6">
      <c r="A938" s="67"/>
      <c r="B938" s="55"/>
      <c r="C938" s="55"/>
      <c r="D938" s="55"/>
      <c r="E938" s="93"/>
      <c r="F938" s="56"/>
    </row>
    <row r="939" spans="1:6">
      <c r="A939" s="67"/>
      <c r="B939" s="55"/>
      <c r="C939" s="55"/>
      <c r="D939" s="55"/>
      <c r="E939" s="93"/>
      <c r="F939" s="56"/>
    </row>
    <row r="940" spans="1:6">
      <c r="A940" s="67"/>
      <c r="B940" s="55"/>
      <c r="C940" s="55"/>
      <c r="D940" s="55"/>
      <c r="E940" s="93"/>
      <c r="F940" s="56"/>
    </row>
    <row r="941" spans="1:6">
      <c r="A941" s="67"/>
      <c r="B941" s="55"/>
      <c r="C941" s="55"/>
      <c r="D941" s="55"/>
      <c r="E941" s="93"/>
      <c r="F941" s="56"/>
    </row>
    <row r="942" spans="1:6">
      <c r="A942" s="67"/>
      <c r="B942" s="55"/>
      <c r="C942" s="55"/>
      <c r="D942" s="55"/>
      <c r="E942" s="93"/>
      <c r="F942" s="56"/>
    </row>
    <row r="943" spans="1:6">
      <c r="A943" s="67"/>
      <c r="B943" s="55"/>
      <c r="C943" s="55"/>
      <c r="D943" s="55"/>
      <c r="E943" s="93"/>
      <c r="F943" s="56"/>
    </row>
    <row r="944" spans="1:6">
      <c r="A944" s="67"/>
      <c r="B944" s="55"/>
      <c r="C944" s="55"/>
      <c r="D944" s="55"/>
      <c r="E944" s="93"/>
      <c r="F944" s="56"/>
    </row>
    <row r="945" spans="1:6">
      <c r="A945" s="67"/>
      <c r="B945" s="55"/>
      <c r="C945" s="55"/>
      <c r="D945" s="55"/>
      <c r="E945" s="93"/>
      <c r="F945" s="56"/>
    </row>
    <row r="946" spans="1:6">
      <c r="A946" s="67"/>
      <c r="B946" s="55"/>
      <c r="C946" s="55"/>
      <c r="D946" s="55"/>
      <c r="E946" s="93"/>
      <c r="F946" s="56"/>
    </row>
    <row r="947" spans="1:6">
      <c r="A947" s="67"/>
      <c r="B947" s="55"/>
      <c r="C947" s="55"/>
      <c r="D947" s="55"/>
      <c r="E947" s="93"/>
      <c r="F947" s="56"/>
    </row>
    <row r="948" spans="1:6">
      <c r="A948" s="67"/>
      <c r="B948" s="55"/>
      <c r="C948" s="55"/>
      <c r="D948" s="55"/>
      <c r="E948" s="93"/>
      <c r="F948" s="56"/>
    </row>
    <row r="949" spans="1:6">
      <c r="A949" s="67"/>
      <c r="B949" s="55"/>
      <c r="C949" s="55"/>
      <c r="D949" s="55"/>
      <c r="E949" s="93"/>
      <c r="F949" s="56"/>
    </row>
    <row r="950" spans="1:6">
      <c r="A950" s="67"/>
      <c r="B950" s="55"/>
      <c r="C950" s="55"/>
      <c r="D950" s="55"/>
      <c r="E950" s="93"/>
      <c r="F950" s="56"/>
    </row>
    <row r="951" spans="1:6">
      <c r="A951" s="67"/>
      <c r="B951" s="55"/>
      <c r="C951" s="55"/>
      <c r="D951" s="55"/>
      <c r="E951" s="93"/>
      <c r="F951" s="56"/>
    </row>
    <row r="952" spans="1:6">
      <c r="A952" s="67"/>
      <c r="B952" s="55"/>
      <c r="C952" s="55"/>
      <c r="D952" s="55"/>
      <c r="E952" s="93"/>
      <c r="F952" s="56"/>
    </row>
    <row r="953" spans="1:6">
      <c r="A953" s="67"/>
      <c r="B953" s="55"/>
      <c r="C953" s="55"/>
      <c r="D953" s="55"/>
      <c r="E953" s="93"/>
      <c r="F953" s="56"/>
    </row>
    <row r="954" spans="1:6">
      <c r="A954" s="67"/>
      <c r="B954" s="55"/>
      <c r="C954" s="55"/>
      <c r="D954" s="55"/>
      <c r="E954" s="93"/>
      <c r="F954" s="56"/>
    </row>
    <row r="955" spans="1:6">
      <c r="A955" s="67"/>
      <c r="B955" s="55"/>
      <c r="C955" s="55"/>
      <c r="D955" s="55"/>
      <c r="E955" s="93"/>
      <c r="F955" s="56"/>
    </row>
    <row r="956" spans="1:6">
      <c r="A956" s="67"/>
      <c r="B956" s="55"/>
      <c r="C956" s="55"/>
      <c r="D956" s="55"/>
      <c r="E956" s="93"/>
      <c r="F956" s="56"/>
    </row>
    <row r="957" spans="1:6">
      <c r="A957" s="67"/>
      <c r="B957" s="55"/>
      <c r="C957" s="55"/>
      <c r="D957" s="55"/>
      <c r="E957" s="93"/>
      <c r="F957" s="56"/>
    </row>
    <row r="958" spans="1:6">
      <c r="A958" s="67"/>
      <c r="B958" s="55"/>
      <c r="C958" s="55"/>
      <c r="D958" s="55"/>
      <c r="E958" s="93"/>
      <c r="F958" s="56"/>
    </row>
    <row r="959" spans="1:6">
      <c r="A959" s="67"/>
      <c r="B959" s="55"/>
      <c r="C959" s="55"/>
      <c r="D959" s="55"/>
      <c r="E959" s="93"/>
      <c r="F959" s="56"/>
    </row>
    <row r="960" spans="1:6">
      <c r="A960" s="67"/>
      <c r="B960" s="55"/>
      <c r="C960" s="55"/>
      <c r="D960" s="55"/>
      <c r="E960" s="93"/>
      <c r="F960" s="56"/>
    </row>
    <row r="961" spans="1:6">
      <c r="A961" s="67"/>
      <c r="B961" s="55"/>
      <c r="C961" s="55"/>
      <c r="D961" s="55"/>
      <c r="E961" s="93"/>
      <c r="F961" s="56"/>
    </row>
    <row r="962" spans="1:6">
      <c r="A962" s="67"/>
      <c r="B962" s="55"/>
      <c r="C962" s="55"/>
      <c r="D962" s="55"/>
      <c r="E962" s="93"/>
      <c r="F962" s="56"/>
    </row>
    <row r="963" spans="1:6">
      <c r="A963" s="67"/>
      <c r="B963" s="55"/>
      <c r="C963" s="55"/>
      <c r="D963" s="55"/>
      <c r="E963" s="93"/>
      <c r="F963" s="56"/>
    </row>
    <row r="964" spans="1:6">
      <c r="A964" s="67"/>
      <c r="B964" s="55"/>
      <c r="C964" s="55"/>
      <c r="D964" s="55"/>
      <c r="E964" s="93"/>
      <c r="F964" s="56"/>
    </row>
    <row r="965" spans="1:6">
      <c r="A965" s="67"/>
      <c r="B965" s="55"/>
      <c r="C965" s="55"/>
      <c r="D965" s="55"/>
      <c r="E965" s="93"/>
      <c r="F965" s="56"/>
    </row>
    <row r="966" spans="1:6">
      <c r="A966" s="67"/>
      <c r="B966" s="55"/>
      <c r="C966" s="55"/>
      <c r="D966" s="55"/>
      <c r="E966" s="93"/>
      <c r="F966" s="56"/>
    </row>
    <row r="967" spans="1:6">
      <c r="A967" s="67"/>
      <c r="B967" s="55"/>
      <c r="C967" s="55"/>
      <c r="D967" s="55"/>
      <c r="E967" s="93"/>
      <c r="F967" s="56"/>
    </row>
    <row r="968" spans="1:6">
      <c r="A968" s="67"/>
      <c r="B968" s="55"/>
      <c r="C968" s="55"/>
      <c r="D968" s="55"/>
      <c r="E968" s="93"/>
      <c r="F968" s="56"/>
    </row>
    <row r="969" spans="1:6">
      <c r="A969" s="67"/>
      <c r="B969" s="55"/>
      <c r="C969" s="55"/>
      <c r="D969" s="55"/>
      <c r="E969" s="93"/>
      <c r="F969" s="56"/>
    </row>
    <row r="970" spans="1:6">
      <c r="A970" s="67"/>
      <c r="B970" s="55"/>
      <c r="C970" s="55"/>
      <c r="D970" s="55"/>
      <c r="E970" s="93"/>
      <c r="F970" s="56"/>
    </row>
    <row r="971" spans="1:6">
      <c r="A971" s="67"/>
      <c r="B971" s="55"/>
      <c r="C971" s="55"/>
      <c r="D971" s="55"/>
      <c r="E971" s="93"/>
      <c r="F971" s="56"/>
    </row>
    <row r="972" spans="1:6">
      <c r="A972" s="67"/>
      <c r="B972" s="55"/>
      <c r="C972" s="55"/>
      <c r="D972" s="55"/>
      <c r="E972" s="93"/>
      <c r="F972" s="56"/>
    </row>
    <row r="973" spans="1:6">
      <c r="A973" s="67"/>
      <c r="B973" s="55"/>
      <c r="C973" s="55"/>
      <c r="D973" s="55"/>
      <c r="E973" s="93"/>
      <c r="F973" s="56"/>
    </row>
    <row r="974" spans="1:6">
      <c r="A974" s="67"/>
      <c r="B974" s="55"/>
      <c r="C974" s="55"/>
      <c r="D974" s="55"/>
      <c r="E974" s="93"/>
      <c r="F974" s="56"/>
    </row>
    <row r="975" spans="1:6">
      <c r="A975" s="67"/>
      <c r="B975" s="55"/>
      <c r="C975" s="55"/>
      <c r="D975" s="55"/>
      <c r="E975" s="93"/>
      <c r="F975" s="56"/>
    </row>
    <row r="976" spans="1:6">
      <c r="A976" s="67"/>
      <c r="B976" s="55"/>
      <c r="C976" s="55"/>
      <c r="D976" s="55"/>
      <c r="E976" s="93"/>
      <c r="F976" s="56"/>
    </row>
    <row r="977" spans="1:6">
      <c r="A977" s="67"/>
      <c r="B977" s="55"/>
      <c r="C977" s="55"/>
      <c r="D977" s="55"/>
      <c r="E977" s="93"/>
      <c r="F977" s="56"/>
    </row>
    <row r="978" spans="1:6">
      <c r="A978" s="67"/>
      <c r="B978" s="55"/>
      <c r="C978" s="55"/>
      <c r="D978" s="55"/>
      <c r="E978" s="93"/>
      <c r="F978" s="56"/>
    </row>
    <row r="979" spans="1:6">
      <c r="A979" s="67"/>
      <c r="B979" s="55"/>
      <c r="C979" s="55"/>
      <c r="D979" s="55"/>
      <c r="E979" s="93"/>
      <c r="F979" s="56"/>
    </row>
    <row r="980" spans="1:6">
      <c r="A980" s="67"/>
      <c r="B980" s="55"/>
      <c r="C980" s="55"/>
      <c r="D980" s="55"/>
      <c r="E980" s="93"/>
      <c r="F980" s="56"/>
    </row>
    <row r="981" spans="1:6">
      <c r="A981" s="67"/>
      <c r="B981" s="55"/>
      <c r="C981" s="55"/>
      <c r="D981" s="55"/>
      <c r="E981" s="93"/>
      <c r="F981" s="56"/>
    </row>
    <row r="982" spans="1:6">
      <c r="A982" s="67"/>
      <c r="B982" s="55"/>
      <c r="C982" s="55"/>
      <c r="D982" s="55"/>
      <c r="E982" s="93"/>
      <c r="F982" s="56"/>
    </row>
    <row r="983" spans="1:6">
      <c r="A983" s="67"/>
      <c r="B983" s="55"/>
      <c r="C983" s="55"/>
      <c r="D983" s="55"/>
      <c r="E983" s="93"/>
      <c r="F983" s="56"/>
    </row>
    <row r="984" spans="1:6">
      <c r="A984" s="67"/>
      <c r="B984" s="55"/>
      <c r="C984" s="55"/>
      <c r="D984" s="55"/>
      <c r="E984" s="93"/>
      <c r="F984" s="56"/>
    </row>
    <row r="985" spans="1:6">
      <c r="A985" s="67"/>
      <c r="B985" s="55"/>
      <c r="C985" s="55"/>
      <c r="D985" s="55"/>
      <c r="E985" s="93"/>
      <c r="F985" s="56"/>
    </row>
    <row r="986" spans="1:6">
      <c r="A986" s="67"/>
      <c r="B986" s="55"/>
      <c r="C986" s="55"/>
      <c r="D986" s="55"/>
      <c r="E986" s="93"/>
      <c r="F986" s="56"/>
    </row>
    <row r="987" spans="1:6">
      <c r="A987" s="67"/>
      <c r="B987" s="55"/>
      <c r="C987" s="55"/>
      <c r="D987" s="55"/>
      <c r="E987" s="93"/>
      <c r="F987" s="56"/>
    </row>
    <row r="988" spans="1:6">
      <c r="A988" s="67"/>
      <c r="B988" s="55"/>
      <c r="C988" s="55"/>
      <c r="D988" s="55"/>
      <c r="E988" s="93"/>
      <c r="F988" s="56"/>
    </row>
    <row r="989" spans="1:6">
      <c r="A989" s="67"/>
      <c r="B989" s="55"/>
      <c r="C989" s="55"/>
      <c r="D989" s="55"/>
      <c r="E989" s="93"/>
      <c r="F989" s="56"/>
    </row>
    <row r="990" spans="1:6">
      <c r="A990" s="67"/>
      <c r="B990" s="55"/>
      <c r="C990" s="55"/>
      <c r="D990" s="55"/>
      <c r="E990" s="93"/>
      <c r="F990" s="56"/>
    </row>
    <row r="991" spans="1:6">
      <c r="A991" s="67"/>
      <c r="B991" s="55"/>
      <c r="C991" s="55"/>
      <c r="D991" s="55"/>
      <c r="E991" s="93"/>
      <c r="F991" s="56"/>
    </row>
    <row r="992" spans="1:6">
      <c r="A992" s="67"/>
      <c r="B992" s="55"/>
      <c r="C992" s="55"/>
      <c r="D992" s="55"/>
      <c r="E992" s="93"/>
      <c r="F992" s="56"/>
    </row>
    <row r="993" spans="1:6">
      <c r="A993" s="67"/>
      <c r="B993" s="55"/>
      <c r="C993" s="55"/>
      <c r="D993" s="55"/>
      <c r="E993" s="93"/>
      <c r="F993" s="56"/>
    </row>
    <row r="994" spans="1:6">
      <c r="A994" s="67"/>
      <c r="B994" s="55"/>
      <c r="C994" s="55"/>
      <c r="D994" s="55"/>
      <c r="E994" s="93"/>
      <c r="F994" s="56"/>
    </row>
    <row r="995" spans="1:6">
      <c r="A995" s="67"/>
      <c r="B995" s="55"/>
      <c r="C995" s="55"/>
      <c r="D995" s="55"/>
      <c r="E995" s="93"/>
      <c r="F995" s="56"/>
    </row>
    <row r="996" spans="1:6">
      <c r="A996" s="67"/>
      <c r="B996" s="55"/>
      <c r="C996" s="55"/>
      <c r="D996" s="55"/>
      <c r="E996" s="93"/>
      <c r="F996" s="56"/>
    </row>
    <row r="997" spans="1:6">
      <c r="A997" s="67"/>
      <c r="B997" s="55"/>
      <c r="C997" s="55"/>
      <c r="D997" s="55"/>
      <c r="E997" s="93"/>
      <c r="F997" s="56"/>
    </row>
    <row r="998" spans="1:6">
      <c r="A998" s="67"/>
      <c r="B998" s="55"/>
      <c r="C998" s="55"/>
      <c r="D998" s="55"/>
      <c r="E998" s="93"/>
      <c r="F998" s="56"/>
    </row>
    <row r="999" spans="1:6">
      <c r="A999" s="67"/>
      <c r="B999" s="55"/>
      <c r="C999" s="55"/>
      <c r="D999" s="55"/>
      <c r="E999" s="93"/>
      <c r="F999" s="56"/>
    </row>
    <row r="1000" spans="1:6">
      <c r="A1000" s="67"/>
      <c r="B1000" s="55"/>
      <c r="C1000" s="55"/>
      <c r="D1000" s="55"/>
      <c r="E1000" s="93"/>
      <c r="F1000" s="56"/>
    </row>
    <row r="1001" spans="1:6">
      <c r="A1001" s="67"/>
      <c r="B1001" s="55"/>
      <c r="C1001" s="55"/>
      <c r="D1001" s="55"/>
      <c r="E1001" s="93"/>
      <c r="F1001" s="56"/>
    </row>
    <row r="1002" spans="1:6">
      <c r="A1002" s="67"/>
      <c r="B1002" s="55"/>
      <c r="C1002" s="55"/>
      <c r="D1002" s="55"/>
      <c r="E1002" s="93"/>
      <c r="F1002" s="56"/>
    </row>
    <row r="1003" spans="1:6">
      <c r="A1003" s="67"/>
      <c r="B1003" s="55"/>
      <c r="C1003" s="55"/>
      <c r="D1003" s="55"/>
      <c r="E1003" s="93"/>
      <c r="F1003" s="56"/>
    </row>
    <row r="1004" spans="1:6">
      <c r="A1004" s="67"/>
      <c r="B1004" s="55"/>
      <c r="C1004" s="55"/>
      <c r="D1004" s="55"/>
      <c r="E1004" s="93"/>
      <c r="F1004" s="56"/>
    </row>
    <row r="1005" spans="1:6">
      <c r="A1005" s="67"/>
      <c r="B1005" s="55"/>
      <c r="C1005" s="55"/>
      <c r="D1005" s="55"/>
      <c r="E1005" s="93"/>
      <c r="F1005" s="56"/>
    </row>
    <row r="1006" spans="1:6">
      <c r="A1006" s="67"/>
      <c r="B1006" s="55"/>
      <c r="C1006" s="55"/>
      <c r="D1006" s="55"/>
      <c r="E1006" s="93"/>
      <c r="F1006" s="56"/>
    </row>
    <row r="1007" spans="1:6">
      <c r="A1007" s="67"/>
      <c r="B1007" s="55"/>
      <c r="C1007" s="55"/>
      <c r="D1007" s="55"/>
      <c r="E1007" s="93"/>
      <c r="F1007" s="56"/>
    </row>
    <row r="1008" spans="1:6">
      <c r="A1008" s="67"/>
      <c r="B1008" s="55"/>
      <c r="C1008" s="55"/>
      <c r="D1008" s="55"/>
      <c r="E1008" s="93"/>
      <c r="F1008" s="56"/>
    </row>
    <row r="1009" spans="1:6">
      <c r="A1009" s="67"/>
      <c r="B1009" s="55"/>
      <c r="C1009" s="55"/>
      <c r="D1009" s="55"/>
      <c r="E1009" s="93"/>
      <c r="F1009" s="56"/>
    </row>
    <row r="1010" spans="1:6">
      <c r="A1010" s="67"/>
      <c r="B1010" s="55"/>
      <c r="C1010" s="55"/>
      <c r="D1010" s="55"/>
      <c r="E1010" s="93"/>
      <c r="F1010" s="56"/>
    </row>
    <row r="1011" spans="1:6">
      <c r="A1011" s="67"/>
      <c r="B1011" s="55"/>
      <c r="C1011" s="55"/>
      <c r="D1011" s="55"/>
      <c r="E1011" s="93"/>
      <c r="F1011" s="56"/>
    </row>
    <row r="1012" spans="1:6">
      <c r="A1012" s="67"/>
      <c r="B1012" s="55"/>
      <c r="C1012" s="55"/>
      <c r="D1012" s="55"/>
      <c r="E1012" s="93"/>
      <c r="F1012" s="56"/>
    </row>
    <row r="1013" spans="1:6">
      <c r="A1013" s="67"/>
      <c r="B1013" s="55"/>
      <c r="C1013" s="55"/>
      <c r="D1013" s="55"/>
      <c r="E1013" s="93"/>
      <c r="F1013" s="56"/>
    </row>
    <row r="1014" spans="1:6">
      <c r="A1014" s="67"/>
      <c r="B1014" s="55"/>
      <c r="C1014" s="55"/>
      <c r="D1014" s="55"/>
      <c r="E1014" s="93"/>
      <c r="F1014" s="56"/>
    </row>
    <row r="1015" spans="1:6">
      <c r="A1015" s="67"/>
      <c r="B1015" s="55"/>
      <c r="C1015" s="55"/>
      <c r="D1015" s="55"/>
      <c r="E1015" s="93"/>
      <c r="F1015" s="56"/>
    </row>
    <row r="1016" spans="1:6">
      <c r="A1016" s="67"/>
      <c r="B1016" s="55"/>
      <c r="C1016" s="55"/>
      <c r="D1016" s="55"/>
      <c r="E1016" s="93"/>
      <c r="F1016" s="56"/>
    </row>
    <row r="1017" spans="1:6">
      <c r="A1017" s="67"/>
      <c r="B1017" s="55"/>
      <c r="C1017" s="55"/>
      <c r="D1017" s="55"/>
      <c r="E1017" s="93"/>
      <c r="F1017" s="56"/>
    </row>
    <row r="1018" spans="1:6">
      <c r="A1018" s="67"/>
      <c r="B1018" s="55"/>
      <c r="C1018" s="55"/>
      <c r="D1018" s="55"/>
      <c r="E1018" s="93"/>
      <c r="F1018" s="56"/>
    </row>
    <row r="1019" spans="1:6">
      <c r="A1019" s="67"/>
      <c r="B1019" s="55"/>
      <c r="C1019" s="55"/>
      <c r="D1019" s="55"/>
      <c r="E1019" s="93"/>
      <c r="F1019" s="56"/>
    </row>
    <row r="1020" spans="1:6">
      <c r="A1020" s="67"/>
      <c r="B1020" s="55"/>
      <c r="C1020" s="55"/>
      <c r="D1020" s="55"/>
      <c r="E1020" s="93"/>
      <c r="F1020" s="56"/>
    </row>
    <row r="1021" spans="1:6">
      <c r="A1021" s="67"/>
      <c r="B1021" s="55"/>
      <c r="C1021" s="55"/>
      <c r="D1021" s="55"/>
      <c r="E1021" s="93"/>
      <c r="F1021" s="56"/>
    </row>
    <row r="1022" spans="1:6">
      <c r="A1022" s="67"/>
      <c r="B1022" s="55"/>
      <c r="C1022" s="55"/>
      <c r="D1022" s="55"/>
      <c r="E1022" s="93"/>
      <c r="F1022" s="56"/>
    </row>
    <row r="1023" spans="1:6">
      <c r="A1023" s="67"/>
      <c r="B1023" s="55"/>
      <c r="C1023" s="55"/>
      <c r="D1023" s="55"/>
      <c r="E1023" s="93"/>
      <c r="F1023" s="56"/>
    </row>
    <row r="1024" spans="1:6">
      <c r="A1024" s="67"/>
      <c r="B1024" s="55"/>
      <c r="C1024" s="55"/>
      <c r="D1024" s="55"/>
      <c r="E1024" s="93"/>
      <c r="F1024" s="56"/>
    </row>
    <row r="1025" spans="1:6">
      <c r="A1025" s="67"/>
      <c r="B1025" s="55"/>
      <c r="C1025" s="55"/>
      <c r="D1025" s="55"/>
      <c r="E1025" s="93"/>
      <c r="F1025" s="56"/>
    </row>
    <row r="1026" spans="1:6">
      <c r="A1026" s="67"/>
      <c r="B1026" s="55"/>
      <c r="C1026" s="55"/>
      <c r="D1026" s="55"/>
      <c r="E1026" s="93"/>
      <c r="F1026" s="56"/>
    </row>
    <row r="1027" spans="1:6">
      <c r="A1027" s="67"/>
      <c r="B1027" s="55"/>
      <c r="C1027" s="55"/>
      <c r="D1027" s="55"/>
      <c r="E1027" s="93"/>
      <c r="F1027" s="56"/>
    </row>
    <row r="1028" spans="1:6">
      <c r="A1028" s="67"/>
      <c r="B1028" s="55"/>
      <c r="C1028" s="55"/>
      <c r="D1028" s="55"/>
      <c r="E1028" s="93"/>
      <c r="F1028" s="56"/>
    </row>
    <row r="1029" spans="1:6">
      <c r="A1029" s="67"/>
      <c r="B1029" s="55"/>
      <c r="C1029" s="55"/>
      <c r="D1029" s="55"/>
      <c r="E1029" s="93"/>
      <c r="F1029" s="56"/>
    </row>
    <row r="1030" spans="1:6">
      <c r="A1030" s="67"/>
      <c r="B1030" s="55"/>
      <c r="C1030" s="55"/>
      <c r="D1030" s="55"/>
      <c r="E1030" s="93"/>
      <c r="F1030" s="56"/>
    </row>
    <row r="1031" spans="1:6">
      <c r="A1031" s="67"/>
      <c r="B1031" s="55"/>
      <c r="C1031" s="55"/>
      <c r="D1031" s="55"/>
      <c r="E1031" s="93"/>
      <c r="F1031" s="56"/>
    </row>
    <row r="1032" spans="1:6">
      <c r="A1032" s="67"/>
      <c r="B1032" s="55"/>
      <c r="C1032" s="55"/>
      <c r="D1032" s="55"/>
      <c r="E1032" s="93"/>
      <c r="F1032" s="56"/>
    </row>
    <row r="1033" spans="1:6">
      <c r="A1033" s="67"/>
      <c r="B1033" s="55"/>
      <c r="C1033" s="55"/>
      <c r="D1033" s="55"/>
      <c r="E1033" s="93"/>
      <c r="F1033" s="56"/>
    </row>
    <row r="1034" spans="1:6">
      <c r="A1034" s="67"/>
      <c r="B1034" s="55"/>
      <c r="C1034" s="55"/>
      <c r="D1034" s="55"/>
      <c r="E1034" s="93"/>
      <c r="F1034" s="56"/>
    </row>
    <row r="1035" spans="1:6">
      <c r="A1035" s="67"/>
      <c r="B1035" s="55"/>
      <c r="C1035" s="55"/>
      <c r="D1035" s="55"/>
      <c r="E1035" s="93"/>
      <c r="F1035" s="56"/>
    </row>
    <row r="1036" spans="1:6">
      <c r="A1036" s="67"/>
      <c r="B1036" s="55"/>
      <c r="C1036" s="55"/>
      <c r="D1036" s="55"/>
      <c r="E1036" s="93"/>
      <c r="F1036" s="56"/>
    </row>
    <row r="1037" spans="1:6">
      <c r="A1037" s="67"/>
      <c r="B1037" s="55"/>
      <c r="C1037" s="55"/>
      <c r="D1037" s="55"/>
      <c r="E1037" s="93"/>
      <c r="F1037" s="56"/>
    </row>
    <row r="1038" spans="1:6">
      <c r="A1038" s="67"/>
      <c r="B1038" s="55"/>
      <c r="C1038" s="55"/>
      <c r="D1038" s="55"/>
      <c r="E1038" s="93"/>
      <c r="F1038" s="56"/>
    </row>
    <row r="1039" spans="1:6">
      <c r="A1039" s="67"/>
      <c r="B1039" s="55"/>
      <c r="C1039" s="55"/>
      <c r="D1039" s="55"/>
      <c r="E1039" s="93"/>
      <c r="F1039" s="56"/>
    </row>
    <row r="1040" spans="1:6">
      <c r="A1040" s="67"/>
      <c r="B1040" s="55"/>
      <c r="C1040" s="55"/>
      <c r="D1040" s="55"/>
      <c r="E1040" s="93"/>
      <c r="F1040" s="56"/>
    </row>
    <row r="1041" spans="1:6">
      <c r="A1041" s="67"/>
      <c r="B1041" s="55"/>
      <c r="C1041" s="55"/>
      <c r="D1041" s="55"/>
      <c r="E1041" s="93"/>
      <c r="F1041" s="56"/>
    </row>
    <row r="1042" spans="1:6">
      <c r="A1042" s="67"/>
      <c r="B1042" s="55"/>
      <c r="C1042" s="55"/>
      <c r="D1042" s="55"/>
      <c r="E1042" s="93"/>
      <c r="F1042" s="56"/>
    </row>
    <row r="1043" spans="1:6">
      <c r="A1043" s="67"/>
      <c r="B1043" s="55"/>
      <c r="C1043" s="55"/>
      <c r="D1043" s="55"/>
      <c r="E1043" s="93"/>
      <c r="F1043" s="56"/>
    </row>
    <row r="1044" spans="1:6">
      <c r="A1044" s="67"/>
      <c r="B1044" s="55"/>
      <c r="C1044" s="55"/>
      <c r="D1044" s="55"/>
      <c r="E1044" s="93"/>
      <c r="F1044" s="56"/>
    </row>
    <row r="1045" spans="1:6">
      <c r="A1045" s="67"/>
      <c r="B1045" s="55"/>
      <c r="C1045" s="55"/>
      <c r="D1045" s="55"/>
      <c r="E1045" s="93"/>
      <c r="F1045" s="56"/>
    </row>
    <row r="1046" spans="1:6">
      <c r="A1046" s="67"/>
      <c r="B1046" s="55"/>
      <c r="C1046" s="55"/>
      <c r="D1046" s="55"/>
      <c r="E1046" s="93"/>
      <c r="F1046" s="56"/>
    </row>
    <row r="1047" spans="1:6">
      <c r="A1047" s="67"/>
      <c r="B1047" s="55"/>
      <c r="C1047" s="55"/>
      <c r="D1047" s="55"/>
      <c r="E1047" s="93"/>
      <c r="F1047" s="56"/>
    </row>
    <row r="1048" spans="1:6">
      <c r="A1048" s="67"/>
      <c r="B1048" s="55"/>
      <c r="C1048" s="55"/>
      <c r="D1048" s="55"/>
      <c r="E1048" s="93"/>
      <c r="F1048" s="56"/>
    </row>
    <row r="1049" spans="1:6">
      <c r="A1049" s="67"/>
      <c r="B1049" s="55"/>
      <c r="C1049" s="55"/>
      <c r="D1049" s="55"/>
      <c r="E1049" s="93"/>
      <c r="F1049" s="56"/>
    </row>
    <row r="1050" spans="1:6">
      <c r="A1050" s="67"/>
      <c r="B1050" s="55"/>
      <c r="C1050" s="55"/>
      <c r="D1050" s="55"/>
      <c r="E1050" s="93"/>
      <c r="F1050" s="56"/>
    </row>
    <row r="1051" spans="1:6">
      <c r="A1051" s="67"/>
      <c r="B1051" s="55"/>
      <c r="C1051" s="55"/>
      <c r="D1051" s="55"/>
      <c r="E1051" s="93"/>
      <c r="F1051" s="56"/>
    </row>
    <row r="1052" spans="1:6">
      <c r="A1052" s="67"/>
      <c r="B1052" s="55"/>
      <c r="C1052" s="55"/>
      <c r="D1052" s="55"/>
      <c r="E1052" s="93"/>
      <c r="F1052" s="56"/>
    </row>
    <row r="1053" spans="1:6">
      <c r="A1053" s="67"/>
      <c r="B1053" s="55"/>
      <c r="C1053" s="55"/>
      <c r="D1053" s="55"/>
      <c r="E1053" s="93"/>
      <c r="F1053" s="56"/>
    </row>
    <row r="1054" spans="1:6">
      <c r="A1054" s="67"/>
      <c r="B1054" s="55"/>
      <c r="C1054" s="55"/>
      <c r="D1054" s="55"/>
      <c r="E1054" s="93"/>
      <c r="F1054" s="56"/>
    </row>
    <row r="1055" spans="1:6">
      <c r="A1055" s="67"/>
      <c r="B1055" s="55"/>
      <c r="C1055" s="55"/>
      <c r="D1055" s="55"/>
      <c r="E1055" s="93"/>
      <c r="F1055" s="56"/>
    </row>
    <row r="1056" spans="1:6">
      <c r="A1056" s="67"/>
      <c r="B1056" s="55"/>
      <c r="C1056" s="55"/>
      <c r="D1056" s="55"/>
      <c r="E1056" s="93"/>
      <c r="F1056" s="56"/>
    </row>
    <row r="1057" spans="1:6">
      <c r="A1057" s="67"/>
      <c r="B1057" s="55"/>
      <c r="C1057" s="55"/>
      <c r="D1057" s="55"/>
      <c r="E1057" s="93"/>
      <c r="F1057" s="56"/>
    </row>
    <row r="1058" spans="1:6">
      <c r="A1058" s="67"/>
      <c r="B1058" s="55"/>
      <c r="C1058" s="55"/>
      <c r="D1058" s="55"/>
      <c r="E1058" s="93"/>
      <c r="F1058" s="56"/>
    </row>
    <row r="1059" spans="1:6">
      <c r="A1059" s="67"/>
      <c r="B1059" s="55"/>
      <c r="C1059" s="55"/>
      <c r="D1059" s="55"/>
      <c r="E1059" s="93"/>
      <c r="F1059" s="56"/>
    </row>
    <row r="1060" spans="1:6">
      <c r="A1060" s="67"/>
      <c r="B1060" s="55"/>
      <c r="C1060" s="55"/>
      <c r="D1060" s="55"/>
      <c r="E1060" s="93"/>
      <c r="F1060" s="56"/>
    </row>
    <row r="1061" spans="1:6">
      <c r="A1061" s="67"/>
      <c r="B1061" s="55"/>
      <c r="C1061" s="55"/>
      <c r="D1061" s="55"/>
      <c r="E1061" s="93"/>
      <c r="F1061" s="56"/>
    </row>
    <row r="1062" spans="1:6">
      <c r="A1062" s="67"/>
      <c r="B1062" s="55"/>
      <c r="C1062" s="55"/>
      <c r="D1062" s="55"/>
      <c r="E1062" s="93"/>
      <c r="F1062" s="56"/>
    </row>
    <row r="1063" spans="1:6">
      <c r="A1063" s="67"/>
      <c r="B1063" s="55"/>
      <c r="C1063" s="55"/>
      <c r="D1063" s="55"/>
      <c r="E1063" s="93"/>
      <c r="F1063" s="56"/>
    </row>
    <row r="1064" spans="1:6">
      <c r="A1064" s="67"/>
      <c r="B1064" s="55"/>
      <c r="C1064" s="55"/>
      <c r="D1064" s="55"/>
      <c r="E1064" s="93"/>
      <c r="F1064" s="56"/>
    </row>
    <row r="1065" spans="1:6">
      <c r="A1065" s="67"/>
      <c r="B1065" s="55"/>
      <c r="C1065" s="55"/>
      <c r="D1065" s="55"/>
      <c r="E1065" s="93"/>
      <c r="F1065" s="56"/>
    </row>
    <row r="1066" spans="1:6">
      <c r="A1066" s="67"/>
      <c r="B1066" s="55"/>
      <c r="C1066" s="55"/>
      <c r="D1066" s="55"/>
      <c r="E1066" s="93"/>
      <c r="F1066" s="56"/>
    </row>
    <row r="1067" spans="1:6">
      <c r="A1067" s="67"/>
      <c r="B1067" s="55"/>
      <c r="C1067" s="55"/>
      <c r="D1067" s="55"/>
      <c r="E1067" s="93"/>
      <c r="F1067" s="56"/>
    </row>
    <row r="1068" spans="1:6">
      <c r="A1068" s="67"/>
      <c r="B1068" s="55"/>
      <c r="C1068" s="55"/>
      <c r="D1068" s="55"/>
      <c r="E1068" s="93"/>
      <c r="F1068" s="56"/>
    </row>
    <row r="1069" spans="1:6">
      <c r="A1069" s="67"/>
      <c r="B1069" s="55"/>
      <c r="C1069" s="55"/>
      <c r="D1069" s="55"/>
      <c r="E1069" s="93"/>
      <c r="F1069" s="56"/>
    </row>
    <row r="1070" spans="1:6">
      <c r="A1070" s="67"/>
      <c r="B1070" s="55"/>
      <c r="C1070" s="55"/>
      <c r="D1070" s="55"/>
      <c r="E1070" s="93"/>
      <c r="F1070" s="56"/>
    </row>
    <row r="1071" spans="1:6">
      <c r="A1071" s="67"/>
      <c r="B1071" s="55"/>
      <c r="C1071" s="55"/>
      <c r="D1071" s="55"/>
      <c r="E1071" s="93"/>
      <c r="F1071" s="56"/>
    </row>
    <row r="1072" spans="1:6">
      <c r="A1072" s="67"/>
      <c r="B1072" s="55"/>
      <c r="C1072" s="55"/>
      <c r="D1072" s="55"/>
      <c r="E1072" s="93"/>
      <c r="F1072" s="56"/>
    </row>
    <row r="1073" spans="1:6">
      <c r="A1073" s="67"/>
      <c r="B1073" s="55"/>
      <c r="C1073" s="55"/>
      <c r="D1073" s="55"/>
      <c r="E1073" s="93"/>
      <c r="F1073" s="56"/>
    </row>
    <row r="1074" spans="1:6">
      <c r="A1074" s="67"/>
      <c r="B1074" s="55"/>
      <c r="C1074" s="55"/>
      <c r="D1074" s="55"/>
      <c r="E1074" s="93"/>
      <c r="F1074" s="56"/>
    </row>
    <row r="1075" spans="1:6">
      <c r="A1075" s="67"/>
      <c r="B1075" s="55"/>
      <c r="C1075" s="55"/>
      <c r="D1075" s="55"/>
      <c r="E1075" s="93"/>
      <c r="F1075" s="56"/>
    </row>
    <row r="1076" spans="1:6">
      <c r="A1076" s="67"/>
      <c r="B1076" s="55"/>
      <c r="C1076" s="55"/>
      <c r="D1076" s="55"/>
      <c r="E1076" s="93"/>
      <c r="F1076" s="56"/>
    </row>
    <row r="1077" spans="1:6">
      <c r="A1077" s="67"/>
      <c r="B1077" s="55"/>
      <c r="C1077" s="55"/>
      <c r="D1077" s="55"/>
      <c r="E1077" s="93"/>
      <c r="F1077" s="56"/>
    </row>
    <row r="1078" spans="1:6">
      <c r="A1078" s="67"/>
      <c r="B1078" s="55"/>
      <c r="C1078" s="55"/>
      <c r="D1078" s="55"/>
      <c r="E1078" s="93"/>
      <c r="F1078" s="56"/>
    </row>
    <row r="1079" spans="1:6">
      <c r="A1079" s="67"/>
      <c r="B1079" s="55"/>
      <c r="C1079" s="55"/>
      <c r="D1079" s="55"/>
      <c r="E1079" s="93"/>
      <c r="F1079" s="56"/>
    </row>
    <row r="1080" spans="1:6">
      <c r="A1080" s="67"/>
      <c r="B1080" s="55"/>
      <c r="C1080" s="55"/>
      <c r="D1080" s="55"/>
      <c r="E1080" s="93"/>
      <c r="F1080" s="56"/>
    </row>
    <row r="1081" spans="1:6">
      <c r="A1081" s="67"/>
      <c r="B1081" s="55"/>
      <c r="C1081" s="55"/>
      <c r="D1081" s="55"/>
      <c r="E1081" s="93"/>
      <c r="F1081" s="56"/>
    </row>
    <row r="1082" spans="1:6">
      <c r="A1082" s="67"/>
      <c r="B1082" s="55"/>
      <c r="C1082" s="55"/>
      <c r="D1082" s="55"/>
      <c r="E1082" s="93"/>
      <c r="F1082" s="56"/>
    </row>
    <row r="1083" spans="1:6">
      <c r="A1083" s="67"/>
      <c r="B1083" s="55"/>
      <c r="C1083" s="55"/>
      <c r="D1083" s="55"/>
      <c r="E1083" s="93"/>
      <c r="F1083" s="56"/>
    </row>
    <row r="1084" spans="1:6">
      <c r="A1084" s="67"/>
      <c r="B1084" s="55"/>
      <c r="C1084" s="55"/>
      <c r="D1084" s="55"/>
      <c r="E1084" s="93"/>
      <c r="F1084" s="56"/>
    </row>
    <row r="1085" spans="1:6">
      <c r="A1085" s="67"/>
      <c r="B1085" s="55"/>
      <c r="C1085" s="55"/>
      <c r="D1085" s="55"/>
      <c r="E1085" s="93"/>
      <c r="F1085" s="56"/>
    </row>
    <row r="1086" spans="1:6">
      <c r="A1086" s="67"/>
      <c r="B1086" s="55"/>
      <c r="C1086" s="55"/>
      <c r="D1086" s="55"/>
      <c r="E1086" s="93"/>
      <c r="F1086" s="56"/>
    </row>
    <row r="1087" spans="1:6">
      <c r="A1087" s="67"/>
      <c r="B1087" s="55"/>
      <c r="C1087" s="55"/>
      <c r="D1087" s="55"/>
      <c r="E1087" s="93"/>
      <c r="F1087" s="56"/>
    </row>
    <row r="1088" spans="1:6">
      <c r="A1088" s="67"/>
      <c r="B1088" s="55"/>
      <c r="C1088" s="55"/>
      <c r="D1088" s="55"/>
      <c r="E1088" s="93"/>
      <c r="F1088" s="56"/>
    </row>
    <row r="1089" spans="1:6">
      <c r="A1089" s="67"/>
      <c r="B1089" s="55"/>
      <c r="C1089" s="55"/>
      <c r="D1089" s="55"/>
      <c r="E1089" s="93"/>
      <c r="F1089" s="56"/>
    </row>
    <row r="1090" spans="1:6">
      <c r="A1090" s="67"/>
      <c r="B1090" s="55"/>
      <c r="C1090" s="55"/>
      <c r="D1090" s="55"/>
      <c r="E1090" s="93"/>
      <c r="F1090" s="56"/>
    </row>
    <row r="1091" spans="1:6">
      <c r="A1091" s="67"/>
      <c r="B1091" s="55"/>
      <c r="C1091" s="55"/>
      <c r="D1091" s="55"/>
      <c r="E1091" s="93"/>
      <c r="F1091" s="56"/>
    </row>
    <row r="1092" spans="1:6">
      <c r="A1092" s="67"/>
      <c r="B1092" s="55"/>
      <c r="C1092" s="55"/>
      <c r="D1092" s="55"/>
      <c r="E1092" s="93"/>
      <c r="F1092" s="56"/>
    </row>
    <row r="1093" spans="1:6">
      <c r="A1093" s="67"/>
      <c r="B1093" s="55"/>
      <c r="C1093" s="55"/>
      <c r="D1093" s="55"/>
      <c r="E1093" s="93"/>
      <c r="F1093" s="56"/>
    </row>
    <row r="1094" spans="1:6">
      <c r="A1094" s="67"/>
      <c r="B1094" s="55"/>
      <c r="C1094" s="55"/>
      <c r="D1094" s="55"/>
      <c r="E1094" s="93"/>
      <c r="F1094" s="56"/>
    </row>
    <row r="1095" spans="1:6">
      <c r="A1095" s="67"/>
      <c r="B1095" s="55"/>
      <c r="C1095" s="55"/>
      <c r="D1095" s="55"/>
      <c r="E1095" s="93"/>
      <c r="F1095" s="56"/>
    </row>
    <row r="1096" spans="1:6">
      <c r="A1096" s="67"/>
      <c r="B1096" s="55"/>
      <c r="C1096" s="55"/>
      <c r="D1096" s="55"/>
      <c r="E1096" s="93"/>
      <c r="F1096" s="56"/>
    </row>
    <row r="1097" spans="1:6">
      <c r="A1097" s="67"/>
      <c r="B1097" s="55"/>
      <c r="C1097" s="55"/>
      <c r="D1097" s="55"/>
      <c r="E1097" s="93"/>
      <c r="F1097" s="56"/>
    </row>
    <row r="1098" spans="1:6">
      <c r="A1098" s="67"/>
      <c r="B1098" s="55"/>
      <c r="C1098" s="55"/>
      <c r="D1098" s="55"/>
      <c r="E1098" s="93"/>
      <c r="F1098" s="56"/>
    </row>
    <row r="1099" spans="1:6">
      <c r="A1099" s="67"/>
      <c r="B1099" s="55"/>
      <c r="C1099" s="55"/>
      <c r="D1099" s="55"/>
      <c r="E1099" s="93"/>
      <c r="F1099" s="56"/>
    </row>
    <row r="1100" spans="1:6">
      <c r="A1100" s="67"/>
      <c r="B1100" s="55"/>
      <c r="C1100" s="55"/>
      <c r="D1100" s="55"/>
      <c r="E1100" s="93"/>
      <c r="F1100" s="56"/>
    </row>
    <row r="1101" spans="1:6">
      <c r="A1101" s="67"/>
      <c r="B1101" s="55"/>
      <c r="C1101" s="55"/>
      <c r="D1101" s="55"/>
      <c r="E1101" s="93"/>
      <c r="F1101" s="56"/>
    </row>
    <row r="1102" spans="1:6">
      <c r="A1102" s="67"/>
      <c r="B1102" s="55"/>
      <c r="C1102" s="55"/>
      <c r="D1102" s="55"/>
      <c r="E1102" s="93"/>
      <c r="F1102" s="56"/>
    </row>
    <row r="1103" spans="1:6">
      <c r="A1103" s="67"/>
      <c r="B1103" s="55"/>
      <c r="C1103" s="55"/>
      <c r="D1103" s="55"/>
      <c r="E1103" s="93"/>
      <c r="F1103" s="56"/>
    </row>
    <row r="1104" spans="1:6">
      <c r="A1104" s="67"/>
      <c r="B1104" s="55"/>
      <c r="C1104" s="55"/>
      <c r="D1104" s="55"/>
      <c r="E1104" s="93"/>
      <c r="F1104" s="56"/>
    </row>
    <row r="1105" spans="1:6">
      <c r="A1105" s="67"/>
      <c r="B1105" s="55"/>
      <c r="C1105" s="55"/>
      <c r="D1105" s="55"/>
      <c r="E1105" s="93"/>
      <c r="F1105" s="56"/>
    </row>
    <row r="1106" spans="1:6">
      <c r="A1106" s="67"/>
      <c r="B1106" s="55"/>
      <c r="C1106" s="55"/>
      <c r="D1106" s="55"/>
      <c r="E1106" s="93"/>
      <c r="F1106" s="56"/>
    </row>
    <row r="1107" spans="1:6">
      <c r="A1107" s="67"/>
      <c r="B1107" s="55"/>
      <c r="C1107" s="55"/>
      <c r="D1107" s="55"/>
      <c r="E1107" s="93"/>
      <c r="F1107" s="56"/>
    </row>
    <row r="1108" spans="1:6">
      <c r="A1108" s="67"/>
      <c r="B1108" s="55"/>
      <c r="C1108" s="55"/>
      <c r="D1108" s="55"/>
      <c r="E1108" s="93"/>
      <c r="F1108" s="56"/>
    </row>
    <row r="1109" spans="1:6">
      <c r="A1109" s="67"/>
      <c r="B1109" s="55"/>
      <c r="C1109" s="55"/>
      <c r="D1109" s="55"/>
      <c r="E1109" s="93"/>
      <c r="F1109" s="56"/>
    </row>
    <row r="1110" spans="1:6">
      <c r="A1110" s="67"/>
      <c r="B1110" s="55"/>
      <c r="C1110" s="55"/>
      <c r="D1110" s="55"/>
      <c r="E1110" s="93"/>
      <c r="F1110" s="56"/>
    </row>
    <row r="1111" spans="1:6">
      <c r="A1111" s="67"/>
      <c r="B1111" s="55"/>
      <c r="C1111" s="55"/>
      <c r="D1111" s="55"/>
      <c r="E1111" s="93"/>
      <c r="F1111" s="56"/>
    </row>
    <row r="1112" spans="1:6">
      <c r="A1112" s="67"/>
      <c r="B1112" s="55"/>
      <c r="C1112" s="55"/>
      <c r="D1112" s="55"/>
      <c r="E1112" s="93"/>
      <c r="F1112" s="56"/>
    </row>
    <row r="1113" spans="1:6">
      <c r="A1113" s="67"/>
      <c r="B1113" s="55"/>
      <c r="C1113" s="55"/>
      <c r="D1113" s="55"/>
      <c r="E1113" s="93"/>
      <c r="F1113" s="56"/>
    </row>
    <row r="1114" spans="1:6">
      <c r="A1114" s="67"/>
      <c r="B1114" s="55"/>
      <c r="C1114" s="55"/>
      <c r="D1114" s="55"/>
      <c r="E1114" s="93"/>
      <c r="F1114" s="56"/>
    </row>
    <row r="1115" spans="1:6">
      <c r="A1115" s="67"/>
      <c r="B1115" s="55"/>
      <c r="C1115" s="55"/>
      <c r="D1115" s="55"/>
      <c r="E1115" s="93"/>
      <c r="F1115" s="56"/>
    </row>
    <row r="1116" spans="1:6">
      <c r="A1116" s="67"/>
      <c r="B1116" s="55"/>
      <c r="C1116" s="55"/>
      <c r="D1116" s="55"/>
      <c r="E1116" s="93"/>
      <c r="F1116" s="56"/>
    </row>
    <row r="1117" spans="1:6">
      <c r="A1117" s="67"/>
      <c r="B1117" s="55"/>
      <c r="C1117" s="55"/>
      <c r="D1117" s="55"/>
      <c r="E1117" s="93"/>
      <c r="F1117" s="56"/>
    </row>
    <row r="1118" spans="1:6">
      <c r="A1118" s="67"/>
      <c r="B1118" s="55"/>
      <c r="C1118" s="55"/>
      <c r="D1118" s="55"/>
      <c r="E1118" s="93"/>
      <c r="F1118" s="56"/>
    </row>
    <row r="1119" spans="1:6">
      <c r="A1119" s="67"/>
      <c r="B1119" s="55"/>
      <c r="C1119" s="55"/>
      <c r="D1119" s="55"/>
      <c r="E1119" s="93"/>
      <c r="F1119" s="56"/>
    </row>
    <row r="1120" spans="1:6">
      <c r="A1120" s="67"/>
      <c r="B1120" s="55"/>
      <c r="C1120" s="55"/>
      <c r="D1120" s="55"/>
      <c r="E1120" s="93"/>
      <c r="F1120" s="56"/>
    </row>
    <row r="1121" spans="1:6">
      <c r="A1121" s="67"/>
      <c r="B1121" s="55"/>
      <c r="C1121" s="55"/>
      <c r="D1121" s="55"/>
      <c r="E1121" s="93"/>
      <c r="F1121" s="56"/>
    </row>
    <row r="1122" spans="1:6">
      <c r="A1122" s="67"/>
      <c r="B1122" s="55"/>
      <c r="C1122" s="55"/>
      <c r="D1122" s="55"/>
      <c r="E1122" s="93"/>
      <c r="F1122" s="56"/>
    </row>
    <row r="1123" spans="1:6">
      <c r="A1123" s="67"/>
      <c r="B1123" s="55"/>
      <c r="C1123" s="55"/>
      <c r="D1123" s="55"/>
      <c r="E1123" s="93"/>
      <c r="F1123" s="56"/>
    </row>
    <row r="1124" spans="1:6">
      <c r="A1124" s="67"/>
      <c r="B1124" s="55"/>
      <c r="C1124" s="55"/>
      <c r="D1124" s="55"/>
      <c r="E1124" s="93"/>
      <c r="F1124" s="56"/>
    </row>
    <row r="1125" spans="1:6">
      <c r="A1125" s="67"/>
      <c r="B1125" s="55"/>
      <c r="C1125" s="55"/>
      <c r="D1125" s="55"/>
      <c r="E1125" s="93"/>
      <c r="F1125" s="56"/>
    </row>
    <row r="1126" spans="1:6">
      <c r="A1126" s="67"/>
      <c r="B1126" s="55"/>
      <c r="C1126" s="55"/>
      <c r="D1126" s="55"/>
      <c r="E1126" s="93"/>
      <c r="F1126" s="56"/>
    </row>
    <row r="1127" spans="1:6">
      <c r="A1127" s="67"/>
      <c r="B1127" s="55"/>
      <c r="C1127" s="55"/>
      <c r="D1127" s="55"/>
      <c r="E1127" s="93"/>
      <c r="F1127" s="56"/>
    </row>
    <row r="1128" spans="1:6">
      <c r="A1128" s="67"/>
      <c r="B1128" s="55"/>
      <c r="C1128" s="55"/>
      <c r="D1128" s="55"/>
      <c r="E1128" s="93"/>
      <c r="F1128" s="56"/>
    </row>
    <row r="1129" spans="1:6">
      <c r="A1129" s="67"/>
      <c r="B1129" s="55"/>
      <c r="C1129" s="55"/>
      <c r="D1129" s="55"/>
      <c r="E1129" s="93"/>
      <c r="F1129" s="56"/>
    </row>
    <row r="1130" spans="1:6">
      <c r="A1130" s="67"/>
      <c r="B1130" s="55"/>
      <c r="C1130" s="55"/>
      <c r="D1130" s="55"/>
      <c r="E1130" s="93"/>
      <c r="F1130" s="56"/>
    </row>
    <row r="1131" spans="1:6">
      <c r="A1131" s="67"/>
      <c r="B1131" s="55"/>
      <c r="C1131" s="55"/>
      <c r="D1131" s="55"/>
      <c r="E1131" s="93"/>
      <c r="F1131" s="56"/>
    </row>
    <row r="1132" spans="1:6">
      <c r="A1132" s="67"/>
      <c r="B1132" s="55"/>
      <c r="C1132" s="55"/>
      <c r="D1132" s="55"/>
      <c r="E1132" s="93"/>
      <c r="F1132" s="56"/>
    </row>
    <row r="1133" spans="1:6">
      <c r="A1133" s="67"/>
      <c r="B1133" s="55"/>
      <c r="C1133" s="55"/>
      <c r="D1133" s="55"/>
      <c r="E1133" s="93"/>
      <c r="F1133" s="56"/>
    </row>
    <row r="1134" spans="1:6">
      <c r="A1134" s="67"/>
      <c r="B1134" s="55"/>
      <c r="C1134" s="55"/>
      <c r="D1134" s="55"/>
      <c r="E1134" s="93"/>
      <c r="F1134" s="56"/>
    </row>
    <row r="1135" spans="1:6">
      <c r="A1135" s="67"/>
      <c r="B1135" s="55"/>
      <c r="C1135" s="55"/>
      <c r="D1135" s="55"/>
      <c r="E1135" s="93"/>
      <c r="F1135" s="56"/>
    </row>
    <row r="1136" spans="1:6">
      <c r="A1136" s="67"/>
      <c r="B1136" s="55"/>
      <c r="C1136" s="55"/>
      <c r="D1136" s="55"/>
      <c r="E1136" s="93"/>
      <c r="F1136" s="56"/>
    </row>
    <row r="1137" spans="1:6">
      <c r="A1137" s="67"/>
      <c r="B1137" s="55"/>
      <c r="C1137" s="55"/>
      <c r="D1137" s="55"/>
      <c r="E1137" s="93"/>
      <c r="F1137" s="56"/>
    </row>
    <row r="1138" spans="1:6">
      <c r="A1138" s="67"/>
      <c r="B1138" s="55"/>
      <c r="C1138" s="55"/>
      <c r="D1138" s="55"/>
      <c r="E1138" s="93"/>
      <c r="F1138" s="56"/>
    </row>
    <row r="1139" spans="1:6">
      <c r="A1139" s="67"/>
      <c r="B1139" s="55"/>
      <c r="C1139" s="55"/>
      <c r="D1139" s="55"/>
      <c r="E1139" s="93"/>
      <c r="F1139" s="56"/>
    </row>
    <row r="1140" spans="1:6">
      <c r="A1140" s="67"/>
      <c r="B1140" s="55"/>
      <c r="C1140" s="55"/>
      <c r="D1140" s="55"/>
      <c r="E1140" s="93"/>
      <c r="F1140" s="56"/>
    </row>
    <row r="1141" spans="1:6">
      <c r="A1141" s="67"/>
      <c r="B1141" s="55"/>
      <c r="C1141" s="55"/>
      <c r="D1141" s="55"/>
      <c r="E1141" s="93"/>
      <c r="F1141" s="56"/>
    </row>
    <row r="1142" spans="1:6">
      <c r="A1142" s="67"/>
      <c r="B1142" s="55"/>
      <c r="C1142" s="55"/>
      <c r="D1142" s="55"/>
      <c r="E1142" s="93"/>
      <c r="F1142" s="56"/>
    </row>
    <row r="1143" spans="1:6">
      <c r="A1143" s="67"/>
      <c r="B1143" s="55"/>
      <c r="C1143" s="55"/>
      <c r="D1143" s="55"/>
      <c r="E1143" s="93"/>
      <c r="F1143" s="56"/>
    </row>
    <row r="1144" spans="1:6">
      <c r="A1144" s="67"/>
      <c r="B1144" s="55"/>
      <c r="C1144" s="55"/>
      <c r="D1144" s="55"/>
      <c r="E1144" s="93"/>
      <c r="F1144" s="56"/>
    </row>
    <row r="1145" spans="1:6">
      <c r="A1145" s="67"/>
      <c r="B1145" s="55"/>
      <c r="C1145" s="55"/>
      <c r="D1145" s="55"/>
      <c r="E1145" s="93"/>
      <c r="F1145" s="56"/>
    </row>
    <row r="1146" spans="1:6">
      <c r="A1146" s="67"/>
      <c r="B1146" s="55"/>
      <c r="C1146" s="55"/>
      <c r="D1146" s="55"/>
      <c r="E1146" s="93"/>
      <c r="F1146" s="56"/>
    </row>
    <row r="1147" spans="1:6">
      <c r="A1147" s="67"/>
      <c r="B1147" s="55"/>
      <c r="C1147" s="55"/>
      <c r="D1147" s="55"/>
      <c r="E1147" s="93"/>
      <c r="F1147" s="56"/>
    </row>
    <row r="1148" spans="1:6">
      <c r="A1148" s="67"/>
      <c r="B1148" s="55"/>
      <c r="C1148" s="55"/>
      <c r="D1148" s="55"/>
      <c r="E1148" s="93"/>
      <c r="F1148" s="56"/>
    </row>
    <row r="1149" spans="1:6">
      <c r="A1149" s="67"/>
      <c r="B1149" s="55"/>
      <c r="C1149" s="55"/>
      <c r="D1149" s="55"/>
      <c r="E1149" s="93"/>
      <c r="F1149" s="56"/>
    </row>
    <row r="1150" spans="1:6">
      <c r="A1150" s="67"/>
      <c r="B1150" s="55"/>
      <c r="C1150" s="55"/>
      <c r="D1150" s="55"/>
      <c r="E1150" s="93"/>
      <c r="F1150" s="56"/>
    </row>
    <row r="1151" spans="1:6">
      <c r="A1151" s="67"/>
      <c r="B1151" s="55"/>
      <c r="C1151" s="55"/>
      <c r="D1151" s="55"/>
      <c r="E1151" s="93"/>
      <c r="F1151" s="56"/>
    </row>
    <row r="1152" spans="1:6">
      <c r="A1152" s="67"/>
      <c r="B1152" s="55"/>
      <c r="C1152" s="55"/>
      <c r="D1152" s="55"/>
      <c r="E1152" s="93"/>
      <c r="F1152" s="56"/>
    </row>
    <row r="1153" spans="1:6">
      <c r="A1153" s="67"/>
      <c r="B1153" s="55"/>
      <c r="C1153" s="55"/>
      <c r="D1153" s="55"/>
      <c r="E1153" s="93"/>
      <c r="F1153" s="56"/>
    </row>
    <row r="1154" spans="1:6">
      <c r="A1154" s="67"/>
      <c r="B1154" s="55"/>
      <c r="C1154" s="55"/>
      <c r="D1154" s="55"/>
      <c r="E1154" s="93"/>
      <c r="F1154" s="56"/>
    </row>
    <row r="1155" spans="1:6">
      <c r="A1155" s="67"/>
      <c r="B1155" s="55"/>
      <c r="C1155" s="55"/>
      <c r="D1155" s="55"/>
      <c r="E1155" s="93"/>
      <c r="F1155" s="56"/>
    </row>
    <row r="1156" spans="1:6">
      <c r="A1156" s="67"/>
      <c r="B1156" s="55"/>
      <c r="C1156" s="55"/>
      <c r="D1156" s="55"/>
      <c r="E1156" s="93"/>
      <c r="F1156" s="56"/>
    </row>
    <row r="1157" spans="1:6">
      <c r="A1157" s="67"/>
      <c r="B1157" s="55"/>
      <c r="C1157" s="55"/>
      <c r="D1157" s="55"/>
      <c r="E1157" s="93"/>
      <c r="F1157" s="56"/>
    </row>
    <row r="1158" spans="1:6">
      <c r="A1158" s="67"/>
      <c r="B1158" s="55"/>
      <c r="C1158" s="55"/>
      <c r="D1158" s="55"/>
      <c r="E1158" s="93"/>
      <c r="F1158" s="56"/>
    </row>
    <row r="1159" spans="1:6">
      <c r="A1159" s="67"/>
      <c r="B1159" s="55"/>
      <c r="C1159" s="55"/>
      <c r="D1159" s="55"/>
      <c r="E1159" s="93"/>
      <c r="F1159" s="56"/>
    </row>
    <row r="1160" spans="1:6">
      <c r="A1160" s="67"/>
      <c r="B1160" s="55"/>
      <c r="C1160" s="55"/>
      <c r="D1160" s="55"/>
      <c r="E1160" s="93"/>
      <c r="F1160" s="56"/>
    </row>
    <row r="1161" spans="1:6">
      <c r="A1161" s="67"/>
      <c r="B1161" s="55"/>
      <c r="C1161" s="55"/>
      <c r="D1161" s="55"/>
      <c r="E1161" s="93"/>
      <c r="F1161" s="56"/>
    </row>
    <row r="1162" spans="1:6">
      <c r="A1162" s="67"/>
      <c r="B1162" s="55"/>
      <c r="C1162" s="55"/>
      <c r="D1162" s="55"/>
      <c r="E1162" s="93"/>
      <c r="F1162" s="56"/>
    </row>
    <row r="1163" spans="1:6">
      <c r="A1163" s="67"/>
      <c r="B1163" s="55"/>
      <c r="C1163" s="55"/>
      <c r="D1163" s="55"/>
      <c r="E1163" s="93"/>
      <c r="F1163" s="56"/>
    </row>
    <row r="1164" spans="1:6">
      <c r="A1164" s="67"/>
      <c r="B1164" s="55"/>
      <c r="C1164" s="55"/>
      <c r="D1164" s="55"/>
      <c r="E1164" s="93"/>
      <c r="F1164" s="56"/>
    </row>
    <row r="1165" spans="1:6">
      <c r="A1165" s="67"/>
      <c r="B1165" s="55"/>
      <c r="C1165" s="55"/>
      <c r="D1165" s="55"/>
      <c r="E1165" s="93"/>
      <c r="F1165" s="56"/>
    </row>
    <row r="1166" spans="1:6">
      <c r="A1166" s="67"/>
      <c r="B1166" s="55"/>
      <c r="C1166" s="55"/>
      <c r="D1166" s="55"/>
      <c r="E1166" s="93"/>
      <c r="F1166" s="56"/>
    </row>
    <row r="1167" spans="1:6">
      <c r="A1167" s="67"/>
      <c r="B1167" s="55"/>
      <c r="C1167" s="55"/>
      <c r="D1167" s="55"/>
      <c r="E1167" s="93"/>
      <c r="F1167" s="56"/>
    </row>
    <row r="1168" spans="1:6">
      <c r="A1168" s="67"/>
      <c r="B1168" s="55"/>
      <c r="C1168" s="55"/>
      <c r="D1168" s="55"/>
      <c r="E1168" s="93"/>
      <c r="F1168" s="56"/>
    </row>
    <row r="1169" spans="1:6">
      <c r="A1169" s="67"/>
      <c r="B1169" s="55"/>
      <c r="C1169" s="55"/>
      <c r="D1169" s="55"/>
      <c r="E1169" s="93"/>
      <c r="F1169" s="56"/>
    </row>
    <row r="1170" spans="1:6">
      <c r="A1170" s="67"/>
      <c r="B1170" s="55"/>
      <c r="C1170" s="55"/>
      <c r="D1170" s="55"/>
      <c r="E1170" s="93"/>
      <c r="F1170" s="56"/>
    </row>
    <row r="1171" spans="1:6">
      <c r="A1171" s="67"/>
      <c r="B1171" s="55"/>
      <c r="C1171" s="55"/>
      <c r="D1171" s="55"/>
      <c r="E1171" s="93"/>
      <c r="F1171" s="56"/>
    </row>
    <row r="1172" spans="1:6">
      <c r="A1172" s="67"/>
      <c r="B1172" s="55"/>
      <c r="C1172" s="55"/>
      <c r="D1172" s="55"/>
      <c r="E1172" s="93"/>
      <c r="F1172" s="56"/>
    </row>
    <row r="1173" spans="1:6">
      <c r="A1173" s="67"/>
      <c r="B1173" s="55"/>
      <c r="C1173" s="55"/>
      <c r="D1173" s="55"/>
      <c r="E1173" s="93"/>
      <c r="F1173" s="56"/>
    </row>
    <row r="1174" spans="1:6">
      <c r="A1174" s="67"/>
      <c r="B1174" s="55"/>
      <c r="C1174" s="55"/>
      <c r="D1174" s="55"/>
      <c r="E1174" s="93"/>
      <c r="F1174" s="56"/>
    </row>
    <row r="1175" spans="1:6">
      <c r="A1175" s="67"/>
      <c r="B1175" s="55"/>
      <c r="C1175" s="55"/>
      <c r="D1175" s="55"/>
      <c r="E1175" s="93"/>
      <c r="F1175" s="56"/>
    </row>
    <row r="1176" spans="1:6">
      <c r="A1176" s="67"/>
      <c r="B1176" s="55"/>
      <c r="C1176" s="55"/>
      <c r="D1176" s="55"/>
      <c r="E1176" s="93"/>
      <c r="F1176" s="56"/>
    </row>
    <row r="1177" spans="1:6">
      <c r="A1177" s="67"/>
      <c r="B1177" s="55"/>
      <c r="C1177" s="55"/>
      <c r="D1177" s="55"/>
      <c r="E1177" s="93"/>
      <c r="F1177" s="56"/>
    </row>
    <row r="1178" spans="1:6">
      <c r="A1178" s="67"/>
      <c r="B1178" s="55"/>
      <c r="C1178" s="55"/>
      <c r="D1178" s="55"/>
      <c r="E1178" s="93"/>
      <c r="F1178" s="56"/>
    </row>
    <row r="1179" spans="1:6">
      <c r="A1179" s="67"/>
      <c r="B1179" s="55"/>
      <c r="C1179" s="55"/>
      <c r="D1179" s="55"/>
      <c r="E1179" s="93"/>
      <c r="F1179" s="56"/>
    </row>
    <row r="1180" spans="1:6">
      <c r="A1180" s="67"/>
      <c r="B1180" s="55"/>
      <c r="C1180" s="55"/>
      <c r="D1180" s="55"/>
      <c r="E1180" s="93"/>
      <c r="F1180" s="56"/>
    </row>
    <row r="1181" spans="1:6">
      <c r="A1181" s="67"/>
      <c r="B1181" s="55"/>
      <c r="C1181" s="55"/>
      <c r="D1181" s="55"/>
      <c r="E1181" s="93"/>
      <c r="F1181" s="56"/>
    </row>
    <row r="1182" spans="1:6">
      <c r="A1182" s="67"/>
      <c r="B1182" s="55"/>
      <c r="C1182" s="55"/>
      <c r="D1182" s="55"/>
      <c r="E1182" s="93"/>
      <c r="F1182" s="56"/>
    </row>
    <row r="1183" spans="1:6">
      <c r="A1183" s="67"/>
      <c r="B1183" s="55"/>
      <c r="C1183" s="55"/>
      <c r="D1183" s="55"/>
      <c r="E1183" s="93"/>
      <c r="F1183" s="56"/>
    </row>
    <row r="1184" spans="1:6">
      <c r="A1184" s="67"/>
      <c r="B1184" s="55"/>
      <c r="C1184" s="55"/>
      <c r="D1184" s="55"/>
      <c r="E1184" s="93"/>
      <c r="F1184" s="56"/>
    </row>
    <row r="1185" spans="1:6">
      <c r="A1185" s="67"/>
      <c r="B1185" s="55"/>
      <c r="C1185" s="55"/>
      <c r="D1185" s="55"/>
      <c r="E1185" s="93"/>
      <c r="F1185" s="56"/>
    </row>
    <row r="1186" spans="1:6">
      <c r="A1186" s="67"/>
      <c r="B1186" s="55"/>
      <c r="C1186" s="55"/>
      <c r="D1186" s="55"/>
      <c r="E1186" s="93"/>
      <c r="F1186" s="56"/>
    </row>
    <row r="1187" spans="1:6">
      <c r="A1187" s="67"/>
      <c r="B1187" s="55"/>
      <c r="C1187" s="55"/>
      <c r="D1187" s="55"/>
      <c r="E1187" s="93"/>
      <c r="F1187" s="56"/>
    </row>
    <row r="1188" spans="1:6">
      <c r="A1188" s="67"/>
      <c r="B1188" s="55"/>
      <c r="C1188" s="55"/>
      <c r="D1188" s="55"/>
      <c r="E1188" s="93"/>
      <c r="F1188" s="56"/>
    </row>
    <row r="1189" spans="1:6">
      <c r="A1189" s="67"/>
      <c r="B1189" s="55"/>
      <c r="C1189" s="55"/>
      <c r="D1189" s="55"/>
      <c r="E1189" s="93"/>
      <c r="F1189" s="56"/>
    </row>
    <row r="1190" spans="1:6">
      <c r="A1190" s="67"/>
      <c r="B1190" s="55"/>
      <c r="C1190" s="55"/>
      <c r="D1190" s="55"/>
      <c r="E1190" s="93"/>
      <c r="F1190" s="56"/>
    </row>
    <row r="1191" spans="1:6">
      <c r="A1191" s="67"/>
      <c r="B1191" s="55"/>
      <c r="C1191" s="55"/>
      <c r="D1191" s="55"/>
      <c r="E1191" s="93"/>
      <c r="F1191" s="56"/>
    </row>
    <row r="1192" spans="1:6">
      <c r="A1192" s="67"/>
      <c r="B1192" s="55"/>
      <c r="C1192" s="55"/>
      <c r="D1192" s="55"/>
      <c r="E1192" s="93"/>
      <c r="F1192" s="56"/>
    </row>
    <row r="1193" spans="1:6">
      <c r="A1193" s="67"/>
      <c r="B1193" s="55"/>
      <c r="C1193" s="55"/>
      <c r="D1193" s="55"/>
      <c r="E1193" s="93"/>
      <c r="F1193" s="56"/>
    </row>
    <row r="1194" spans="1:6">
      <c r="A1194" s="67"/>
      <c r="B1194" s="55"/>
      <c r="C1194" s="55"/>
      <c r="D1194" s="55"/>
      <c r="E1194" s="93"/>
      <c r="F1194" s="56"/>
    </row>
    <row r="1195" spans="1:6">
      <c r="A1195" s="67"/>
      <c r="B1195" s="55"/>
      <c r="C1195" s="55"/>
      <c r="D1195" s="55"/>
      <c r="E1195" s="93"/>
      <c r="F1195" s="56"/>
    </row>
    <row r="1196" spans="1:6">
      <c r="A1196" s="67"/>
      <c r="B1196" s="55"/>
      <c r="C1196" s="55"/>
      <c r="D1196" s="55"/>
      <c r="E1196" s="93"/>
      <c r="F1196" s="56"/>
    </row>
    <row r="1197" spans="1:6">
      <c r="A1197" s="67"/>
      <c r="B1197" s="55"/>
      <c r="C1197" s="55"/>
      <c r="D1197" s="55"/>
      <c r="E1197" s="93"/>
      <c r="F1197" s="56"/>
    </row>
    <row r="1198" spans="1:6">
      <c r="A1198" s="67"/>
      <c r="B1198" s="55"/>
      <c r="C1198" s="55"/>
      <c r="D1198" s="55"/>
      <c r="E1198" s="93"/>
      <c r="F1198" s="56"/>
    </row>
    <row r="1199" spans="1:6">
      <c r="A1199" s="67"/>
      <c r="B1199" s="55"/>
      <c r="C1199" s="55"/>
      <c r="D1199" s="55"/>
      <c r="E1199" s="93"/>
      <c r="F1199" s="56"/>
    </row>
    <row r="1200" spans="1:6">
      <c r="A1200" s="67"/>
      <c r="B1200" s="55"/>
      <c r="C1200" s="55"/>
      <c r="D1200" s="55"/>
      <c r="E1200" s="93"/>
      <c r="F1200" s="56"/>
    </row>
    <row r="1201" spans="1:6">
      <c r="A1201" s="67"/>
      <c r="B1201" s="55"/>
      <c r="C1201" s="55"/>
      <c r="D1201" s="55"/>
      <c r="E1201" s="93"/>
      <c r="F1201" s="56"/>
    </row>
    <row r="1202" spans="1:6">
      <c r="A1202" s="67"/>
      <c r="B1202" s="55"/>
      <c r="C1202" s="55"/>
      <c r="D1202" s="55"/>
      <c r="E1202" s="93"/>
      <c r="F1202" s="56"/>
    </row>
    <row r="1203" spans="1:6">
      <c r="A1203" s="67"/>
      <c r="B1203" s="55"/>
      <c r="C1203" s="55"/>
      <c r="D1203" s="55"/>
      <c r="E1203" s="93"/>
      <c r="F1203" s="56"/>
    </row>
    <row r="1204" spans="1:6">
      <c r="A1204" s="67"/>
      <c r="B1204" s="55"/>
      <c r="C1204" s="55"/>
      <c r="D1204" s="55"/>
      <c r="E1204" s="93"/>
      <c r="F1204" s="56"/>
    </row>
    <row r="1205" spans="1:6">
      <c r="A1205" s="67"/>
      <c r="B1205" s="55"/>
      <c r="C1205" s="55"/>
      <c r="D1205" s="55"/>
      <c r="E1205" s="93"/>
      <c r="F1205" s="56"/>
    </row>
    <row r="1206" spans="1:6">
      <c r="A1206" s="67"/>
      <c r="B1206" s="55"/>
      <c r="C1206" s="55"/>
      <c r="D1206" s="55"/>
      <c r="E1206" s="93"/>
      <c r="F1206" s="56"/>
    </row>
    <row r="1207" spans="1:6">
      <c r="A1207" s="67"/>
      <c r="B1207" s="55"/>
      <c r="C1207" s="55"/>
      <c r="D1207" s="55"/>
      <c r="E1207" s="93"/>
      <c r="F1207" s="56"/>
    </row>
    <row r="1208" spans="1:6">
      <c r="A1208" s="67"/>
      <c r="B1208" s="55"/>
      <c r="C1208" s="55"/>
      <c r="D1208" s="55"/>
      <c r="E1208" s="93"/>
      <c r="F1208" s="56"/>
    </row>
    <row r="1209" spans="1:6">
      <c r="A1209" s="67"/>
      <c r="B1209" s="55"/>
      <c r="C1209" s="55"/>
      <c r="D1209" s="55"/>
      <c r="E1209" s="93"/>
      <c r="F1209" s="56"/>
    </row>
    <row r="1210" spans="1:6">
      <c r="A1210" s="67"/>
      <c r="B1210" s="55"/>
      <c r="C1210" s="55"/>
      <c r="D1210" s="55"/>
      <c r="E1210" s="93"/>
      <c r="F1210" s="56"/>
    </row>
    <row r="1211" spans="1:6">
      <c r="A1211" s="67"/>
      <c r="B1211" s="55"/>
      <c r="C1211" s="55"/>
      <c r="D1211" s="55"/>
      <c r="E1211" s="93"/>
      <c r="F1211" s="56"/>
    </row>
    <row r="1212" spans="1:6">
      <c r="A1212" s="67"/>
      <c r="B1212" s="55"/>
      <c r="C1212" s="55"/>
      <c r="D1212" s="55"/>
      <c r="E1212" s="93"/>
      <c r="F1212" s="56"/>
    </row>
    <row r="1213" spans="1:6">
      <c r="A1213" s="67"/>
      <c r="B1213" s="55"/>
      <c r="C1213" s="55"/>
      <c r="D1213" s="55"/>
      <c r="E1213" s="93"/>
      <c r="F1213" s="56"/>
    </row>
    <row r="1214" spans="1:6">
      <c r="A1214" s="67"/>
      <c r="B1214" s="55"/>
      <c r="C1214" s="55"/>
      <c r="D1214" s="55"/>
      <c r="E1214" s="93"/>
      <c r="F1214" s="56"/>
    </row>
    <row r="1215" spans="1:6">
      <c r="A1215" s="67"/>
      <c r="B1215" s="55"/>
      <c r="C1215" s="55"/>
      <c r="D1215" s="55"/>
      <c r="E1215" s="93"/>
      <c r="F1215" s="56"/>
    </row>
    <row r="1216" spans="1:6">
      <c r="A1216" s="67"/>
      <c r="B1216" s="55"/>
      <c r="C1216" s="55"/>
      <c r="D1216" s="55"/>
      <c r="E1216" s="93"/>
      <c r="F1216" s="56"/>
    </row>
    <row r="1217" spans="1:6">
      <c r="A1217" s="67"/>
      <c r="B1217" s="55"/>
      <c r="C1217" s="55"/>
      <c r="D1217" s="55"/>
      <c r="E1217" s="93"/>
      <c r="F1217" s="56"/>
    </row>
    <row r="1218" spans="1:6">
      <c r="A1218" s="67"/>
      <c r="B1218" s="55"/>
      <c r="C1218" s="55"/>
      <c r="D1218" s="55"/>
      <c r="E1218" s="93"/>
      <c r="F1218" s="56"/>
    </row>
    <row r="1219" spans="1:6">
      <c r="A1219" s="67"/>
      <c r="B1219" s="55"/>
      <c r="C1219" s="55"/>
      <c r="D1219" s="55"/>
      <c r="E1219" s="93"/>
      <c r="F1219" s="56"/>
    </row>
    <row r="1220" spans="1:6">
      <c r="A1220" s="67"/>
      <c r="B1220" s="55"/>
      <c r="C1220" s="55"/>
      <c r="D1220" s="55"/>
      <c r="E1220" s="93"/>
      <c r="F1220" s="56"/>
    </row>
    <row r="1221" spans="1:6">
      <c r="A1221" s="67"/>
      <c r="B1221" s="55"/>
      <c r="C1221" s="55"/>
      <c r="D1221" s="55"/>
      <c r="E1221" s="93"/>
      <c r="F1221" s="56"/>
    </row>
    <row r="1222" spans="1:6">
      <c r="A1222" s="67"/>
      <c r="B1222" s="55"/>
      <c r="C1222" s="55"/>
      <c r="D1222" s="55"/>
      <c r="E1222" s="93"/>
      <c r="F1222" s="56"/>
    </row>
    <row r="1223" spans="1:6">
      <c r="A1223" s="67"/>
      <c r="B1223" s="55"/>
      <c r="C1223" s="55"/>
      <c r="D1223" s="55"/>
      <c r="E1223" s="93"/>
      <c r="F1223" s="56"/>
    </row>
    <row r="1224" spans="1:6">
      <c r="A1224" s="67"/>
      <c r="B1224" s="55"/>
      <c r="C1224" s="55"/>
      <c r="D1224" s="55"/>
      <c r="E1224" s="93"/>
      <c r="F1224" s="56"/>
    </row>
    <row r="1225" spans="1:6">
      <c r="A1225" s="67"/>
      <c r="B1225" s="55"/>
      <c r="C1225" s="55"/>
      <c r="D1225" s="55"/>
      <c r="E1225" s="93"/>
      <c r="F1225" s="56"/>
    </row>
    <row r="1226" spans="1:6">
      <c r="A1226" s="67"/>
      <c r="B1226" s="55"/>
      <c r="C1226" s="55"/>
      <c r="D1226" s="55"/>
      <c r="E1226" s="93"/>
      <c r="F1226" s="56"/>
    </row>
    <row r="1227" spans="1:6">
      <c r="A1227" s="67"/>
      <c r="B1227" s="55"/>
      <c r="C1227" s="55"/>
      <c r="D1227" s="55"/>
      <c r="E1227" s="93"/>
      <c r="F1227" s="56"/>
    </row>
    <row r="1228" spans="1:6">
      <c r="A1228" s="67"/>
      <c r="B1228" s="55"/>
      <c r="C1228" s="55"/>
      <c r="D1228" s="55"/>
      <c r="E1228" s="93"/>
      <c r="F1228" s="56"/>
    </row>
    <row r="1229" spans="1:6">
      <c r="A1229" s="67"/>
      <c r="B1229" s="55"/>
      <c r="C1229" s="55"/>
      <c r="D1229" s="55"/>
      <c r="E1229" s="93"/>
      <c r="F1229" s="56"/>
    </row>
    <row r="1230" spans="1:6">
      <c r="A1230" s="67"/>
      <c r="B1230" s="55"/>
      <c r="C1230" s="55"/>
      <c r="D1230" s="55"/>
      <c r="E1230" s="93"/>
      <c r="F1230" s="56"/>
    </row>
    <row r="1231" spans="1:6">
      <c r="A1231" s="67"/>
      <c r="B1231" s="55"/>
      <c r="C1231" s="55"/>
      <c r="D1231" s="55"/>
      <c r="E1231" s="93"/>
      <c r="F1231" s="56"/>
    </row>
    <row r="1232" spans="1:6">
      <c r="A1232" s="67"/>
      <c r="B1232" s="55"/>
      <c r="C1232" s="55"/>
      <c r="D1232" s="55"/>
      <c r="E1232" s="93"/>
      <c r="F1232" s="56"/>
    </row>
    <row r="1233" spans="1:6">
      <c r="A1233" s="67"/>
      <c r="B1233" s="55"/>
      <c r="C1233" s="55"/>
      <c r="D1233" s="55"/>
      <c r="E1233" s="93"/>
      <c r="F1233" s="56"/>
    </row>
    <row r="1234" spans="1:6">
      <c r="A1234" s="67"/>
      <c r="B1234" s="55"/>
      <c r="C1234" s="55"/>
      <c r="D1234" s="55"/>
      <c r="E1234" s="93"/>
      <c r="F1234" s="56"/>
    </row>
    <row r="1235" spans="1:6">
      <c r="A1235" s="67"/>
      <c r="B1235" s="55"/>
      <c r="C1235" s="55"/>
      <c r="D1235" s="55"/>
      <c r="E1235" s="93"/>
      <c r="F1235" s="56"/>
    </row>
    <row r="1236" spans="1:6">
      <c r="A1236" s="67"/>
      <c r="B1236" s="55"/>
      <c r="C1236" s="55"/>
      <c r="D1236" s="55"/>
      <c r="E1236" s="93"/>
      <c r="F1236" s="56"/>
    </row>
    <row r="1237" spans="1:6">
      <c r="A1237" s="67"/>
      <c r="B1237" s="55"/>
      <c r="C1237" s="55"/>
      <c r="D1237" s="55"/>
      <c r="E1237" s="93"/>
      <c r="F1237" s="56"/>
    </row>
    <row r="1238" spans="1:6">
      <c r="A1238" s="67"/>
      <c r="B1238" s="55"/>
      <c r="C1238" s="55"/>
      <c r="D1238" s="55"/>
      <c r="E1238" s="93"/>
      <c r="F1238" s="56"/>
    </row>
    <row r="1239" spans="1:6">
      <c r="A1239" s="67"/>
      <c r="B1239" s="55"/>
      <c r="C1239" s="55"/>
      <c r="D1239" s="55"/>
      <c r="E1239" s="93"/>
      <c r="F1239" s="56"/>
    </row>
    <row r="1240" spans="1:6">
      <c r="A1240" s="67"/>
      <c r="B1240" s="55"/>
      <c r="C1240" s="55"/>
      <c r="D1240" s="55"/>
      <c r="E1240" s="93"/>
      <c r="F1240" s="56"/>
    </row>
    <row r="1241" spans="1:6">
      <c r="A1241" s="67"/>
      <c r="B1241" s="55"/>
      <c r="C1241" s="55"/>
      <c r="D1241" s="55"/>
      <c r="E1241" s="93"/>
      <c r="F1241" s="56"/>
    </row>
    <row r="1242" spans="1:6">
      <c r="A1242" s="67"/>
      <c r="B1242" s="55"/>
      <c r="C1242" s="55"/>
      <c r="D1242" s="55"/>
      <c r="E1242" s="93"/>
      <c r="F1242" s="56"/>
    </row>
    <row r="1243" spans="1:6">
      <c r="A1243" s="67"/>
      <c r="B1243" s="55"/>
      <c r="C1243" s="55"/>
      <c r="D1243" s="55"/>
      <c r="E1243" s="93"/>
      <c r="F1243" s="56"/>
    </row>
    <row r="1244" spans="1:6">
      <c r="A1244" s="67"/>
      <c r="B1244" s="55"/>
      <c r="C1244" s="55"/>
      <c r="D1244" s="55"/>
      <c r="E1244" s="93"/>
      <c r="F1244" s="56"/>
    </row>
    <row r="1245" spans="1:6">
      <c r="A1245" s="67"/>
      <c r="B1245" s="55"/>
      <c r="C1245" s="55"/>
      <c r="D1245" s="55"/>
      <c r="E1245" s="93"/>
      <c r="F1245" s="56"/>
    </row>
    <row r="1246" spans="1:6">
      <c r="A1246" s="67"/>
      <c r="B1246" s="55"/>
      <c r="C1246" s="55"/>
      <c r="D1246" s="55"/>
      <c r="E1246" s="93"/>
      <c r="F1246" s="56"/>
    </row>
    <row r="1247" spans="1:6">
      <c r="A1247" s="67"/>
      <c r="B1247" s="55"/>
      <c r="C1247" s="55"/>
      <c r="D1247" s="55"/>
      <c r="E1247" s="93"/>
      <c r="F1247" s="56"/>
    </row>
    <row r="1248" spans="1:6">
      <c r="A1248" s="67"/>
      <c r="B1248" s="55"/>
      <c r="C1248" s="55"/>
      <c r="D1248" s="55"/>
      <c r="E1248" s="93"/>
      <c r="F1248" s="56"/>
    </row>
    <row r="1249" spans="1:6">
      <c r="A1249" s="67"/>
      <c r="B1249" s="55"/>
      <c r="C1249" s="55"/>
      <c r="D1249" s="55"/>
      <c r="E1249" s="93"/>
      <c r="F1249" s="56"/>
    </row>
    <row r="1250" spans="1:6">
      <c r="A1250" s="67"/>
      <c r="B1250" s="55"/>
      <c r="C1250" s="55"/>
      <c r="D1250" s="55"/>
      <c r="E1250" s="93"/>
      <c r="F1250" s="56"/>
    </row>
    <row r="1251" spans="1:6">
      <c r="A1251" s="67"/>
      <c r="B1251" s="55"/>
      <c r="C1251" s="55"/>
      <c r="D1251" s="55"/>
      <c r="E1251" s="93"/>
      <c r="F1251" s="56"/>
    </row>
    <row r="1252" spans="1:6">
      <c r="A1252" s="67"/>
      <c r="B1252" s="55"/>
      <c r="C1252" s="55"/>
      <c r="D1252" s="55"/>
      <c r="E1252" s="93"/>
      <c r="F1252" s="56"/>
    </row>
    <row r="1253" spans="1:6">
      <c r="A1253" s="67"/>
      <c r="B1253" s="55"/>
      <c r="C1253" s="55"/>
      <c r="D1253" s="55"/>
      <c r="E1253" s="93"/>
      <c r="F1253" s="56"/>
    </row>
    <row r="1254" spans="1:6">
      <c r="A1254" s="67"/>
      <c r="B1254" s="55"/>
      <c r="C1254" s="55"/>
      <c r="D1254" s="55"/>
      <c r="E1254" s="93"/>
      <c r="F1254" s="56"/>
    </row>
    <row r="1255" spans="1:6">
      <c r="A1255" s="67"/>
      <c r="B1255" s="55"/>
      <c r="C1255" s="55"/>
      <c r="D1255" s="55"/>
      <c r="E1255" s="93"/>
      <c r="F1255" s="56"/>
    </row>
    <row r="1256" spans="1:6">
      <c r="A1256" s="67"/>
      <c r="B1256" s="55"/>
      <c r="C1256" s="55"/>
      <c r="D1256" s="55"/>
      <c r="E1256" s="93"/>
      <c r="F1256" s="56"/>
    </row>
    <row r="1257" spans="1:6">
      <c r="A1257" s="67"/>
      <c r="B1257" s="55"/>
      <c r="C1257" s="55"/>
      <c r="D1257" s="55"/>
      <c r="E1257" s="93"/>
      <c r="F1257" s="56"/>
    </row>
    <row r="1258" spans="1:6">
      <c r="A1258" s="67"/>
      <c r="B1258" s="55"/>
      <c r="C1258" s="55"/>
      <c r="D1258" s="55"/>
      <c r="E1258" s="93"/>
      <c r="F1258" s="56"/>
    </row>
    <row r="1259" spans="1:6">
      <c r="A1259" s="67"/>
      <c r="B1259" s="55"/>
      <c r="C1259" s="55"/>
      <c r="D1259" s="55"/>
      <c r="E1259" s="93"/>
      <c r="F1259" s="56"/>
    </row>
    <row r="1260" spans="1:6">
      <c r="A1260" s="67"/>
      <c r="B1260" s="55"/>
      <c r="C1260" s="55"/>
      <c r="D1260" s="55"/>
      <c r="E1260" s="93"/>
      <c r="F1260" s="56"/>
    </row>
    <row r="1261" spans="1:6">
      <c r="A1261" s="67"/>
      <c r="B1261" s="55"/>
      <c r="C1261" s="55"/>
      <c r="D1261" s="55"/>
      <c r="E1261" s="93"/>
      <c r="F1261" s="56"/>
    </row>
    <row r="1262" spans="1:6">
      <c r="A1262" s="67"/>
      <c r="B1262" s="55"/>
      <c r="C1262" s="55"/>
      <c r="D1262" s="55"/>
      <c r="E1262" s="93"/>
      <c r="F1262" s="56"/>
    </row>
    <row r="1263" spans="1:6">
      <c r="A1263" s="67"/>
      <c r="B1263" s="55"/>
      <c r="C1263" s="55"/>
      <c r="D1263" s="55"/>
      <c r="E1263" s="93"/>
      <c r="F1263" s="56"/>
    </row>
    <row r="1264" spans="1:6">
      <c r="A1264" s="67"/>
      <c r="B1264" s="55"/>
      <c r="C1264" s="55"/>
      <c r="D1264" s="55"/>
      <c r="E1264" s="93"/>
      <c r="F1264" s="56"/>
    </row>
    <row r="1265" spans="1:6">
      <c r="A1265" s="67"/>
      <c r="B1265" s="55"/>
      <c r="C1265" s="55"/>
      <c r="D1265" s="55"/>
      <c r="E1265" s="93"/>
      <c r="F1265" s="56"/>
    </row>
    <row r="1266" spans="1:6">
      <c r="A1266" s="67"/>
      <c r="B1266" s="55"/>
      <c r="C1266" s="55"/>
      <c r="D1266" s="55"/>
      <c r="E1266" s="93"/>
      <c r="F1266" s="56"/>
    </row>
    <row r="1267" spans="1:6">
      <c r="A1267" s="67"/>
      <c r="B1267" s="55"/>
      <c r="C1267" s="55"/>
      <c r="D1267" s="55"/>
      <c r="E1267" s="93"/>
      <c r="F1267" s="56"/>
    </row>
    <row r="1268" spans="1:6">
      <c r="A1268" s="67"/>
      <c r="B1268" s="55"/>
      <c r="C1268" s="55"/>
      <c r="D1268" s="55"/>
      <c r="E1268" s="93"/>
      <c r="F1268" s="56"/>
    </row>
    <row r="1269" spans="1:6">
      <c r="A1269" s="67"/>
      <c r="B1269" s="55"/>
      <c r="C1269" s="55"/>
      <c r="D1269" s="55"/>
      <c r="E1269" s="93"/>
      <c r="F1269" s="56"/>
    </row>
    <row r="1270" spans="1:6">
      <c r="A1270" s="67"/>
      <c r="B1270" s="55"/>
      <c r="C1270" s="55"/>
      <c r="D1270" s="55"/>
      <c r="E1270" s="93"/>
      <c r="F1270" s="56"/>
    </row>
    <row r="1271" spans="1:6">
      <c r="A1271" s="67"/>
      <c r="B1271" s="55"/>
      <c r="C1271" s="55"/>
      <c r="D1271" s="55"/>
      <c r="E1271" s="93"/>
      <c r="F1271" s="56"/>
    </row>
    <row r="1272" spans="1:6">
      <c r="A1272" s="67"/>
      <c r="B1272" s="55"/>
      <c r="C1272" s="55"/>
      <c r="D1272" s="55"/>
      <c r="E1272" s="93"/>
      <c r="F1272" s="56"/>
    </row>
    <row r="1273" spans="1:6">
      <c r="A1273" s="67"/>
      <c r="B1273" s="55"/>
      <c r="C1273" s="55"/>
      <c r="D1273" s="55"/>
      <c r="E1273" s="93"/>
      <c r="F1273" s="56"/>
    </row>
    <row r="1274" spans="1:6">
      <c r="A1274" s="67"/>
      <c r="B1274" s="55"/>
      <c r="C1274" s="55"/>
      <c r="D1274" s="55"/>
      <c r="E1274" s="93"/>
      <c r="F1274" s="56"/>
    </row>
    <row r="1275" spans="1:6">
      <c r="A1275" s="67"/>
      <c r="B1275" s="55"/>
      <c r="C1275" s="55"/>
      <c r="D1275" s="55"/>
      <c r="E1275" s="93"/>
      <c r="F1275" s="56"/>
    </row>
    <row r="1276" spans="1:6">
      <c r="A1276" s="67"/>
      <c r="B1276" s="55"/>
      <c r="C1276" s="55"/>
      <c r="D1276" s="55"/>
      <c r="E1276" s="93"/>
      <c r="F1276" s="56"/>
    </row>
    <row r="1277" spans="1:6">
      <c r="A1277" s="67"/>
      <c r="B1277" s="55"/>
      <c r="C1277" s="55"/>
      <c r="D1277" s="55"/>
      <c r="E1277" s="93"/>
      <c r="F1277" s="56"/>
    </row>
    <row r="1278" spans="1:6">
      <c r="A1278" s="67"/>
      <c r="B1278" s="55"/>
      <c r="C1278" s="55"/>
      <c r="D1278" s="55"/>
      <c r="E1278" s="93"/>
      <c r="F1278" s="56"/>
    </row>
    <row r="1279" spans="1:6">
      <c r="A1279" s="67"/>
      <c r="B1279" s="55"/>
      <c r="C1279" s="55"/>
      <c r="D1279" s="55"/>
      <c r="E1279" s="93"/>
      <c r="F1279" s="56"/>
    </row>
    <row r="1280" spans="1:6">
      <c r="A1280" s="67"/>
      <c r="B1280" s="55"/>
      <c r="C1280" s="55"/>
      <c r="D1280" s="55"/>
      <c r="E1280" s="93"/>
      <c r="F1280" s="56"/>
    </row>
    <row r="1281" spans="1:6">
      <c r="A1281" s="67"/>
      <c r="B1281" s="55"/>
      <c r="C1281" s="55"/>
      <c r="D1281" s="55"/>
      <c r="E1281" s="93"/>
      <c r="F1281" s="56"/>
    </row>
    <row r="1282" spans="1:6">
      <c r="A1282" s="67"/>
      <c r="B1282" s="55"/>
      <c r="C1282" s="55"/>
      <c r="D1282" s="55"/>
      <c r="E1282" s="93"/>
      <c r="F1282" s="56"/>
    </row>
    <row r="1283" spans="1:6">
      <c r="A1283" s="67"/>
      <c r="B1283" s="55"/>
      <c r="C1283" s="55"/>
      <c r="D1283" s="55"/>
      <c r="E1283" s="93"/>
      <c r="F1283" s="56"/>
    </row>
    <row r="1284" spans="1:6">
      <c r="A1284" s="67"/>
      <c r="B1284" s="55"/>
      <c r="C1284" s="55"/>
      <c r="D1284" s="55"/>
      <c r="E1284" s="93"/>
      <c r="F1284" s="56"/>
    </row>
    <row r="1285" spans="1:6">
      <c r="A1285" s="67"/>
      <c r="B1285" s="55"/>
      <c r="C1285" s="55"/>
      <c r="D1285" s="55"/>
      <c r="E1285" s="93"/>
      <c r="F1285" s="56"/>
    </row>
    <row r="1286" spans="1:6">
      <c r="A1286" s="67"/>
      <c r="B1286" s="55"/>
      <c r="C1286" s="55"/>
      <c r="D1286" s="55"/>
      <c r="E1286" s="93"/>
      <c r="F1286" s="56"/>
    </row>
    <row r="1287" spans="1:6">
      <c r="A1287" s="67"/>
      <c r="B1287" s="55"/>
      <c r="C1287" s="55"/>
      <c r="D1287" s="55"/>
      <c r="E1287" s="93"/>
      <c r="F1287" s="56"/>
    </row>
    <row r="1288" spans="1:6">
      <c r="A1288" s="67"/>
      <c r="B1288" s="55"/>
      <c r="C1288" s="55"/>
      <c r="D1288" s="55"/>
      <c r="E1288" s="93"/>
      <c r="F1288" s="56"/>
    </row>
    <row r="1289" spans="1:6">
      <c r="A1289" s="67"/>
      <c r="B1289" s="55"/>
      <c r="C1289" s="55"/>
      <c r="D1289" s="55"/>
      <c r="E1289" s="93"/>
      <c r="F1289" s="56"/>
    </row>
    <row r="1290" spans="1:6">
      <c r="A1290" s="67"/>
      <c r="B1290" s="55"/>
      <c r="C1290" s="55"/>
      <c r="D1290" s="55"/>
      <c r="E1290" s="93"/>
      <c r="F1290" s="56"/>
    </row>
    <row r="1291" spans="1:6">
      <c r="A1291" s="67"/>
      <c r="B1291" s="55"/>
      <c r="C1291" s="55"/>
      <c r="D1291" s="55"/>
      <c r="E1291" s="93"/>
      <c r="F1291" s="56"/>
    </row>
    <row r="1292" spans="1:6">
      <c r="A1292" s="67"/>
      <c r="B1292" s="55"/>
      <c r="C1292" s="55"/>
      <c r="D1292" s="55"/>
      <c r="E1292" s="93"/>
      <c r="F1292" s="56"/>
    </row>
    <row r="1293" spans="1:6">
      <c r="A1293" s="67"/>
      <c r="B1293" s="55"/>
      <c r="C1293" s="55"/>
      <c r="D1293" s="55"/>
      <c r="E1293" s="93"/>
      <c r="F1293" s="56"/>
    </row>
    <row r="1294" spans="1:6">
      <c r="A1294" s="67"/>
      <c r="B1294" s="55"/>
      <c r="C1294" s="55"/>
      <c r="D1294" s="55"/>
      <c r="E1294" s="93"/>
      <c r="F1294" s="56"/>
    </row>
    <row r="1295" spans="1:6">
      <c r="A1295" s="67"/>
      <c r="B1295" s="55"/>
      <c r="C1295" s="55"/>
      <c r="D1295" s="55"/>
      <c r="E1295" s="93"/>
      <c r="F1295" s="56"/>
    </row>
    <row r="1296" spans="1:6">
      <c r="A1296" s="67"/>
      <c r="B1296" s="55"/>
      <c r="C1296" s="55"/>
      <c r="D1296" s="55"/>
      <c r="E1296" s="93"/>
      <c r="F1296" s="56"/>
    </row>
    <row r="1297" spans="1:6">
      <c r="A1297" s="67"/>
      <c r="B1297" s="55"/>
      <c r="C1297" s="55"/>
      <c r="D1297" s="55"/>
      <c r="E1297" s="93"/>
      <c r="F1297" s="56"/>
    </row>
    <row r="1298" spans="1:6">
      <c r="A1298" s="67"/>
      <c r="B1298" s="55"/>
      <c r="C1298" s="55"/>
      <c r="D1298" s="55"/>
      <c r="E1298" s="93"/>
      <c r="F1298" s="56"/>
    </row>
    <row r="1299" spans="1:6">
      <c r="A1299" s="67"/>
      <c r="B1299" s="55"/>
      <c r="C1299" s="55"/>
      <c r="D1299" s="55"/>
      <c r="E1299" s="93"/>
      <c r="F1299" s="56"/>
    </row>
    <row r="1300" spans="1:6">
      <c r="A1300" s="67"/>
      <c r="B1300" s="55"/>
      <c r="C1300" s="55"/>
      <c r="D1300" s="55"/>
      <c r="E1300" s="93"/>
      <c r="F1300" s="56"/>
    </row>
    <row r="1301" spans="1:6">
      <c r="A1301" s="67"/>
      <c r="B1301" s="55"/>
      <c r="C1301" s="55"/>
      <c r="D1301" s="55"/>
      <c r="E1301" s="93"/>
      <c r="F1301" s="56"/>
    </row>
    <row r="1302" spans="1:6">
      <c r="A1302" s="67"/>
      <c r="B1302" s="55"/>
      <c r="C1302" s="55"/>
      <c r="D1302" s="55"/>
      <c r="E1302" s="93"/>
      <c r="F1302" s="56"/>
    </row>
    <row r="1303" spans="1:6">
      <c r="A1303" s="67"/>
      <c r="B1303" s="55"/>
      <c r="C1303" s="55"/>
      <c r="D1303" s="55"/>
      <c r="E1303" s="93"/>
      <c r="F1303" s="56"/>
    </row>
    <row r="1304" spans="1:6">
      <c r="A1304" s="67"/>
      <c r="B1304" s="55"/>
      <c r="C1304" s="55"/>
      <c r="D1304" s="55"/>
      <c r="E1304" s="93"/>
      <c r="F1304" s="56"/>
    </row>
    <row r="1305" spans="1:6">
      <c r="A1305" s="67"/>
      <c r="B1305" s="55"/>
      <c r="C1305" s="55"/>
      <c r="D1305" s="55"/>
      <c r="E1305" s="93"/>
      <c r="F1305" s="56"/>
    </row>
    <row r="1306" spans="1:6">
      <c r="A1306" s="67"/>
      <c r="B1306" s="55"/>
      <c r="C1306" s="55"/>
      <c r="D1306" s="55"/>
      <c r="E1306" s="93"/>
      <c r="F1306" s="56"/>
    </row>
    <row r="1307" spans="1:6">
      <c r="A1307" s="67"/>
      <c r="B1307" s="55"/>
      <c r="C1307" s="55"/>
      <c r="D1307" s="55"/>
      <c r="E1307" s="93"/>
      <c r="F1307" s="56"/>
    </row>
    <row r="1308" spans="1:6">
      <c r="A1308" s="67"/>
      <c r="B1308" s="55"/>
      <c r="C1308" s="55"/>
      <c r="D1308" s="55"/>
      <c r="E1308" s="93"/>
      <c r="F1308" s="56"/>
    </row>
    <row r="1309" spans="1:6">
      <c r="A1309" s="67"/>
      <c r="B1309" s="55"/>
      <c r="C1309" s="55"/>
      <c r="D1309" s="55"/>
      <c r="E1309" s="93"/>
      <c r="F1309" s="56"/>
    </row>
    <row r="1310" spans="1:6">
      <c r="A1310" s="67"/>
      <c r="B1310" s="55"/>
      <c r="C1310" s="55"/>
      <c r="D1310" s="55"/>
      <c r="E1310" s="93"/>
      <c r="F1310" s="56"/>
    </row>
    <row r="1311" spans="1:6">
      <c r="A1311" s="67"/>
      <c r="B1311" s="55"/>
      <c r="C1311" s="55"/>
      <c r="D1311" s="55"/>
      <c r="E1311" s="93"/>
      <c r="F1311" s="56"/>
    </row>
    <row r="1312" spans="1:6">
      <c r="A1312" s="67"/>
      <c r="B1312" s="55"/>
      <c r="C1312" s="55"/>
      <c r="D1312" s="55"/>
      <c r="E1312" s="93"/>
      <c r="F1312" s="56"/>
    </row>
    <row r="1313" spans="1:6">
      <c r="A1313" s="67"/>
      <c r="B1313" s="55"/>
      <c r="C1313" s="55"/>
      <c r="D1313" s="55"/>
      <c r="E1313" s="93"/>
      <c r="F1313" s="56"/>
    </row>
    <row r="1314" spans="1:6">
      <c r="A1314" s="67"/>
      <c r="B1314" s="55"/>
      <c r="C1314" s="55"/>
      <c r="D1314" s="55"/>
      <c r="E1314" s="93"/>
      <c r="F1314" s="56"/>
    </row>
    <row r="1315" spans="1:6">
      <c r="A1315" s="67"/>
      <c r="B1315" s="55"/>
      <c r="C1315" s="55"/>
      <c r="D1315" s="55"/>
      <c r="E1315" s="93"/>
      <c r="F1315" s="56"/>
    </row>
    <row r="1316" spans="1:6">
      <c r="A1316" s="67"/>
      <c r="B1316" s="55"/>
      <c r="C1316" s="55"/>
      <c r="D1316" s="55"/>
      <c r="E1316" s="93"/>
      <c r="F1316" s="56"/>
    </row>
    <row r="1317" spans="1:6">
      <c r="A1317" s="67"/>
      <c r="B1317" s="55"/>
      <c r="C1317" s="55"/>
      <c r="D1317" s="55"/>
      <c r="E1317" s="93"/>
      <c r="F1317" s="56"/>
    </row>
    <row r="1318" spans="1:6">
      <c r="A1318" s="67"/>
      <c r="B1318" s="55"/>
      <c r="C1318" s="55"/>
      <c r="D1318" s="55"/>
      <c r="E1318" s="93"/>
      <c r="F1318" s="56"/>
    </row>
    <row r="1319" spans="1:6">
      <c r="A1319" s="67"/>
      <c r="B1319" s="55"/>
      <c r="C1319" s="55"/>
      <c r="D1319" s="55"/>
      <c r="E1319" s="93"/>
      <c r="F1319" s="56"/>
    </row>
    <row r="1320" spans="1:6">
      <c r="A1320" s="67"/>
      <c r="B1320" s="55"/>
      <c r="C1320" s="55"/>
      <c r="D1320" s="55"/>
      <c r="E1320" s="93"/>
      <c r="F1320" s="56"/>
    </row>
    <row r="1321" spans="1:6">
      <c r="A1321" s="67"/>
      <c r="B1321" s="55"/>
      <c r="C1321" s="55"/>
      <c r="D1321" s="55"/>
      <c r="E1321" s="93"/>
      <c r="F1321" s="56"/>
    </row>
    <row r="1322" spans="1:6">
      <c r="A1322" s="67"/>
      <c r="B1322" s="55"/>
      <c r="C1322" s="55"/>
      <c r="D1322" s="55"/>
      <c r="E1322" s="93"/>
      <c r="F1322" s="56"/>
    </row>
    <row r="1323" spans="1:6">
      <c r="A1323" s="67"/>
      <c r="B1323" s="55"/>
      <c r="C1323" s="55"/>
      <c r="D1323" s="55"/>
      <c r="E1323" s="93"/>
      <c r="F1323" s="56"/>
    </row>
    <row r="1324" spans="1:6">
      <c r="A1324" s="67"/>
      <c r="B1324" s="55"/>
      <c r="C1324" s="55"/>
      <c r="D1324" s="55"/>
      <c r="E1324" s="93"/>
      <c r="F1324" s="56"/>
    </row>
    <row r="1325" spans="1:6">
      <c r="A1325" s="67"/>
      <c r="B1325" s="55"/>
      <c r="C1325" s="55"/>
      <c r="D1325" s="55"/>
      <c r="E1325" s="93"/>
      <c r="F1325" s="56"/>
    </row>
    <row r="1326" spans="1:6">
      <c r="A1326" s="67"/>
      <c r="B1326" s="55"/>
      <c r="C1326" s="55"/>
      <c r="D1326" s="55"/>
      <c r="E1326" s="93"/>
      <c r="F1326" s="56"/>
    </row>
    <row r="1327" spans="1:6">
      <c r="A1327" s="67"/>
      <c r="B1327" s="55"/>
      <c r="C1327" s="55"/>
      <c r="D1327" s="55"/>
      <c r="E1327" s="93"/>
      <c r="F1327" s="56"/>
    </row>
    <row r="1328" spans="1:6">
      <c r="A1328" s="67"/>
      <c r="B1328" s="55"/>
      <c r="C1328" s="55"/>
      <c r="D1328" s="55"/>
      <c r="E1328" s="93"/>
      <c r="F1328" s="56"/>
    </row>
    <row r="1329" spans="1:6">
      <c r="A1329" s="67"/>
      <c r="B1329" s="55"/>
      <c r="C1329" s="55"/>
      <c r="D1329" s="55"/>
      <c r="E1329" s="93"/>
      <c r="F1329" s="56"/>
    </row>
    <row r="1330" spans="1:6">
      <c r="A1330" s="67"/>
      <c r="B1330" s="55"/>
      <c r="C1330" s="55"/>
      <c r="D1330" s="55"/>
      <c r="E1330" s="93"/>
      <c r="F1330" s="56"/>
    </row>
    <row r="1331" spans="1:6">
      <c r="A1331" s="67"/>
      <c r="B1331" s="55"/>
      <c r="C1331" s="55"/>
      <c r="D1331" s="55"/>
      <c r="E1331" s="93"/>
      <c r="F1331" s="56"/>
    </row>
    <row r="1332" spans="1:6">
      <c r="A1332" s="67"/>
      <c r="B1332" s="55"/>
      <c r="C1332" s="55"/>
      <c r="D1332" s="55"/>
      <c r="E1332" s="93"/>
      <c r="F1332" s="56"/>
    </row>
    <row r="1333" spans="1:6">
      <c r="A1333" s="67"/>
      <c r="B1333" s="55"/>
      <c r="C1333" s="55"/>
      <c r="D1333" s="55"/>
      <c r="E1333" s="93"/>
      <c r="F1333" s="56"/>
    </row>
    <row r="1334" spans="1:6">
      <c r="A1334" s="67"/>
      <c r="B1334" s="55"/>
      <c r="C1334" s="55"/>
      <c r="D1334" s="55"/>
      <c r="E1334" s="93"/>
      <c r="F1334" s="56"/>
    </row>
    <row r="1335" spans="1:6">
      <c r="A1335" s="67"/>
      <c r="B1335" s="55"/>
      <c r="C1335" s="55"/>
      <c r="D1335" s="55"/>
      <c r="E1335" s="93"/>
      <c r="F1335" s="56"/>
    </row>
    <row r="1336" spans="1:6">
      <c r="A1336" s="67"/>
      <c r="B1336" s="55"/>
      <c r="C1336" s="55"/>
      <c r="D1336" s="55"/>
      <c r="E1336" s="93"/>
      <c r="F1336" s="56"/>
    </row>
    <row r="1337" spans="1:6">
      <c r="A1337" s="67"/>
      <c r="B1337" s="55"/>
      <c r="C1337" s="55"/>
      <c r="D1337" s="55"/>
      <c r="E1337" s="93"/>
      <c r="F1337" s="56"/>
    </row>
    <row r="1338" spans="1:6">
      <c r="A1338" s="67"/>
      <c r="B1338" s="55"/>
      <c r="C1338" s="55"/>
      <c r="D1338" s="55"/>
      <c r="E1338" s="93"/>
      <c r="F1338" s="56"/>
    </row>
    <row r="1339" spans="1:6">
      <c r="A1339" s="67"/>
      <c r="B1339" s="55"/>
      <c r="C1339" s="55"/>
      <c r="D1339" s="55"/>
      <c r="E1339" s="93"/>
      <c r="F1339" s="56"/>
    </row>
    <row r="1340" spans="1:6">
      <c r="A1340" s="67"/>
      <c r="B1340" s="55"/>
      <c r="C1340" s="55"/>
      <c r="D1340" s="55"/>
      <c r="E1340" s="93"/>
      <c r="F1340" s="56"/>
    </row>
    <row r="1341" spans="1:6">
      <c r="A1341" s="67"/>
      <c r="B1341" s="55"/>
      <c r="C1341" s="55"/>
      <c r="D1341" s="55"/>
      <c r="E1341" s="93"/>
      <c r="F1341" s="56"/>
    </row>
    <row r="1342" spans="1:6">
      <c r="A1342" s="67"/>
      <c r="B1342" s="55"/>
      <c r="C1342" s="55"/>
      <c r="D1342" s="55"/>
      <c r="E1342" s="93"/>
      <c r="F1342" s="56"/>
    </row>
    <row r="1343" spans="1:6">
      <c r="A1343" s="67"/>
      <c r="B1343" s="55"/>
      <c r="C1343" s="55"/>
      <c r="D1343" s="55"/>
      <c r="E1343" s="93"/>
      <c r="F1343" s="56"/>
    </row>
    <row r="1344" spans="1:6">
      <c r="A1344" s="67"/>
      <c r="B1344" s="55"/>
      <c r="C1344" s="55"/>
      <c r="D1344" s="55"/>
      <c r="E1344" s="93"/>
      <c r="F1344" s="56"/>
    </row>
    <row r="1345" spans="1:6">
      <c r="A1345" s="67"/>
      <c r="B1345" s="55"/>
      <c r="C1345" s="55"/>
      <c r="D1345" s="55"/>
      <c r="E1345" s="93"/>
      <c r="F1345" s="56"/>
    </row>
    <row r="1346" spans="1:6">
      <c r="A1346" s="67"/>
      <c r="B1346" s="55"/>
      <c r="C1346" s="55"/>
      <c r="D1346" s="55"/>
      <c r="E1346" s="93"/>
      <c r="F1346" s="56"/>
    </row>
    <row r="1347" spans="1:6">
      <c r="A1347" s="67"/>
      <c r="B1347" s="55"/>
      <c r="C1347" s="55"/>
      <c r="D1347" s="55"/>
      <c r="E1347" s="93"/>
      <c r="F1347" s="56"/>
    </row>
    <row r="1348" spans="1:6">
      <c r="A1348" s="67"/>
      <c r="B1348" s="55"/>
      <c r="C1348" s="55"/>
      <c r="D1348" s="55"/>
      <c r="E1348" s="93"/>
      <c r="F1348" s="56"/>
    </row>
    <row r="1349" spans="1:6">
      <c r="A1349" s="67"/>
      <c r="B1349" s="55"/>
      <c r="C1349" s="55"/>
      <c r="D1349" s="55"/>
      <c r="E1349" s="93"/>
      <c r="F1349" s="56"/>
    </row>
    <row r="1350" spans="1:6">
      <c r="A1350" s="67"/>
      <c r="B1350" s="55"/>
      <c r="C1350" s="55"/>
      <c r="D1350" s="55"/>
      <c r="E1350" s="93"/>
      <c r="F1350" s="56"/>
    </row>
    <row r="1351" spans="1:6">
      <c r="A1351" s="67"/>
      <c r="B1351" s="55"/>
      <c r="C1351" s="55"/>
      <c r="D1351" s="55"/>
      <c r="E1351" s="93"/>
      <c r="F1351" s="56"/>
    </row>
    <row r="1352" spans="1:6">
      <c r="A1352" s="67"/>
      <c r="B1352" s="55"/>
      <c r="C1352" s="55"/>
      <c r="D1352" s="55"/>
      <c r="E1352" s="93"/>
      <c r="F1352" s="56"/>
    </row>
    <row r="1353" spans="1:6">
      <c r="A1353" s="67"/>
      <c r="B1353" s="55"/>
      <c r="C1353" s="55"/>
      <c r="D1353" s="55"/>
      <c r="E1353" s="93"/>
      <c r="F1353" s="56"/>
    </row>
    <row r="1354" spans="1:6">
      <c r="A1354" s="67"/>
      <c r="B1354" s="55"/>
      <c r="C1354" s="55"/>
      <c r="D1354" s="55"/>
      <c r="E1354" s="93"/>
      <c r="F1354" s="56"/>
    </row>
    <row r="1355" spans="1:6">
      <c r="A1355" s="67"/>
      <c r="B1355" s="55"/>
      <c r="C1355" s="55"/>
      <c r="D1355" s="55"/>
      <c r="E1355" s="93"/>
      <c r="F1355" s="56"/>
    </row>
    <row r="1356" spans="1:6">
      <c r="A1356" s="67"/>
      <c r="B1356" s="55"/>
      <c r="C1356" s="55"/>
      <c r="D1356" s="55"/>
      <c r="E1356" s="93"/>
      <c r="F1356" s="56"/>
    </row>
    <row r="1357" spans="1:6">
      <c r="A1357" s="67"/>
      <c r="B1357" s="55"/>
      <c r="C1357" s="55"/>
      <c r="D1357" s="55"/>
      <c r="E1357" s="93"/>
      <c r="F1357" s="56"/>
    </row>
    <row r="1358" spans="1:6">
      <c r="A1358" s="67"/>
      <c r="B1358" s="55"/>
      <c r="C1358" s="55"/>
      <c r="D1358" s="55"/>
      <c r="E1358" s="93"/>
      <c r="F1358" s="56"/>
    </row>
    <row r="1359" spans="1:6">
      <c r="A1359" s="67"/>
      <c r="B1359" s="55"/>
      <c r="C1359" s="55"/>
      <c r="D1359" s="55"/>
      <c r="E1359" s="93"/>
      <c r="F1359" s="56"/>
    </row>
    <row r="1360" spans="1:6">
      <c r="A1360" s="67"/>
      <c r="B1360" s="55"/>
      <c r="C1360" s="55"/>
      <c r="D1360" s="55"/>
      <c r="E1360" s="93"/>
      <c r="F1360" s="56"/>
    </row>
    <row r="1361" spans="1:6">
      <c r="A1361" s="67"/>
      <c r="B1361" s="55"/>
      <c r="C1361" s="55"/>
      <c r="D1361" s="55"/>
      <c r="E1361" s="93"/>
      <c r="F1361" s="56"/>
    </row>
    <row r="1362" spans="1:6">
      <c r="A1362" s="67"/>
      <c r="B1362" s="55"/>
      <c r="C1362" s="55"/>
      <c r="D1362" s="55"/>
      <c r="E1362" s="93"/>
      <c r="F1362" s="56"/>
    </row>
    <row r="1363" spans="1:6">
      <c r="A1363" s="67"/>
      <c r="B1363" s="55"/>
      <c r="C1363" s="55"/>
      <c r="D1363" s="55"/>
      <c r="E1363" s="93"/>
      <c r="F1363" s="56"/>
    </row>
    <row r="1364" spans="1:6">
      <c r="A1364" s="67"/>
      <c r="B1364" s="55"/>
      <c r="C1364" s="55"/>
      <c r="D1364" s="55"/>
      <c r="E1364" s="93"/>
      <c r="F1364" s="56"/>
    </row>
    <row r="1365" spans="1:6">
      <c r="A1365" s="67"/>
      <c r="B1365" s="55"/>
      <c r="C1365" s="55"/>
      <c r="D1365" s="55"/>
      <c r="E1365" s="93"/>
      <c r="F1365" s="56"/>
    </row>
    <row r="1366" spans="1:6">
      <c r="A1366" s="67"/>
      <c r="B1366" s="55"/>
      <c r="C1366" s="55"/>
      <c r="D1366" s="55"/>
      <c r="E1366" s="93"/>
      <c r="F1366" s="56"/>
    </row>
    <row r="1367" spans="1:6">
      <c r="A1367" s="67"/>
      <c r="B1367" s="55"/>
      <c r="C1367" s="55"/>
      <c r="D1367" s="55"/>
      <c r="E1367" s="93"/>
      <c r="F1367" s="56"/>
    </row>
    <row r="1368" spans="1:6">
      <c r="A1368" s="67"/>
      <c r="B1368" s="55"/>
      <c r="C1368" s="55"/>
      <c r="D1368" s="55"/>
      <c r="E1368" s="93"/>
      <c r="F1368" s="56"/>
    </row>
    <row r="1369" spans="1:6">
      <c r="A1369" s="67"/>
      <c r="B1369" s="55"/>
      <c r="C1369" s="55"/>
      <c r="D1369" s="55"/>
      <c r="E1369" s="93"/>
      <c r="F1369" s="56"/>
    </row>
    <row r="1370" spans="1:6">
      <c r="A1370" s="67"/>
      <c r="B1370" s="55"/>
      <c r="C1370" s="55"/>
      <c r="D1370" s="55"/>
      <c r="E1370" s="93"/>
      <c r="F1370" s="56"/>
    </row>
    <row r="1371" spans="1:6">
      <c r="A1371" s="67"/>
      <c r="B1371" s="55"/>
      <c r="C1371" s="55"/>
      <c r="D1371" s="55"/>
      <c r="E1371" s="93"/>
      <c r="F1371" s="56"/>
    </row>
    <row r="1372" spans="1:6">
      <c r="A1372" s="67"/>
      <c r="B1372" s="55"/>
      <c r="C1372" s="55"/>
      <c r="D1372" s="55"/>
      <c r="E1372" s="93"/>
      <c r="F1372" s="56"/>
    </row>
    <row r="1373" spans="1:6">
      <c r="A1373" s="67"/>
      <c r="B1373" s="55"/>
      <c r="C1373" s="55"/>
      <c r="D1373" s="55"/>
      <c r="E1373" s="93"/>
      <c r="F1373" s="56"/>
    </row>
    <row r="1374" spans="1:6">
      <c r="A1374" s="67"/>
      <c r="B1374" s="55"/>
      <c r="C1374" s="55"/>
      <c r="D1374" s="55"/>
      <c r="E1374" s="93"/>
      <c r="F1374" s="56"/>
    </row>
    <row r="1375" spans="1:6">
      <c r="A1375" s="67"/>
      <c r="B1375" s="55"/>
      <c r="C1375" s="55"/>
      <c r="D1375" s="55"/>
      <c r="E1375" s="93"/>
      <c r="F1375" s="56"/>
    </row>
    <row r="1376" spans="1:6">
      <c r="A1376" s="67"/>
      <c r="B1376" s="55"/>
      <c r="C1376" s="55"/>
      <c r="D1376" s="55"/>
      <c r="E1376" s="93"/>
      <c r="F1376" s="56"/>
    </row>
    <row r="1377" spans="1:6">
      <c r="A1377" s="67"/>
      <c r="B1377" s="55"/>
      <c r="C1377" s="55"/>
      <c r="D1377" s="55"/>
      <c r="E1377" s="93"/>
      <c r="F1377" s="56"/>
    </row>
    <row r="1378" spans="1:6">
      <c r="A1378" s="67"/>
      <c r="B1378" s="55"/>
      <c r="C1378" s="55"/>
      <c r="D1378" s="55"/>
      <c r="E1378" s="93"/>
      <c r="F1378" s="56"/>
    </row>
    <row r="1379" spans="1:6">
      <c r="A1379" s="67"/>
      <c r="B1379" s="55"/>
      <c r="C1379" s="55"/>
      <c r="D1379" s="55"/>
      <c r="E1379" s="93"/>
      <c r="F1379" s="56"/>
    </row>
    <row r="1380" spans="1:6">
      <c r="A1380" s="67"/>
      <c r="B1380" s="55"/>
      <c r="C1380" s="55"/>
      <c r="D1380" s="55"/>
      <c r="E1380" s="93"/>
      <c r="F1380" s="56"/>
    </row>
    <row r="1381" spans="1:6">
      <c r="A1381" s="67"/>
      <c r="B1381" s="55"/>
      <c r="C1381" s="55"/>
      <c r="D1381" s="55"/>
      <c r="E1381" s="93"/>
      <c r="F1381" s="56"/>
    </row>
    <row r="1382" spans="1:6">
      <c r="A1382" s="67"/>
      <c r="B1382" s="55"/>
      <c r="C1382" s="55"/>
      <c r="D1382" s="55"/>
      <c r="E1382" s="93"/>
      <c r="F1382" s="56"/>
    </row>
    <row r="1383" spans="1:6">
      <c r="A1383" s="67"/>
      <c r="B1383" s="55"/>
      <c r="C1383" s="55"/>
      <c r="D1383" s="55"/>
      <c r="E1383" s="93"/>
      <c r="F1383" s="56"/>
    </row>
    <row r="1384" spans="1:6">
      <c r="A1384" s="67"/>
      <c r="B1384" s="55"/>
      <c r="C1384" s="55"/>
      <c r="D1384" s="55"/>
      <c r="E1384" s="93"/>
      <c r="F1384" s="56"/>
    </row>
    <row r="1385" spans="1:6">
      <c r="A1385" s="67"/>
      <c r="B1385" s="55"/>
      <c r="C1385" s="55"/>
      <c r="D1385" s="55"/>
      <c r="E1385" s="93"/>
      <c r="F1385" s="56"/>
    </row>
    <row r="1386" spans="1:6">
      <c r="A1386" s="67"/>
      <c r="B1386" s="55"/>
      <c r="C1386" s="55"/>
      <c r="D1386" s="55"/>
      <c r="E1386" s="93"/>
      <c r="F1386" s="56"/>
    </row>
    <row r="1387" spans="1:6">
      <c r="A1387" s="67"/>
      <c r="B1387" s="55"/>
      <c r="C1387" s="55"/>
      <c r="D1387" s="55"/>
      <c r="E1387" s="93"/>
      <c r="F1387" s="56"/>
    </row>
    <row r="1388" spans="1:6">
      <c r="A1388" s="67"/>
      <c r="B1388" s="55"/>
      <c r="C1388" s="55"/>
      <c r="D1388" s="55"/>
      <c r="E1388" s="93"/>
      <c r="F1388" s="56"/>
    </row>
    <row r="1389" spans="1:6">
      <c r="A1389" s="67"/>
      <c r="B1389" s="55"/>
      <c r="C1389" s="55"/>
      <c r="D1389" s="55"/>
      <c r="E1389" s="93"/>
      <c r="F1389" s="56"/>
    </row>
    <row r="1390" spans="1:6">
      <c r="A1390" s="67"/>
      <c r="B1390" s="55"/>
      <c r="C1390" s="55"/>
      <c r="D1390" s="55"/>
      <c r="E1390" s="93"/>
      <c r="F1390" s="56"/>
    </row>
    <row r="1391" spans="1:6">
      <c r="A1391" s="67"/>
      <c r="B1391" s="55"/>
      <c r="C1391" s="55"/>
      <c r="D1391" s="55"/>
      <c r="E1391" s="93"/>
      <c r="F1391" s="56"/>
    </row>
    <row r="1392" spans="1:6">
      <c r="A1392" s="67"/>
      <c r="B1392" s="55"/>
      <c r="C1392" s="55"/>
      <c r="D1392" s="55"/>
      <c r="E1392" s="93"/>
      <c r="F1392" s="56"/>
    </row>
    <row r="1393" spans="1:6">
      <c r="A1393" s="67"/>
      <c r="B1393" s="55"/>
      <c r="C1393" s="55"/>
      <c r="D1393" s="55"/>
      <c r="E1393" s="93"/>
      <c r="F1393" s="56"/>
    </row>
    <row r="1394" spans="1:6">
      <c r="A1394" s="67"/>
      <c r="B1394" s="55"/>
      <c r="C1394" s="55"/>
      <c r="D1394" s="55"/>
      <c r="E1394" s="93"/>
      <c r="F1394" s="56"/>
    </row>
    <row r="1395" spans="1:6">
      <c r="A1395" s="67"/>
      <c r="B1395" s="55"/>
      <c r="C1395" s="55"/>
      <c r="D1395" s="55"/>
      <c r="E1395" s="93"/>
      <c r="F1395" s="56"/>
    </row>
    <row r="1396" spans="1:6">
      <c r="A1396" s="67"/>
      <c r="B1396" s="55"/>
      <c r="C1396" s="55"/>
      <c r="D1396" s="55"/>
      <c r="E1396" s="93"/>
      <c r="F1396" s="56"/>
    </row>
    <row r="1397" spans="1:6">
      <c r="A1397" s="67"/>
      <c r="B1397" s="55"/>
      <c r="C1397" s="55"/>
      <c r="D1397" s="55"/>
      <c r="E1397" s="93"/>
      <c r="F1397" s="56"/>
    </row>
    <row r="1398" spans="1:6">
      <c r="A1398" s="67"/>
      <c r="B1398" s="55"/>
      <c r="C1398" s="55"/>
      <c r="D1398" s="55"/>
      <c r="E1398" s="93"/>
      <c r="F1398" s="56"/>
    </row>
    <row r="1399" spans="1:6">
      <c r="A1399" s="67"/>
      <c r="B1399" s="55"/>
      <c r="C1399" s="55"/>
      <c r="D1399" s="55"/>
      <c r="E1399" s="93"/>
      <c r="F1399" s="56"/>
    </row>
    <row r="1400" spans="1:6">
      <c r="A1400" s="67"/>
      <c r="B1400" s="55"/>
      <c r="C1400" s="55"/>
      <c r="D1400" s="55"/>
      <c r="E1400" s="93"/>
      <c r="F1400" s="56"/>
    </row>
    <row r="1401" spans="1:6">
      <c r="A1401" s="67"/>
      <c r="B1401" s="55"/>
      <c r="C1401" s="55"/>
      <c r="D1401" s="55"/>
      <c r="E1401" s="93"/>
      <c r="F1401" s="56"/>
    </row>
    <row r="1402" spans="1:6">
      <c r="A1402" s="67"/>
      <c r="B1402" s="55"/>
      <c r="C1402" s="55"/>
      <c r="D1402" s="55"/>
      <c r="E1402" s="93"/>
      <c r="F1402" s="56"/>
    </row>
    <row r="1403" spans="1:6">
      <c r="A1403" s="67"/>
      <c r="B1403" s="55"/>
      <c r="C1403" s="55"/>
      <c r="D1403" s="55"/>
      <c r="E1403" s="93"/>
      <c r="F1403" s="56"/>
    </row>
    <row r="1404" spans="1:6">
      <c r="A1404" s="67"/>
      <c r="B1404" s="55"/>
      <c r="C1404" s="55"/>
      <c r="D1404" s="55"/>
      <c r="E1404" s="93"/>
      <c r="F1404" s="56"/>
    </row>
    <row r="1405" spans="1:6">
      <c r="A1405" s="67"/>
      <c r="B1405" s="55"/>
      <c r="C1405" s="55"/>
      <c r="D1405" s="55"/>
      <c r="E1405" s="93"/>
      <c r="F1405" s="56"/>
    </row>
    <row r="1406" spans="1:6">
      <c r="A1406" s="67"/>
      <c r="B1406" s="55"/>
      <c r="C1406" s="55"/>
      <c r="D1406" s="55"/>
      <c r="E1406" s="93"/>
      <c r="F1406" s="56"/>
    </row>
    <row r="1407" spans="1:6">
      <c r="A1407" s="67"/>
      <c r="B1407" s="55"/>
      <c r="C1407" s="55"/>
      <c r="D1407" s="55"/>
      <c r="E1407" s="93"/>
      <c r="F1407" s="56"/>
    </row>
    <row r="1408" spans="1:6">
      <c r="A1408" s="67"/>
      <c r="B1408" s="55"/>
      <c r="C1408" s="55"/>
      <c r="D1408" s="55"/>
      <c r="E1408" s="93"/>
      <c r="F1408" s="56"/>
    </row>
    <row r="1409" spans="1:6">
      <c r="A1409" s="67"/>
      <c r="B1409" s="55"/>
      <c r="C1409" s="55"/>
      <c r="D1409" s="55"/>
      <c r="E1409" s="93"/>
      <c r="F1409" s="56"/>
    </row>
    <row r="1410" spans="1:6">
      <c r="A1410" s="67"/>
      <c r="B1410" s="55"/>
      <c r="C1410" s="55"/>
      <c r="D1410" s="55"/>
      <c r="E1410" s="93"/>
      <c r="F1410" s="56"/>
    </row>
    <row r="1411" spans="1:6">
      <c r="A1411" s="67"/>
      <c r="B1411" s="55"/>
      <c r="C1411" s="55"/>
      <c r="D1411" s="55"/>
      <c r="E1411" s="93"/>
      <c r="F1411" s="56"/>
    </row>
    <row r="1412" spans="1:6">
      <c r="A1412" s="67"/>
      <c r="B1412" s="55"/>
      <c r="C1412" s="55"/>
      <c r="D1412" s="55"/>
      <c r="E1412" s="93"/>
      <c r="F1412" s="56"/>
    </row>
    <row r="1413" spans="1:6">
      <c r="A1413" s="67"/>
      <c r="B1413" s="55"/>
      <c r="C1413" s="55"/>
      <c r="D1413" s="55"/>
      <c r="E1413" s="93"/>
      <c r="F1413" s="56"/>
    </row>
    <row r="1414" spans="1:6">
      <c r="A1414" s="67"/>
      <c r="B1414" s="55"/>
      <c r="C1414" s="55"/>
      <c r="D1414" s="55"/>
      <c r="E1414" s="93"/>
      <c r="F1414" s="56"/>
    </row>
    <row r="1415" spans="1:6">
      <c r="A1415" s="67"/>
      <c r="B1415" s="55"/>
      <c r="C1415" s="55"/>
      <c r="D1415" s="55"/>
      <c r="E1415" s="93"/>
      <c r="F1415" s="56"/>
    </row>
    <row r="1416" spans="1:6">
      <c r="A1416" s="67"/>
      <c r="B1416" s="55"/>
      <c r="C1416" s="55"/>
      <c r="D1416" s="55"/>
      <c r="E1416" s="93"/>
      <c r="F1416" s="56"/>
    </row>
    <row r="1417" spans="1:6">
      <c r="A1417" s="67"/>
      <c r="B1417" s="55"/>
      <c r="C1417" s="55"/>
      <c r="D1417" s="55"/>
      <c r="E1417" s="93"/>
      <c r="F1417" s="56"/>
    </row>
    <row r="1418" spans="1:6">
      <c r="A1418" s="67"/>
      <c r="B1418" s="55"/>
      <c r="C1418" s="55"/>
      <c r="D1418" s="55"/>
      <c r="E1418" s="93"/>
      <c r="F1418" s="56"/>
    </row>
    <row r="1419" spans="1:6">
      <c r="A1419" s="67"/>
      <c r="B1419" s="55"/>
      <c r="C1419" s="55"/>
      <c r="D1419" s="55"/>
      <c r="E1419" s="93"/>
      <c r="F1419" s="56"/>
    </row>
    <row r="1420" spans="1:6">
      <c r="A1420" s="67"/>
      <c r="B1420" s="55"/>
      <c r="C1420" s="55"/>
      <c r="D1420" s="55"/>
      <c r="E1420" s="93"/>
      <c r="F1420" s="56"/>
    </row>
    <row r="1421" spans="1:6">
      <c r="A1421" s="67"/>
      <c r="B1421" s="55"/>
      <c r="C1421" s="55"/>
      <c r="D1421" s="55"/>
      <c r="E1421" s="93"/>
      <c r="F1421" s="56"/>
    </row>
    <row r="1422" spans="1:6">
      <c r="A1422" s="67"/>
      <c r="B1422" s="55"/>
      <c r="C1422" s="55"/>
      <c r="D1422" s="55"/>
      <c r="E1422" s="93"/>
      <c r="F1422" s="56"/>
    </row>
    <row r="1423" spans="1:6">
      <c r="A1423" s="67"/>
      <c r="B1423" s="55"/>
      <c r="C1423" s="55"/>
      <c r="D1423" s="55"/>
      <c r="E1423" s="93"/>
      <c r="F1423" s="56"/>
    </row>
    <row r="1424" spans="1:6">
      <c r="A1424" s="67"/>
      <c r="B1424" s="55"/>
      <c r="C1424" s="55"/>
      <c r="D1424" s="55"/>
      <c r="E1424" s="93"/>
      <c r="F1424" s="56"/>
    </row>
    <row r="1425" spans="1:6">
      <c r="A1425" s="67"/>
      <c r="B1425" s="55"/>
      <c r="C1425" s="55"/>
      <c r="D1425" s="55"/>
      <c r="E1425" s="93"/>
      <c r="F1425" s="56"/>
    </row>
    <row r="1426" spans="1:6">
      <c r="A1426" s="67"/>
      <c r="B1426" s="55"/>
      <c r="C1426" s="55"/>
      <c r="D1426" s="55"/>
      <c r="E1426" s="93"/>
      <c r="F1426" s="56"/>
    </row>
    <row r="1427" spans="1:6">
      <c r="A1427" s="67"/>
      <c r="B1427" s="55"/>
      <c r="C1427" s="55"/>
      <c r="D1427" s="55"/>
      <c r="E1427" s="93"/>
      <c r="F1427" s="56"/>
    </row>
    <row r="1428" spans="1:6">
      <c r="A1428" s="67"/>
      <c r="B1428" s="55"/>
      <c r="C1428" s="55"/>
      <c r="D1428" s="55"/>
      <c r="E1428" s="93"/>
      <c r="F1428" s="56"/>
    </row>
    <row r="1429" spans="1:6">
      <c r="A1429" s="67"/>
      <c r="B1429" s="55"/>
      <c r="C1429" s="55"/>
      <c r="D1429" s="55"/>
      <c r="E1429" s="93"/>
      <c r="F1429" s="56"/>
    </row>
    <row r="1430" spans="1:6">
      <c r="A1430" s="67"/>
      <c r="B1430" s="55"/>
      <c r="C1430" s="55"/>
      <c r="D1430" s="55"/>
      <c r="E1430" s="93"/>
      <c r="F1430" s="56"/>
    </row>
    <row r="1431" spans="1:6">
      <c r="A1431" s="67"/>
      <c r="B1431" s="55"/>
      <c r="C1431" s="55"/>
      <c r="D1431" s="55"/>
      <c r="E1431" s="93"/>
      <c r="F1431" s="56"/>
    </row>
    <row r="1432" spans="1:6">
      <c r="A1432" s="67"/>
      <c r="B1432" s="55"/>
      <c r="C1432" s="55"/>
      <c r="D1432" s="55"/>
      <c r="E1432" s="93"/>
      <c r="F1432" s="56"/>
    </row>
    <row r="1433" spans="1:6">
      <c r="A1433" s="67"/>
      <c r="B1433" s="55"/>
      <c r="C1433" s="55"/>
      <c r="D1433" s="55"/>
      <c r="E1433" s="93"/>
      <c r="F1433" s="56"/>
    </row>
    <row r="1434" spans="1:6">
      <c r="A1434" s="67"/>
      <c r="B1434" s="55"/>
      <c r="C1434" s="55"/>
      <c r="D1434" s="55"/>
      <c r="E1434" s="93"/>
      <c r="F1434" s="56"/>
    </row>
    <row r="1435" spans="1:6">
      <c r="A1435" s="67"/>
      <c r="B1435" s="55"/>
      <c r="C1435" s="55"/>
      <c r="D1435" s="55"/>
      <c r="E1435" s="93"/>
      <c r="F1435" s="56"/>
    </row>
    <row r="1436" spans="1:6">
      <c r="A1436" s="67"/>
      <c r="B1436" s="55"/>
      <c r="C1436" s="55"/>
      <c r="D1436" s="55"/>
      <c r="E1436" s="93"/>
      <c r="F1436" s="56"/>
    </row>
    <row r="1437" spans="1:6">
      <c r="A1437" s="67"/>
      <c r="B1437" s="55"/>
      <c r="C1437" s="55"/>
      <c r="D1437" s="55"/>
      <c r="E1437" s="93"/>
      <c r="F1437" s="56"/>
    </row>
    <row r="1438" spans="1:6">
      <c r="A1438" s="67"/>
      <c r="B1438" s="55"/>
      <c r="C1438" s="55"/>
      <c r="D1438" s="55"/>
      <c r="E1438" s="93"/>
      <c r="F1438" s="56"/>
    </row>
    <row r="1439" spans="1:6">
      <c r="A1439" s="67"/>
      <c r="B1439" s="55"/>
      <c r="C1439" s="55"/>
      <c r="D1439" s="55"/>
      <c r="E1439" s="93"/>
      <c r="F1439" s="56"/>
    </row>
    <row r="1440" spans="1:6">
      <c r="A1440" s="67"/>
      <c r="B1440" s="55"/>
      <c r="C1440" s="55"/>
      <c r="D1440" s="55"/>
      <c r="E1440" s="93"/>
      <c r="F1440" s="56"/>
    </row>
    <row r="1441" spans="1:6">
      <c r="A1441" s="67"/>
      <c r="B1441" s="55"/>
      <c r="C1441" s="55"/>
      <c r="D1441" s="55"/>
      <c r="E1441" s="93"/>
      <c r="F1441" s="56"/>
    </row>
    <row r="1442" spans="1:6">
      <c r="A1442" s="67"/>
      <c r="B1442" s="55"/>
      <c r="C1442" s="55"/>
      <c r="D1442" s="55"/>
      <c r="E1442" s="93"/>
      <c r="F1442" s="56"/>
    </row>
    <row r="1443" spans="1:6">
      <c r="A1443" s="67"/>
      <c r="B1443" s="55"/>
      <c r="C1443" s="55"/>
      <c r="D1443" s="55"/>
      <c r="E1443" s="93"/>
      <c r="F1443" s="56"/>
    </row>
    <row r="1444" spans="1:6">
      <c r="A1444" s="67"/>
      <c r="B1444" s="55"/>
      <c r="C1444" s="55"/>
      <c r="D1444" s="55"/>
      <c r="E1444" s="93"/>
      <c r="F1444" s="56"/>
    </row>
    <row r="1445" spans="1:6">
      <c r="A1445" s="67"/>
      <c r="B1445" s="55"/>
      <c r="C1445" s="55"/>
      <c r="D1445" s="55"/>
      <c r="E1445" s="93"/>
      <c r="F1445" s="56"/>
    </row>
    <row r="1446" spans="1:6">
      <c r="A1446" s="67"/>
      <c r="B1446" s="55"/>
      <c r="C1446" s="55"/>
      <c r="D1446" s="55"/>
      <c r="E1446" s="93"/>
      <c r="F1446" s="56"/>
    </row>
    <row r="1447" spans="1:6">
      <c r="A1447" s="67"/>
      <c r="B1447" s="55"/>
      <c r="C1447" s="55"/>
      <c r="D1447" s="55"/>
      <c r="E1447" s="93"/>
      <c r="F1447" s="56"/>
    </row>
    <row r="1448" spans="1:6">
      <c r="A1448" s="67"/>
      <c r="B1448" s="55"/>
      <c r="C1448" s="55"/>
      <c r="D1448" s="55"/>
      <c r="E1448" s="93"/>
      <c r="F1448" s="56"/>
    </row>
    <row r="1449" spans="1:6">
      <c r="A1449" s="67"/>
      <c r="B1449" s="55"/>
      <c r="C1449" s="55"/>
      <c r="D1449" s="55"/>
      <c r="E1449" s="93"/>
      <c r="F1449" s="56"/>
    </row>
    <row r="1450" spans="1:6">
      <c r="A1450" s="67"/>
      <c r="B1450" s="55"/>
      <c r="C1450" s="55"/>
      <c r="D1450" s="55"/>
      <c r="E1450" s="93"/>
      <c r="F1450" s="56"/>
    </row>
    <row r="1451" spans="1:6">
      <c r="A1451" s="67"/>
      <c r="B1451" s="55"/>
      <c r="C1451" s="55"/>
      <c r="D1451" s="55"/>
      <c r="E1451" s="93"/>
      <c r="F1451" s="56"/>
    </row>
    <row r="1452" spans="1:6">
      <c r="A1452" s="67"/>
      <c r="B1452" s="55"/>
      <c r="C1452" s="55"/>
      <c r="D1452" s="55"/>
      <c r="E1452" s="93"/>
      <c r="F1452" s="56"/>
    </row>
    <row r="1453" spans="1:6">
      <c r="A1453" s="67"/>
      <c r="B1453" s="55"/>
      <c r="C1453" s="55"/>
      <c r="D1453" s="55"/>
      <c r="E1453" s="93"/>
      <c r="F1453" s="56"/>
    </row>
    <row r="1454" spans="1:6">
      <c r="A1454" s="67"/>
      <c r="B1454" s="55"/>
      <c r="C1454" s="55"/>
      <c r="D1454" s="55"/>
      <c r="E1454" s="93"/>
      <c r="F1454" s="56"/>
    </row>
    <row r="1455" spans="1:6">
      <c r="A1455" s="67"/>
      <c r="B1455" s="55"/>
      <c r="C1455" s="55"/>
      <c r="D1455" s="55"/>
      <c r="E1455" s="93"/>
      <c r="F1455" s="56"/>
    </row>
    <row r="1456" spans="1:6">
      <c r="A1456" s="67"/>
      <c r="B1456" s="55"/>
      <c r="C1456" s="55"/>
      <c r="D1456" s="55"/>
      <c r="E1456" s="93"/>
      <c r="F1456" s="56"/>
    </row>
    <row r="1457" spans="1:6">
      <c r="A1457" s="67"/>
      <c r="B1457" s="55"/>
      <c r="C1457" s="55"/>
      <c r="D1457" s="55"/>
      <c r="E1457" s="93"/>
      <c r="F1457" s="56"/>
    </row>
    <row r="1458" spans="1:6">
      <c r="A1458" s="67"/>
      <c r="B1458" s="55"/>
      <c r="C1458" s="55"/>
      <c r="D1458" s="55"/>
      <c r="E1458" s="93"/>
      <c r="F1458" s="56"/>
    </row>
    <row r="1459" spans="1:6">
      <c r="A1459" s="67"/>
      <c r="B1459" s="55"/>
      <c r="C1459" s="55"/>
      <c r="D1459" s="55"/>
      <c r="E1459" s="93"/>
      <c r="F1459" s="56"/>
    </row>
    <row r="1460" spans="1:6">
      <c r="A1460" s="67"/>
      <c r="B1460" s="55"/>
      <c r="C1460" s="55"/>
      <c r="D1460" s="55"/>
      <c r="E1460" s="93"/>
      <c r="F1460" s="56"/>
    </row>
    <row r="1461" spans="1:6">
      <c r="A1461" s="67"/>
      <c r="B1461" s="55"/>
      <c r="C1461" s="55"/>
      <c r="D1461" s="55"/>
      <c r="E1461" s="93"/>
      <c r="F1461" s="56"/>
    </row>
    <row r="1462" spans="1:6">
      <c r="A1462" s="67"/>
      <c r="B1462" s="55"/>
      <c r="C1462" s="55"/>
      <c r="D1462" s="55"/>
      <c r="E1462" s="93"/>
      <c r="F1462" s="56"/>
    </row>
    <row r="1463" spans="1:6">
      <c r="A1463" s="67"/>
      <c r="B1463" s="55"/>
      <c r="C1463" s="55"/>
      <c r="D1463" s="55"/>
      <c r="E1463" s="93"/>
      <c r="F1463" s="56"/>
    </row>
    <row r="1464" spans="1:6">
      <c r="A1464" s="67"/>
      <c r="B1464" s="55"/>
      <c r="C1464" s="55"/>
      <c r="D1464" s="55"/>
      <c r="E1464" s="93"/>
      <c r="F1464" s="56"/>
    </row>
    <row r="1465" spans="1:6">
      <c r="A1465" s="67"/>
      <c r="B1465" s="55"/>
      <c r="C1465" s="55"/>
      <c r="D1465" s="55"/>
      <c r="E1465" s="93"/>
      <c r="F1465" s="56"/>
    </row>
    <row r="1466" spans="1:6">
      <c r="A1466" s="67"/>
      <c r="B1466" s="55"/>
      <c r="C1466" s="55"/>
      <c r="D1466" s="55"/>
      <c r="E1466" s="93"/>
      <c r="F1466" s="56"/>
    </row>
    <row r="1467" spans="1:6">
      <c r="A1467" s="67"/>
      <c r="B1467" s="55"/>
      <c r="C1467" s="55"/>
      <c r="D1467" s="55"/>
      <c r="E1467" s="93"/>
      <c r="F1467" s="56"/>
    </row>
    <row r="1468" spans="1:6">
      <c r="A1468" s="67"/>
      <c r="B1468" s="55"/>
      <c r="C1468" s="55"/>
      <c r="D1468" s="55"/>
      <c r="E1468" s="93"/>
      <c r="F1468" s="56"/>
    </row>
    <row r="1469" spans="1:6">
      <c r="A1469" s="67"/>
      <c r="B1469" s="55"/>
      <c r="C1469" s="55"/>
      <c r="D1469" s="55"/>
      <c r="E1469" s="93"/>
      <c r="F1469" s="56"/>
    </row>
    <row r="1470" spans="1:6">
      <c r="A1470" s="67"/>
      <c r="B1470" s="55"/>
      <c r="C1470" s="55"/>
      <c r="D1470" s="55"/>
      <c r="E1470" s="93"/>
      <c r="F1470" s="56"/>
    </row>
    <row r="1471" spans="1:6">
      <c r="A1471" s="67"/>
      <c r="B1471" s="55"/>
      <c r="C1471" s="55"/>
      <c r="D1471" s="55"/>
      <c r="E1471" s="93"/>
      <c r="F1471" s="56"/>
    </row>
    <row r="1472" spans="1:6">
      <c r="A1472" s="67"/>
      <c r="B1472" s="55"/>
      <c r="C1472" s="55"/>
      <c r="D1472" s="55"/>
      <c r="E1472" s="93"/>
      <c r="F1472" s="56"/>
    </row>
    <row r="1473" spans="1:6">
      <c r="A1473" s="67"/>
      <c r="B1473" s="55"/>
      <c r="C1473" s="55"/>
      <c r="D1473" s="55"/>
      <c r="E1473" s="93"/>
      <c r="F1473" s="56"/>
    </row>
    <row r="1474" spans="1:6">
      <c r="A1474" s="67"/>
      <c r="B1474" s="55"/>
      <c r="C1474" s="55"/>
      <c r="D1474" s="55"/>
      <c r="E1474" s="93"/>
      <c r="F1474" s="56"/>
    </row>
    <row r="1475" spans="1:6">
      <c r="A1475" s="67"/>
      <c r="B1475" s="55"/>
      <c r="C1475" s="55"/>
      <c r="D1475" s="55"/>
      <c r="E1475" s="93"/>
      <c r="F1475" s="56"/>
    </row>
    <row r="1476" spans="1:6">
      <c r="A1476" s="67"/>
      <c r="B1476" s="55"/>
      <c r="C1476" s="55"/>
      <c r="D1476" s="55"/>
      <c r="E1476" s="93"/>
      <c r="F1476" s="56"/>
    </row>
    <row r="1477" spans="1:6">
      <c r="A1477" s="67"/>
      <c r="B1477" s="55"/>
      <c r="C1477" s="55"/>
      <c r="D1477" s="55"/>
      <c r="E1477" s="93"/>
      <c r="F1477" s="56"/>
    </row>
    <row r="1478" spans="1:6">
      <c r="A1478" s="67"/>
      <c r="B1478" s="55"/>
      <c r="C1478" s="55"/>
      <c r="D1478" s="55"/>
      <c r="E1478" s="93"/>
      <c r="F1478" s="56"/>
    </row>
    <row r="1479" spans="1:6">
      <c r="A1479" s="67"/>
      <c r="B1479" s="55"/>
      <c r="C1479" s="55"/>
      <c r="D1479" s="55"/>
      <c r="E1479" s="93"/>
      <c r="F1479" s="56"/>
    </row>
    <row r="1480" spans="1:6">
      <c r="A1480" s="67"/>
      <c r="B1480" s="55"/>
      <c r="C1480" s="55"/>
      <c r="D1480" s="55"/>
      <c r="E1480" s="93"/>
      <c r="F1480" s="56"/>
    </row>
    <row r="1481" spans="1:6">
      <c r="A1481" s="67"/>
      <c r="B1481" s="55"/>
      <c r="C1481" s="55"/>
      <c r="D1481" s="55"/>
      <c r="E1481" s="93"/>
      <c r="F1481" s="56"/>
    </row>
    <row r="1482" spans="1:6">
      <c r="A1482" s="67"/>
      <c r="B1482" s="55"/>
      <c r="C1482" s="55"/>
      <c r="D1482" s="55"/>
      <c r="E1482" s="93"/>
      <c r="F1482" s="56"/>
    </row>
    <row r="1483" spans="1:6">
      <c r="A1483" s="67"/>
      <c r="B1483" s="55"/>
      <c r="C1483" s="55"/>
      <c r="D1483" s="55"/>
      <c r="E1483" s="93"/>
      <c r="F1483" s="56"/>
    </row>
    <row r="1484" spans="1:6">
      <c r="A1484" s="67"/>
      <c r="B1484" s="55"/>
      <c r="C1484" s="55"/>
      <c r="D1484" s="55"/>
      <c r="E1484" s="93"/>
      <c r="F1484" s="56"/>
    </row>
    <row r="1485" spans="1:6">
      <c r="A1485" s="67"/>
      <c r="B1485" s="55"/>
      <c r="C1485" s="55"/>
      <c r="D1485" s="55"/>
      <c r="E1485" s="93"/>
      <c r="F1485" s="56"/>
    </row>
    <row r="1486" spans="1:6">
      <c r="A1486" s="67"/>
      <c r="B1486" s="55"/>
      <c r="C1486" s="55"/>
      <c r="D1486" s="55"/>
      <c r="E1486" s="93"/>
      <c r="F1486" s="56"/>
    </row>
    <row r="1487" spans="1:6">
      <c r="A1487" s="67"/>
      <c r="B1487" s="55"/>
      <c r="C1487" s="55"/>
      <c r="D1487" s="55"/>
      <c r="E1487" s="93"/>
      <c r="F1487" s="56"/>
    </row>
    <row r="1488" spans="1:6">
      <c r="A1488" s="67"/>
      <c r="B1488" s="55"/>
      <c r="C1488" s="55"/>
      <c r="D1488" s="55"/>
      <c r="E1488" s="93"/>
      <c r="F1488" s="56"/>
    </row>
    <row r="1489" spans="1:6">
      <c r="A1489" s="67"/>
      <c r="B1489" s="55"/>
      <c r="C1489" s="55"/>
      <c r="D1489" s="55"/>
      <c r="E1489" s="93"/>
      <c r="F1489" s="56"/>
    </row>
    <row r="1490" spans="1:6">
      <c r="A1490" s="67"/>
      <c r="B1490" s="55"/>
      <c r="C1490" s="55"/>
      <c r="D1490" s="55"/>
      <c r="E1490" s="93"/>
      <c r="F1490" s="56"/>
    </row>
    <row r="1491" spans="1:6">
      <c r="A1491" s="67"/>
      <c r="B1491" s="55"/>
      <c r="C1491" s="55"/>
      <c r="D1491" s="55"/>
      <c r="E1491" s="93"/>
      <c r="F1491" s="56"/>
    </row>
    <row r="1492" spans="1:6">
      <c r="A1492" s="67"/>
      <c r="B1492" s="55"/>
      <c r="C1492" s="55"/>
      <c r="D1492" s="55"/>
      <c r="E1492" s="93"/>
      <c r="F1492" s="56"/>
    </row>
    <row r="1493" spans="1:6">
      <c r="A1493" s="67"/>
      <c r="B1493" s="55"/>
      <c r="C1493" s="55"/>
      <c r="D1493" s="55"/>
      <c r="E1493" s="93"/>
      <c r="F1493" s="56"/>
    </row>
    <row r="1494" spans="1:6">
      <c r="A1494" s="67"/>
      <c r="B1494" s="55"/>
      <c r="C1494" s="55"/>
      <c r="D1494" s="55"/>
      <c r="E1494" s="93"/>
      <c r="F1494" s="56"/>
    </row>
    <row r="1495" spans="1:6">
      <c r="A1495" s="67"/>
      <c r="B1495" s="55"/>
      <c r="C1495" s="55"/>
      <c r="D1495" s="55"/>
      <c r="E1495" s="93"/>
      <c r="F1495" s="56"/>
    </row>
    <row r="1496" spans="1:6">
      <c r="A1496" s="67"/>
      <c r="B1496" s="55"/>
      <c r="C1496" s="55"/>
      <c r="D1496" s="55"/>
      <c r="E1496" s="93"/>
      <c r="F1496" s="56"/>
    </row>
    <row r="1497" spans="1:6">
      <c r="A1497" s="67"/>
      <c r="B1497" s="55"/>
      <c r="C1497" s="55"/>
      <c r="D1497" s="55"/>
      <c r="E1497" s="93"/>
      <c r="F1497" s="56"/>
    </row>
    <row r="1498" spans="1:6">
      <c r="A1498" s="67"/>
      <c r="B1498" s="55"/>
      <c r="C1498" s="55"/>
      <c r="D1498" s="55"/>
      <c r="E1498" s="93"/>
      <c r="F1498" s="56"/>
    </row>
    <row r="1499" spans="1:6">
      <c r="A1499" s="67"/>
      <c r="B1499" s="55"/>
      <c r="C1499" s="55"/>
      <c r="D1499" s="55"/>
      <c r="E1499" s="93"/>
      <c r="F1499" s="56"/>
    </row>
    <row r="1500" spans="1:6">
      <c r="A1500" s="67"/>
      <c r="B1500" s="55"/>
      <c r="C1500" s="55"/>
      <c r="D1500" s="55"/>
      <c r="E1500" s="93"/>
      <c r="F1500" s="56"/>
    </row>
    <row r="1501" spans="1:6">
      <c r="A1501" s="67"/>
      <c r="B1501" s="55"/>
      <c r="C1501" s="55"/>
      <c r="D1501" s="55"/>
      <c r="E1501" s="93"/>
      <c r="F1501" s="56"/>
    </row>
    <row r="1502" spans="1:6">
      <c r="A1502" s="67"/>
      <c r="B1502" s="55"/>
      <c r="C1502" s="55"/>
      <c r="D1502" s="55"/>
      <c r="E1502" s="93"/>
      <c r="F1502" s="56"/>
    </row>
    <row r="1503" spans="1:6">
      <c r="A1503" s="67"/>
      <c r="B1503" s="55"/>
      <c r="C1503" s="55"/>
      <c r="D1503" s="55"/>
      <c r="E1503" s="93"/>
      <c r="F1503" s="56"/>
    </row>
    <row r="1504" spans="1:6">
      <c r="A1504" s="67"/>
      <c r="B1504" s="55"/>
      <c r="C1504" s="55"/>
      <c r="D1504" s="55"/>
      <c r="E1504" s="93"/>
      <c r="F1504" s="56"/>
    </row>
    <row r="1505" spans="1:6">
      <c r="A1505" s="67"/>
      <c r="B1505" s="55"/>
      <c r="C1505" s="55"/>
      <c r="D1505" s="55"/>
      <c r="E1505" s="93"/>
      <c r="F1505" s="56"/>
    </row>
    <row r="1506" spans="1:6">
      <c r="A1506" s="67"/>
      <c r="B1506" s="55"/>
      <c r="C1506" s="55"/>
      <c r="D1506" s="55"/>
      <c r="E1506" s="93"/>
      <c r="F1506" s="56"/>
    </row>
    <row r="1507" spans="1:6">
      <c r="A1507" s="67"/>
      <c r="B1507" s="55"/>
      <c r="C1507" s="55"/>
      <c r="D1507" s="55"/>
      <c r="E1507" s="93"/>
      <c r="F1507" s="56"/>
    </row>
    <row r="1508" spans="1:6">
      <c r="A1508" s="67"/>
      <c r="B1508" s="55"/>
      <c r="C1508" s="55"/>
      <c r="D1508" s="55"/>
      <c r="E1508" s="93"/>
      <c r="F1508" s="56"/>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s>
  <mergeCells count="2">
    <mergeCell ref="B1:H1"/>
    <mergeCell ref="C292:F292"/>
  </mergeCells>
  <phoneticPr fontId="0" type="noConversion"/>
  <pageMargins left="0.5" right="0.5" top="1" bottom="0.5" header="0.5" footer="0.5"/>
  <pageSetup scale="46" fitToHeight="0" orientation="portrait" r:id="rId9"/>
  <headerFooter alignWithMargins="0">
    <oddHeader>&amp;R&amp;14EXHIBIT NO. TRC--203
ATTACHMENT H-18A
Page &amp;P of &amp;N</oddHeader>
  </headerFooter>
  <rowBreaks count="4" manualBreakCount="4">
    <brk id="61" max="16383" man="1"/>
    <brk id="134" max="16383" man="1"/>
    <brk id="190" max="16383"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149"/>
  <sheetViews>
    <sheetView view="pageBreakPreview" zoomScale="85" zoomScaleNormal="70" zoomScaleSheetLayoutView="85" workbookViewId="0">
      <selection activeCell="K24" sqref="K24"/>
    </sheetView>
  </sheetViews>
  <sheetFormatPr defaultColWidth="17.109375" defaultRowHeight="13.2"/>
  <cols>
    <col min="2" max="2" width="18.5546875" customWidth="1"/>
    <col min="3" max="3" width="17.33203125" bestFit="1" customWidth="1"/>
    <col min="4" max="4" width="18.44140625" bestFit="1" customWidth="1"/>
    <col min="7" max="7" width="17.33203125" bestFit="1" customWidth="1"/>
    <col min="9" max="9" width="17.33203125" bestFit="1" customWidth="1"/>
    <col min="11" max="13" width="17.33203125" bestFit="1" customWidth="1"/>
    <col min="15" max="15" width="17.33203125" bestFit="1" customWidth="1"/>
    <col min="17" max="17" width="20.33203125" customWidth="1"/>
    <col min="19" max="19" width="17.33203125" bestFit="1" customWidth="1"/>
  </cols>
  <sheetData>
    <row r="1" spans="1:52" ht="17.399999999999999">
      <c r="B1" s="995" t="s">
        <v>846</v>
      </c>
    </row>
    <row r="2" spans="1:52" ht="15.6">
      <c r="B2" s="1" t="s">
        <v>658</v>
      </c>
    </row>
    <row r="3" spans="1:52" ht="15.6">
      <c r="B3" s="1" t="s">
        <v>846</v>
      </c>
    </row>
    <row r="4" spans="1:52" ht="15.6">
      <c r="B4" s="651"/>
    </row>
    <row r="5" spans="1:52" ht="15.6">
      <c r="A5" s="919"/>
      <c r="B5" s="973" t="s">
        <v>842</v>
      </c>
      <c r="C5" s="972"/>
      <c r="D5" s="972"/>
      <c r="E5" s="972"/>
      <c r="F5" s="972"/>
      <c r="G5" s="972"/>
      <c r="H5" s="972"/>
      <c r="I5" s="972"/>
      <c r="J5" s="972"/>
      <c r="K5" s="972"/>
      <c r="L5" s="972"/>
      <c r="M5" s="972"/>
      <c r="N5" s="972"/>
      <c r="O5" s="972"/>
      <c r="P5" s="972"/>
      <c r="Q5" s="972"/>
      <c r="R5" s="972"/>
      <c r="S5" s="972"/>
      <c r="T5" s="972"/>
      <c r="U5" s="972"/>
      <c r="V5" s="972"/>
      <c r="W5" s="972"/>
      <c r="X5" s="972"/>
      <c r="Y5" s="971"/>
      <c r="Z5" s="652"/>
      <c r="AA5" s="359"/>
      <c r="AB5" s="359"/>
      <c r="AC5" s="359"/>
      <c r="AD5" s="359"/>
      <c r="AE5" s="359"/>
      <c r="AF5" s="359"/>
      <c r="AG5" s="359"/>
      <c r="AH5" s="359"/>
      <c r="AI5" s="359"/>
    </row>
    <row r="6" spans="1:52">
      <c r="A6" s="894"/>
      <c r="B6" s="240"/>
      <c r="C6" s="652"/>
      <c r="D6" s="652"/>
      <c r="E6" s="652"/>
      <c r="F6" s="652"/>
      <c r="G6" s="654"/>
      <c r="H6" s="654"/>
      <c r="I6" s="654"/>
      <c r="J6" s="654"/>
      <c r="K6" s="653"/>
      <c r="L6" s="653"/>
      <c r="M6" s="653"/>
      <c r="N6" s="653"/>
      <c r="O6" s="653"/>
      <c r="P6" s="653"/>
      <c r="Q6" s="653"/>
      <c r="R6" s="653"/>
      <c r="S6" s="653"/>
      <c r="T6" s="653"/>
      <c r="U6" s="653"/>
      <c r="V6" s="653"/>
      <c r="W6" s="653"/>
      <c r="X6" s="653"/>
      <c r="Y6" s="970"/>
      <c r="Z6" s="652"/>
      <c r="AA6" s="359"/>
      <c r="AB6" s="359"/>
      <c r="AC6" s="359"/>
      <c r="AD6" s="359"/>
      <c r="AE6" s="359"/>
      <c r="AF6" s="359"/>
      <c r="AG6" s="359"/>
      <c r="AH6" s="359"/>
      <c r="AI6" s="359"/>
    </row>
    <row r="7" spans="1:52">
      <c r="A7" s="894"/>
      <c r="B7" s="653" t="s">
        <v>1183</v>
      </c>
      <c r="C7" s="652"/>
      <c r="D7" s="652"/>
      <c r="E7" s="652"/>
      <c r="F7" s="652"/>
      <c r="G7" s="654"/>
      <c r="H7" s="654"/>
      <c r="I7" s="654"/>
      <c r="J7" s="654"/>
      <c r="K7" s="653"/>
      <c r="L7" s="653"/>
      <c r="M7" s="653"/>
      <c r="N7" s="653"/>
      <c r="O7" s="653"/>
      <c r="P7" s="653"/>
      <c r="Q7" s="653"/>
      <c r="R7" s="653"/>
      <c r="S7" s="653"/>
      <c r="T7" s="653"/>
      <c r="U7" s="653"/>
      <c r="V7" s="653"/>
      <c r="W7" s="653"/>
      <c r="X7" s="653"/>
      <c r="Y7" s="970"/>
      <c r="Z7" s="652"/>
      <c r="AA7" s="359"/>
      <c r="AB7" s="359"/>
      <c r="AC7" s="359"/>
      <c r="AD7" s="359"/>
      <c r="AE7" s="359"/>
      <c r="AF7" s="359"/>
      <c r="AG7" s="359"/>
      <c r="AH7" s="359"/>
      <c r="AI7" s="359"/>
    </row>
    <row r="8" spans="1:52" ht="13.8" thickBot="1">
      <c r="A8" s="894"/>
      <c r="B8" s="240"/>
      <c r="C8" s="240"/>
      <c r="D8" s="652"/>
      <c r="E8" s="652"/>
      <c r="F8" s="652"/>
      <c r="G8" s="654"/>
      <c r="H8" s="654"/>
      <c r="I8" s="654"/>
      <c r="J8" s="654"/>
      <c r="K8" s="653"/>
      <c r="L8" s="653"/>
      <c r="M8" s="653"/>
      <c r="N8" s="653"/>
      <c r="O8" s="653"/>
      <c r="P8" s="653"/>
      <c r="Q8" s="653"/>
      <c r="R8" s="653"/>
      <c r="S8" s="653"/>
      <c r="T8" s="653"/>
      <c r="U8" s="653"/>
      <c r="V8" s="653"/>
      <c r="W8" s="653"/>
      <c r="X8" s="653"/>
      <c r="Y8" s="970"/>
      <c r="Z8" s="652"/>
      <c r="AA8" s="359"/>
      <c r="AB8" s="359"/>
      <c r="AC8" s="359"/>
      <c r="AD8" s="359"/>
      <c r="AE8" s="359"/>
      <c r="AF8" s="359"/>
      <c r="AG8" s="359"/>
      <c r="AH8" s="359"/>
      <c r="AI8" s="359"/>
    </row>
    <row r="9" spans="1:52" ht="14.4" thickBot="1">
      <c r="A9" s="894"/>
      <c r="B9" s="946" t="s">
        <v>989</v>
      </c>
      <c r="C9" s="945">
        <v>43830</v>
      </c>
      <c r="D9" s="652"/>
      <c r="E9" s="652"/>
      <c r="F9" s="652"/>
      <c r="G9" s="653"/>
      <c r="H9" s="653"/>
      <c r="I9" s="240"/>
      <c r="J9" s="653"/>
      <c r="K9" s="943"/>
      <c r="L9" s="653"/>
      <c r="M9" s="653"/>
      <c r="N9" s="653"/>
      <c r="O9" s="653"/>
      <c r="P9" s="653"/>
      <c r="Q9" s="653"/>
      <c r="R9" s="653"/>
      <c r="S9" s="653"/>
      <c r="T9" s="653"/>
      <c r="U9" s="653"/>
      <c r="V9" s="653"/>
      <c r="W9" s="653"/>
      <c r="X9" s="653"/>
      <c r="Y9" s="970"/>
      <c r="Z9" s="652"/>
      <c r="AA9" s="359"/>
      <c r="AB9" s="359"/>
      <c r="AC9" s="359"/>
      <c r="AD9" s="359"/>
      <c r="AE9" s="359"/>
      <c r="AF9" s="359"/>
      <c r="AG9" s="359"/>
      <c r="AH9" s="359"/>
      <c r="AI9" s="359"/>
    </row>
    <row r="10" spans="1:52" s="240" customFormat="1">
      <c r="A10" s="894"/>
      <c r="B10" s="944"/>
      <c r="C10" s="653"/>
      <c r="E10" s="652"/>
      <c r="F10" s="652"/>
      <c r="H10" s="653"/>
      <c r="I10" s="653"/>
      <c r="J10" s="653"/>
      <c r="K10" s="943"/>
      <c r="L10" s="653"/>
      <c r="M10" s="653"/>
      <c r="N10" s="653"/>
      <c r="O10" s="653"/>
      <c r="P10" s="653"/>
      <c r="Q10" s="653"/>
      <c r="R10" s="653"/>
      <c r="S10" s="653"/>
      <c r="T10" s="653"/>
      <c r="U10" s="653"/>
      <c r="V10" s="653"/>
      <c r="W10" s="653"/>
      <c r="X10" s="653"/>
      <c r="Y10" s="970"/>
      <c r="Z10" s="652"/>
      <c r="AA10" s="866"/>
      <c r="AB10" s="866"/>
      <c r="AC10" s="866"/>
      <c r="AD10" s="866"/>
      <c r="AE10" s="866"/>
      <c r="AF10" s="866"/>
      <c r="AG10" s="866"/>
      <c r="AH10" s="866"/>
      <c r="AI10" s="866"/>
    </row>
    <row r="11" spans="1:52" s="476" customFormat="1" ht="15.6">
      <c r="A11" s="916"/>
      <c r="B11" s="183"/>
      <c r="C11" s="968"/>
      <c r="D11" s="912" t="s">
        <v>121</v>
      </c>
      <c r="E11" s="912"/>
      <c r="F11" s="912"/>
      <c r="G11" s="968" t="s">
        <v>120</v>
      </c>
      <c r="H11" s="968"/>
      <c r="I11" s="968" t="s">
        <v>119</v>
      </c>
      <c r="J11" s="968"/>
      <c r="K11" s="968" t="s">
        <v>118</v>
      </c>
      <c r="L11" s="968"/>
      <c r="M11" s="969" t="s">
        <v>117</v>
      </c>
      <c r="N11" s="968"/>
      <c r="O11" s="969" t="s">
        <v>116</v>
      </c>
      <c r="P11" s="968"/>
      <c r="Q11" s="968" t="s">
        <v>115</v>
      </c>
      <c r="R11" s="968"/>
      <c r="S11" s="968" t="s">
        <v>114</v>
      </c>
      <c r="T11" s="968"/>
      <c r="U11" s="912" t="s">
        <v>113</v>
      </c>
      <c r="V11" s="968"/>
      <c r="W11" s="912" t="s">
        <v>112</v>
      </c>
      <c r="X11" s="968"/>
      <c r="Y11" s="967"/>
      <c r="Z11" s="912"/>
      <c r="AD11" s="912"/>
      <c r="AE11" s="912"/>
      <c r="AF11" s="942"/>
      <c r="AG11" s="942"/>
      <c r="AH11" s="942"/>
      <c r="AI11" s="942"/>
    </row>
    <row r="12" spans="1:52" ht="13.8">
      <c r="A12" s="894"/>
      <c r="B12" s="462"/>
      <c r="C12" s="866"/>
      <c r="D12" s="240"/>
      <c r="E12" s="866"/>
      <c r="F12" s="866"/>
      <c r="G12" s="240"/>
      <c r="H12" s="677"/>
      <c r="I12" s="240"/>
      <c r="J12" s="677"/>
      <c r="K12" s="240"/>
      <c r="L12" s="677"/>
      <c r="M12" s="240"/>
      <c r="N12" s="672"/>
      <c r="O12" s="677"/>
      <c r="P12" s="677"/>
      <c r="Q12" s="677"/>
      <c r="R12" s="677"/>
      <c r="S12" s="655"/>
      <c r="T12" s="677"/>
      <c r="U12" s="866"/>
      <c r="V12" s="677"/>
      <c r="W12" s="240"/>
      <c r="X12" s="655"/>
      <c r="Y12" s="952"/>
      <c r="Z12" s="866"/>
      <c r="AD12" s="866"/>
      <c r="AE12" s="874"/>
      <c r="AF12" s="359"/>
      <c r="AG12" s="359"/>
      <c r="AH12" s="359"/>
      <c r="AI12" s="359"/>
      <c r="AK12" s="656"/>
      <c r="AL12" s="462"/>
      <c r="AM12" s="462"/>
      <c r="AN12" s="462"/>
      <c r="AO12" s="462"/>
      <c r="AP12" s="462"/>
      <c r="AQ12" s="462"/>
      <c r="AR12" s="462"/>
      <c r="AS12" s="462"/>
      <c r="AT12" s="2106"/>
      <c r="AU12" s="2106"/>
      <c r="AV12" s="240"/>
      <c r="AW12" s="240"/>
      <c r="AX12" s="240"/>
      <c r="AY12" s="240"/>
      <c r="AZ12" s="240"/>
    </row>
    <row r="13" spans="1:52" ht="13.8">
      <c r="A13" s="894"/>
      <c r="B13" s="240"/>
      <c r="C13" s="866"/>
      <c r="D13" s="240"/>
      <c r="E13" s="866"/>
      <c r="F13" s="866"/>
      <c r="G13" s="240"/>
      <c r="H13" s="677"/>
      <c r="I13" s="240"/>
      <c r="J13" s="677"/>
      <c r="K13" s="240"/>
      <c r="L13" s="677"/>
      <c r="M13" s="672" t="s">
        <v>990</v>
      </c>
      <c r="N13" s="672"/>
      <c r="O13" s="677"/>
      <c r="P13" s="677"/>
      <c r="Q13" s="932" t="s">
        <v>841</v>
      </c>
      <c r="R13" s="677"/>
      <c r="S13" s="655"/>
      <c r="T13" s="677"/>
      <c r="U13" s="240"/>
      <c r="V13" s="677"/>
      <c r="W13" s="672" t="s">
        <v>111</v>
      </c>
      <c r="X13" s="655"/>
      <c r="Y13" s="952"/>
      <c r="Z13" s="866"/>
      <c r="AD13" s="866"/>
      <c r="AE13" s="874"/>
      <c r="AF13" s="359"/>
      <c r="AG13" s="359"/>
      <c r="AH13" s="359"/>
      <c r="AI13" s="359"/>
      <c r="AK13" s="656"/>
      <c r="AL13" s="462"/>
      <c r="AM13" s="462"/>
      <c r="AN13" s="462"/>
      <c r="AO13" s="462"/>
      <c r="AP13" s="462"/>
      <c r="AQ13" s="462"/>
      <c r="AR13" s="462"/>
      <c r="AS13" s="462"/>
      <c r="AT13" s="462"/>
      <c r="AU13" s="462"/>
      <c r="AV13" s="240"/>
      <c r="AW13" s="240"/>
      <c r="AX13" s="240"/>
      <c r="AY13" s="240"/>
      <c r="AZ13" s="240"/>
    </row>
    <row r="14" spans="1:52" ht="13.8">
      <c r="A14" s="894"/>
      <c r="B14" s="653"/>
      <c r="C14" s="240"/>
      <c r="D14" s="644"/>
      <c r="E14" s="644"/>
      <c r="F14" s="644"/>
      <c r="G14" s="672"/>
      <c r="H14" s="672"/>
      <c r="I14" s="672"/>
      <c r="J14" s="672"/>
      <c r="K14" s="672"/>
      <c r="L14" s="672"/>
      <c r="M14" s="672" t="s">
        <v>903</v>
      </c>
      <c r="N14" s="672"/>
      <c r="O14" s="672" t="s">
        <v>343</v>
      </c>
      <c r="P14" s="672"/>
      <c r="Q14" s="932" t="s">
        <v>992</v>
      </c>
      <c r="R14" s="672"/>
      <c r="S14" s="672" t="s">
        <v>111</v>
      </c>
      <c r="T14" s="672"/>
      <c r="U14" s="672" t="s">
        <v>991</v>
      </c>
      <c r="V14" s="672"/>
      <c r="W14" s="672" t="s">
        <v>645</v>
      </c>
      <c r="X14" s="644"/>
      <c r="Y14" s="890"/>
      <c r="Z14" s="644"/>
      <c r="AD14" s="644"/>
      <c r="AE14" s="906"/>
      <c r="AF14" s="643"/>
      <c r="AG14" s="643"/>
      <c r="AH14" s="643"/>
      <c r="AI14" s="643"/>
      <c r="AK14" s="657"/>
      <c r="AL14" s="658"/>
      <c r="AM14" s="658"/>
      <c r="AN14" s="658"/>
      <c r="AO14" s="658"/>
      <c r="AP14" s="658"/>
      <c r="AQ14" s="658"/>
      <c r="AR14" s="658"/>
      <c r="AS14" s="658"/>
      <c r="AT14" s="658"/>
      <c r="AU14" s="658"/>
      <c r="AV14" s="240"/>
      <c r="AW14" s="240"/>
      <c r="AX14" s="240"/>
      <c r="AY14" s="240"/>
      <c r="AZ14" s="240"/>
    </row>
    <row r="15" spans="1:52" ht="13.8">
      <c r="A15" s="894"/>
      <c r="B15" s="941"/>
      <c r="C15" s="240"/>
      <c r="D15" s="240"/>
      <c r="E15" s="672"/>
      <c r="F15" s="672"/>
      <c r="G15" s="672"/>
      <c r="H15" s="672"/>
      <c r="I15" s="672" t="s">
        <v>110</v>
      </c>
      <c r="J15" s="672"/>
      <c r="K15" s="672" t="s">
        <v>109</v>
      </c>
      <c r="L15" s="672"/>
      <c r="M15" s="672" t="s">
        <v>992</v>
      </c>
      <c r="N15" s="672"/>
      <c r="O15" s="672" t="s">
        <v>992</v>
      </c>
      <c r="P15" s="672"/>
      <c r="Q15" s="932" t="s">
        <v>840</v>
      </c>
      <c r="R15" s="672"/>
      <c r="S15" s="462" t="s">
        <v>992</v>
      </c>
      <c r="T15" s="672"/>
      <c r="U15" s="672" t="s">
        <v>995</v>
      </c>
      <c r="V15" s="672"/>
      <c r="W15" s="672" t="s">
        <v>108</v>
      </c>
      <c r="X15" s="644"/>
      <c r="Y15" s="890"/>
      <c r="Z15" s="644"/>
      <c r="AD15" s="644"/>
      <c r="AE15" s="906"/>
      <c r="AF15" s="643"/>
      <c r="AG15" s="643"/>
      <c r="AH15" s="643"/>
      <c r="AI15" s="643"/>
      <c r="AK15" s="929"/>
      <c r="AL15" s="659"/>
      <c r="AM15" s="659"/>
      <c r="AN15" s="659"/>
      <c r="AO15" s="659"/>
      <c r="AP15" s="659"/>
      <c r="AQ15" s="659"/>
      <c r="AR15" s="659"/>
      <c r="AS15" s="659"/>
      <c r="AT15" s="659"/>
      <c r="AU15" s="659"/>
      <c r="AV15" s="240"/>
      <c r="AW15" s="240"/>
      <c r="AX15" s="240"/>
      <c r="AY15" s="240"/>
      <c r="AZ15" s="240"/>
    </row>
    <row r="16" spans="1:52" ht="13.8">
      <c r="A16" s="894"/>
      <c r="B16" s="644"/>
      <c r="C16" s="914" t="s">
        <v>107</v>
      </c>
      <c r="D16" s="672" t="s">
        <v>106</v>
      </c>
      <c r="E16" s="672"/>
      <c r="F16" s="672"/>
      <c r="G16" s="672" t="s">
        <v>105</v>
      </c>
      <c r="H16" s="672"/>
      <c r="I16" s="672" t="s">
        <v>104</v>
      </c>
      <c r="J16" s="672"/>
      <c r="K16" s="672" t="s">
        <v>103</v>
      </c>
      <c r="L16" s="672"/>
      <c r="M16" s="932" t="s">
        <v>102</v>
      </c>
      <c r="N16" s="932"/>
      <c r="O16" s="462" t="s">
        <v>102</v>
      </c>
      <c r="P16" s="672"/>
      <c r="Q16" s="932" t="s">
        <v>839</v>
      </c>
      <c r="R16" s="672"/>
      <c r="S16" s="462" t="s">
        <v>101</v>
      </c>
      <c r="T16" s="672"/>
      <c r="U16" s="240" t="s">
        <v>838</v>
      </c>
      <c r="V16" s="462"/>
      <c r="W16" s="932" t="s">
        <v>100</v>
      </c>
      <c r="X16" s="644"/>
      <c r="Y16" s="890"/>
      <c r="Z16" s="644"/>
      <c r="AD16" s="644"/>
      <c r="AE16" s="644"/>
      <c r="AF16" s="643"/>
      <c r="AG16" s="643"/>
      <c r="AH16" s="643"/>
      <c r="AI16" s="643"/>
      <c r="AK16" s="929"/>
      <c r="AL16" s="659"/>
      <c r="AM16" s="659"/>
      <c r="AN16" s="659"/>
      <c r="AO16" s="659"/>
      <c r="AP16" s="659"/>
      <c r="AQ16" s="659"/>
      <c r="AR16" s="659"/>
      <c r="AS16" s="659"/>
      <c r="AT16" s="659"/>
      <c r="AU16" s="659"/>
      <c r="AV16" s="240"/>
      <c r="AW16" s="240"/>
      <c r="AX16" s="240"/>
      <c r="AY16" s="240"/>
      <c r="AZ16" s="240"/>
    </row>
    <row r="17" spans="1:52" ht="15.6">
      <c r="A17" s="894"/>
      <c r="B17" s="940" t="s">
        <v>99</v>
      </c>
      <c r="C17" s="939">
        <f>C40</f>
        <v>43830</v>
      </c>
      <c r="D17" s="240"/>
      <c r="E17" s="672"/>
      <c r="F17" s="672"/>
      <c r="G17" s="672"/>
      <c r="H17" s="672"/>
      <c r="I17" s="672"/>
      <c r="J17" s="672"/>
      <c r="K17" s="672"/>
      <c r="L17" s="672"/>
      <c r="M17" s="672"/>
      <c r="N17" s="672"/>
      <c r="O17" s="672"/>
      <c r="P17" s="672"/>
      <c r="Q17" s="932"/>
      <c r="R17" s="672"/>
      <c r="S17" s="672"/>
      <c r="T17" s="672"/>
      <c r="U17" s="672"/>
      <c r="V17" s="672"/>
      <c r="W17" s="644"/>
      <c r="X17" s="644"/>
      <c r="Y17" s="890"/>
      <c r="Z17" s="644"/>
      <c r="AD17" s="644"/>
      <c r="AE17" s="644"/>
      <c r="AF17" s="643"/>
      <c r="AG17" s="643"/>
      <c r="AH17" s="643"/>
      <c r="AI17" s="643"/>
      <c r="AK17" s="929"/>
      <c r="AL17" s="659"/>
      <c r="AM17" s="659"/>
      <c r="AN17" s="659"/>
      <c r="AO17" s="659"/>
      <c r="AP17" s="659"/>
      <c r="AQ17" s="659"/>
      <c r="AR17" s="659"/>
      <c r="AS17" s="659"/>
      <c r="AT17" s="659"/>
      <c r="AU17" s="659"/>
      <c r="AV17" s="240"/>
      <c r="AW17" s="240"/>
      <c r="AX17" s="240"/>
      <c r="AY17" s="240"/>
      <c r="AZ17" s="240"/>
    </row>
    <row r="18" spans="1:52" ht="13.8">
      <c r="A18" s="894"/>
      <c r="B18" s="661" t="s">
        <v>996</v>
      </c>
      <c r="C18" s="644"/>
      <c r="D18" s="240"/>
      <c r="E18" s="931"/>
      <c r="F18" s="931"/>
      <c r="G18" s="931"/>
      <c r="H18" s="931"/>
      <c r="I18" s="931"/>
      <c r="J18" s="931"/>
      <c r="K18" s="931"/>
      <c r="L18" s="931"/>
      <c r="M18" s="931"/>
      <c r="N18" s="931"/>
      <c r="O18" s="672"/>
      <c r="P18" s="931"/>
      <c r="Q18" s="974"/>
      <c r="R18" s="931"/>
      <c r="S18" s="672"/>
      <c r="T18" s="672"/>
      <c r="U18" s="672"/>
      <c r="V18" s="672"/>
      <c r="W18" s="644"/>
      <c r="X18" s="644"/>
      <c r="Y18" s="890"/>
      <c r="Z18" s="644"/>
      <c r="AD18" s="644"/>
      <c r="AE18" s="644"/>
      <c r="AF18" s="643"/>
      <c r="AG18" s="643"/>
      <c r="AH18" s="643"/>
      <c r="AI18" s="643"/>
      <c r="AK18" s="929"/>
      <c r="AL18" s="659"/>
      <c r="AM18" s="659"/>
      <c r="AN18" s="659"/>
      <c r="AO18" s="659"/>
      <c r="AP18" s="659"/>
      <c r="AQ18" s="659"/>
      <c r="AR18" s="659"/>
      <c r="AS18" s="659"/>
      <c r="AT18" s="659"/>
      <c r="AU18" s="659"/>
      <c r="AV18" s="240"/>
      <c r="AW18" s="240"/>
      <c r="AX18" s="240"/>
      <c r="AY18" s="240"/>
      <c r="AZ18" s="240"/>
    </row>
    <row r="19" spans="1:52" ht="13.8">
      <c r="A19" s="953" t="s">
        <v>79</v>
      </c>
      <c r="B19" s="898" t="str">
        <f>B47</f>
        <v>3.85%, Senior Unsecured Notes</v>
      </c>
      <c r="C19" s="938"/>
      <c r="D19" s="908">
        <f>D47</f>
        <v>41984</v>
      </c>
      <c r="E19" s="931"/>
      <c r="F19" s="931"/>
      <c r="G19" s="908">
        <f>G47</f>
        <v>45810</v>
      </c>
      <c r="H19" s="931"/>
      <c r="I19" s="1873">
        <f>I47</f>
        <v>550000000</v>
      </c>
      <c r="J19" s="1873"/>
      <c r="K19" s="1873">
        <f>S47</f>
        <v>545247429</v>
      </c>
      <c r="L19" s="1873"/>
      <c r="M19" s="1963">
        <v>547537066</v>
      </c>
      <c r="N19" s="931"/>
      <c r="O19" s="672">
        <v>12</v>
      </c>
      <c r="P19" s="931"/>
      <c r="Q19" s="1926">
        <f>M19*O19/12</f>
        <v>547537066</v>
      </c>
      <c r="R19" s="931"/>
      <c r="S19" s="930">
        <f>+Q19/$Q$26</f>
        <v>0.87997486286921955</v>
      </c>
      <c r="T19" s="644"/>
      <c r="U19" s="1901">
        <f>AA47</f>
        <v>3.9514347101496212E-2</v>
      </c>
      <c r="V19" s="644"/>
      <c r="W19" s="1902">
        <f>+S19*U19</f>
        <v>3.4771632172005872E-2</v>
      </c>
      <c r="X19" s="644"/>
      <c r="Y19" s="890"/>
      <c r="Z19" s="905"/>
      <c r="AD19" s="644"/>
      <c r="AE19" s="644"/>
      <c r="AF19" s="643"/>
      <c r="AG19" s="643"/>
      <c r="AH19" s="643"/>
      <c r="AI19" s="643"/>
      <c r="AK19" s="929"/>
      <c r="AL19" s="659"/>
      <c r="AM19" s="659"/>
      <c r="AN19" s="659"/>
      <c r="AO19" s="659"/>
      <c r="AP19" s="659"/>
      <c r="AQ19" s="659"/>
      <c r="AR19" s="659"/>
      <c r="AS19" s="659"/>
      <c r="AT19" s="659"/>
      <c r="AU19" s="659"/>
      <c r="AV19" s="240"/>
      <c r="AW19" s="240"/>
      <c r="AX19" s="240"/>
      <c r="AY19" s="240"/>
      <c r="AZ19" s="240"/>
    </row>
    <row r="20" spans="1:52" ht="13.8">
      <c r="A20" s="953" t="s">
        <v>1234</v>
      </c>
      <c r="B20" s="898" t="str">
        <f>B48</f>
        <v>3.76%, Senior Unsecured Notes</v>
      </c>
      <c r="C20" s="933"/>
      <c r="D20" s="908">
        <v>42293</v>
      </c>
      <c r="E20" s="1874"/>
      <c r="F20" s="1874"/>
      <c r="G20" s="907">
        <v>45807</v>
      </c>
      <c r="H20" s="1874"/>
      <c r="I20" s="1875">
        <v>75000000</v>
      </c>
      <c r="J20" s="1875"/>
      <c r="K20" s="1873">
        <f>S48</f>
        <v>74437647</v>
      </c>
      <c r="L20" s="1875"/>
      <c r="M20" s="1963">
        <v>74681919</v>
      </c>
      <c r="N20" s="662"/>
      <c r="O20" s="935">
        <v>12</v>
      </c>
      <c r="P20" s="662"/>
      <c r="Q20" s="1926">
        <f>M20*O20/12</f>
        <v>74681919</v>
      </c>
      <c r="R20" s="662"/>
      <c r="S20" s="934">
        <f>Q20/Q26</f>
        <v>0.12002513713078042</v>
      </c>
      <c r="T20" s="933"/>
      <c r="U20" s="1901">
        <f>AA48</f>
        <v>3.8535860120355127E-2</v>
      </c>
      <c r="V20" s="933"/>
      <c r="W20" s="1902">
        <f>+S20*U20</f>
        <v>4.6252718953981968E-3</v>
      </c>
      <c r="X20" s="933"/>
      <c r="Y20" s="890"/>
      <c r="Z20" s="905"/>
      <c r="AD20" s="644"/>
      <c r="AE20" s="644"/>
      <c r="AF20" s="643"/>
      <c r="AG20" s="643"/>
      <c r="AH20" s="643"/>
      <c r="AI20" s="643"/>
      <c r="AK20" s="929"/>
      <c r="AL20" s="659"/>
      <c r="AM20" s="659"/>
      <c r="AN20" s="659"/>
      <c r="AO20" s="659"/>
      <c r="AP20" s="659"/>
      <c r="AQ20" s="659"/>
      <c r="AR20" s="659"/>
      <c r="AS20" s="659"/>
      <c r="AT20" s="659"/>
      <c r="AU20" s="659"/>
      <c r="AV20" s="240"/>
      <c r="AW20" s="240"/>
      <c r="AX20" s="240"/>
      <c r="AY20" s="240"/>
      <c r="AZ20" s="240"/>
    </row>
    <row r="21" spans="1:52" ht="13.8">
      <c r="A21" s="894"/>
      <c r="B21" s="240"/>
      <c r="C21" s="933"/>
      <c r="D21" s="937"/>
      <c r="E21" s="1874"/>
      <c r="F21" s="1874"/>
      <c r="G21" s="936"/>
      <c r="H21" s="1874"/>
      <c r="I21" s="1875"/>
      <c r="J21" s="1875"/>
      <c r="K21" s="1875"/>
      <c r="L21" s="1875"/>
      <c r="M21" s="1875"/>
      <c r="N21" s="662"/>
      <c r="O21" s="935"/>
      <c r="P21" s="662"/>
      <c r="Q21" s="1876"/>
      <c r="R21" s="662"/>
      <c r="S21" s="934"/>
      <c r="T21" s="933"/>
      <c r="U21" s="1877"/>
      <c r="V21" s="933"/>
      <c r="W21" s="923"/>
      <c r="X21" s="933"/>
      <c r="Y21" s="890"/>
      <c r="Z21" s="905"/>
      <c r="AD21" s="644"/>
      <c r="AE21" s="644"/>
      <c r="AF21" s="643"/>
      <c r="AG21" s="643"/>
      <c r="AH21" s="643"/>
      <c r="AI21" s="643"/>
      <c r="AK21" s="929"/>
      <c r="AL21" s="659"/>
      <c r="AM21" s="659"/>
      <c r="AN21" s="659"/>
      <c r="AO21" s="659"/>
      <c r="AP21" s="659"/>
      <c r="AQ21" s="659"/>
      <c r="AR21" s="659"/>
      <c r="AS21" s="659"/>
      <c r="AT21" s="659"/>
      <c r="AU21" s="659"/>
      <c r="AV21" s="240"/>
      <c r="AW21" s="240"/>
      <c r="AX21" s="240"/>
      <c r="AY21" s="240"/>
      <c r="AZ21" s="240"/>
    </row>
    <row r="22" spans="1:52" ht="13.8">
      <c r="A22" s="894"/>
      <c r="B22" s="900"/>
      <c r="C22" s="644"/>
      <c r="D22" s="897"/>
      <c r="E22" s="1878"/>
      <c r="F22" s="1878"/>
      <c r="G22" s="897"/>
      <c r="H22" s="1878"/>
      <c r="I22" s="1876"/>
      <c r="J22" s="1876"/>
      <c r="K22" s="1876"/>
      <c r="L22" s="1876"/>
      <c r="M22" s="1876"/>
      <c r="N22" s="927"/>
      <c r="O22" s="932"/>
      <c r="P22" s="927"/>
      <c r="Q22" s="1876"/>
      <c r="R22" s="927"/>
      <c r="S22" s="926"/>
      <c r="T22" s="556"/>
      <c r="U22" s="1879"/>
      <c r="V22" s="556"/>
      <c r="W22" s="923"/>
      <c r="X22" s="644"/>
      <c r="Y22" s="890"/>
      <c r="Z22" s="644"/>
      <c r="AD22" s="644"/>
      <c r="AE22" s="644"/>
      <c r="AF22" s="643"/>
      <c r="AG22" s="643"/>
      <c r="AH22" s="643"/>
      <c r="AI22" s="643"/>
      <c r="AK22" s="929"/>
      <c r="AL22" s="659"/>
      <c r="AM22" s="659"/>
      <c r="AN22" s="659"/>
      <c r="AO22" s="659"/>
      <c r="AP22" s="659"/>
      <c r="AQ22" s="659"/>
      <c r="AR22" s="659"/>
      <c r="AS22" s="659"/>
      <c r="AT22" s="659"/>
      <c r="AU22" s="659"/>
      <c r="AV22" s="240"/>
      <c r="AW22" s="240"/>
      <c r="AX22" s="240"/>
      <c r="AY22" s="240"/>
      <c r="AZ22" s="240"/>
    </row>
    <row r="23" spans="1:52" ht="13.8">
      <c r="A23" s="953"/>
      <c r="B23" s="898"/>
      <c r="C23" s="866"/>
      <c r="D23" s="897"/>
      <c r="E23" s="556"/>
      <c r="F23" s="556"/>
      <c r="G23" s="897"/>
      <c r="H23" s="928"/>
      <c r="I23" s="1876"/>
      <c r="J23" s="1876"/>
      <c r="K23" s="1876"/>
      <c r="L23" s="1876"/>
      <c r="M23" s="1873"/>
      <c r="N23" s="931"/>
      <c r="O23" s="932"/>
      <c r="P23" s="931"/>
      <c r="Q23" s="1880"/>
      <c r="R23" s="931"/>
      <c r="S23" s="930"/>
      <c r="T23" s="556"/>
      <c r="U23" s="966"/>
      <c r="V23" s="556"/>
      <c r="W23" s="923"/>
      <c r="X23" s="644"/>
      <c r="Y23" s="890"/>
      <c r="Z23" s="644"/>
      <c r="AD23" s="644"/>
      <c r="AE23" s="644"/>
      <c r="AF23" s="643"/>
      <c r="AG23" s="643"/>
      <c r="AH23" s="643"/>
      <c r="AI23" s="643"/>
      <c r="AK23" s="929"/>
      <c r="AL23" s="659"/>
      <c r="AM23" s="659"/>
      <c r="AN23" s="659"/>
      <c r="AO23" s="659"/>
      <c r="AP23" s="659"/>
      <c r="AQ23" s="659"/>
      <c r="AR23" s="659"/>
      <c r="AS23" s="659"/>
      <c r="AT23" s="659"/>
      <c r="AU23" s="659"/>
      <c r="AV23" s="240"/>
      <c r="AW23" s="240"/>
      <c r="AX23" s="240"/>
      <c r="AY23" s="240"/>
      <c r="AZ23" s="240"/>
    </row>
    <row r="24" spans="1:52" ht="13.8">
      <c r="A24" s="953"/>
      <c r="B24" s="439"/>
      <c r="C24" s="644"/>
      <c r="D24" s="462"/>
      <c r="E24" s="556"/>
      <c r="F24" s="556"/>
      <c r="G24" s="462"/>
      <c r="H24" s="928"/>
      <c r="I24" s="1880"/>
      <c r="J24" s="1876"/>
      <c r="K24" s="1880"/>
      <c r="L24" s="1876"/>
      <c r="M24" s="1880"/>
      <c r="N24" s="927"/>
      <c r="O24" s="932"/>
      <c r="P24" s="927"/>
      <c r="Q24" s="1880"/>
      <c r="R24" s="927"/>
      <c r="S24" s="930"/>
      <c r="T24" s="556"/>
      <c r="U24" s="1879"/>
      <c r="V24" s="556"/>
      <c r="W24" s="923"/>
      <c r="X24" s="644"/>
      <c r="Y24" s="890"/>
      <c r="Z24" s="644"/>
      <c r="AD24" s="644"/>
      <c r="AE24" s="644"/>
      <c r="AF24" s="643"/>
      <c r="AG24" s="643"/>
      <c r="AH24" s="643"/>
      <c r="AI24" s="643"/>
      <c r="AK24" s="240"/>
      <c r="AL24" s="240"/>
      <c r="AM24" s="240"/>
      <c r="AN24" s="240"/>
      <c r="AO24" s="240"/>
      <c r="AP24" s="240"/>
      <c r="AQ24" s="872"/>
      <c r="AR24" s="866"/>
      <c r="AS24" s="872"/>
      <c r="AT24" s="240"/>
      <c r="AU24" s="240"/>
      <c r="AV24" s="240"/>
      <c r="AW24" s="240"/>
      <c r="AX24" s="240"/>
      <c r="AY24" s="240"/>
      <c r="AZ24" s="240"/>
    </row>
    <row r="25" spans="1:52" ht="13.8">
      <c r="A25" s="894"/>
      <c r="B25" s="439"/>
      <c r="C25" s="644"/>
      <c r="D25" s="240"/>
      <c r="E25" s="556"/>
      <c r="F25" s="556"/>
      <c r="G25" s="556"/>
      <c r="H25" s="556"/>
      <c r="I25" s="1881"/>
      <c r="J25" s="1876"/>
      <c r="K25" s="1876"/>
      <c r="L25" s="1876"/>
      <c r="M25" s="1881"/>
      <c r="N25" s="556"/>
      <c r="O25" s="556"/>
      <c r="P25" s="556"/>
      <c r="Q25" s="1881"/>
      <c r="R25" s="556"/>
      <c r="S25" s="925"/>
      <c r="T25" s="556"/>
      <c r="U25" s="923"/>
      <c r="V25" s="556"/>
      <c r="W25" s="886"/>
      <c r="X25" s="644"/>
      <c r="Y25" s="890"/>
      <c r="Z25" s="644"/>
      <c r="AD25" s="644"/>
      <c r="AE25" s="644"/>
      <c r="AF25" s="643"/>
      <c r="AG25" s="643"/>
      <c r="AH25" s="643"/>
      <c r="AI25" s="643"/>
      <c r="AK25" s="240"/>
      <c r="AL25" s="240"/>
      <c r="AM25" s="240"/>
      <c r="AN25" s="240"/>
      <c r="AO25" s="240"/>
      <c r="AP25" s="240"/>
      <c r="AQ25" s="872"/>
      <c r="AR25" s="866"/>
      <c r="AS25" s="872"/>
      <c r="AT25" s="240"/>
      <c r="AU25" s="240"/>
      <c r="AV25" s="240"/>
      <c r="AW25" s="240"/>
      <c r="AX25" s="240"/>
      <c r="AY25" s="240"/>
      <c r="AZ25" s="240"/>
    </row>
    <row r="26" spans="1:52" ht="14.4" thickBot="1">
      <c r="A26" s="894"/>
      <c r="B26" s="924" t="s">
        <v>603</v>
      </c>
      <c r="C26" s="905"/>
      <c r="D26" s="240"/>
      <c r="E26" s="905"/>
      <c r="F26" s="905"/>
      <c r="G26" s="906"/>
      <c r="H26" s="905"/>
      <c r="I26" s="1882">
        <f>SUM(I19:I25)</f>
        <v>625000000</v>
      </c>
      <c r="J26" s="1882"/>
      <c r="K26" s="1882"/>
      <c r="L26" s="1882"/>
      <c r="M26" s="1882">
        <f>SUM(M19:M24)</f>
        <v>622218985</v>
      </c>
      <c r="N26" s="906"/>
      <c r="O26" s="905"/>
      <c r="P26" s="906"/>
      <c r="Q26" s="1876">
        <f>SUM(Q19:Q25)</f>
        <v>622218985</v>
      </c>
      <c r="R26" s="906"/>
      <c r="S26" s="880">
        <f>SUM(S19:S24)</f>
        <v>1</v>
      </c>
      <c r="T26" s="905"/>
      <c r="U26" s="240"/>
      <c r="V26" s="905"/>
      <c r="W26" s="1468">
        <f>ROUND(SUM(W19:W25),4)</f>
        <v>3.9399999999999998E-2</v>
      </c>
      <c r="X26" s="905"/>
      <c r="Y26" s="922" t="s">
        <v>98</v>
      </c>
      <c r="Z26" s="644"/>
      <c r="AD26" s="644"/>
      <c r="AE26" s="644"/>
      <c r="AF26" s="643"/>
      <c r="AG26" s="643"/>
      <c r="AH26" s="643"/>
      <c r="AI26" s="643"/>
      <c r="AK26" s="240"/>
      <c r="AL26" s="240"/>
      <c r="AM26" s="240"/>
      <c r="AN26" s="240"/>
      <c r="AO26" s="240"/>
      <c r="AP26" s="240"/>
      <c r="AQ26" s="872"/>
      <c r="AR26" s="866"/>
      <c r="AS26" s="872"/>
      <c r="AT26" s="240"/>
      <c r="AU26" s="240"/>
      <c r="AV26" s="240"/>
      <c r="AW26" s="240"/>
      <c r="AX26" s="240"/>
      <c r="AY26" s="240"/>
      <c r="AZ26" s="240"/>
    </row>
    <row r="27" spans="1:52" ht="14.4" hidden="1" thickTop="1">
      <c r="A27" s="894"/>
      <c r="B27" s="644" t="s">
        <v>997</v>
      </c>
      <c r="C27" s="905"/>
      <c r="D27" s="905">
        <f>490000000+195750000-I26</f>
        <v>60750000</v>
      </c>
      <c r="E27" s="905"/>
      <c r="F27" s="905"/>
      <c r="G27" s="905">
        <f>3568918-G26</f>
        <v>3568918</v>
      </c>
      <c r="H27" s="905"/>
      <c r="I27" s="905" t="e">
        <f>724091+#REF!</f>
        <v>#REF!</v>
      </c>
      <c r="J27" s="905"/>
      <c r="K27" s="905">
        <f>16241315-K26+834137</f>
        <v>17075452</v>
      </c>
      <c r="L27" s="905"/>
      <c r="M27" s="905"/>
      <c r="N27" s="905"/>
      <c r="O27" s="905"/>
      <c r="P27" s="905"/>
      <c r="Q27" s="965"/>
      <c r="R27" s="905"/>
      <c r="S27" s="905"/>
      <c r="T27" s="905"/>
      <c r="U27" s="905"/>
      <c r="V27" s="905"/>
      <c r="W27" s="880"/>
      <c r="X27" s="905"/>
      <c r="Y27" s="962"/>
      <c r="Z27" s="905"/>
      <c r="AA27" s="890"/>
      <c r="AB27" s="644"/>
      <c r="AC27" s="921"/>
      <c r="AD27" s="644"/>
      <c r="AE27" s="644"/>
      <c r="AF27" s="643"/>
      <c r="AG27" s="643"/>
      <c r="AH27" s="643"/>
      <c r="AI27" s="643"/>
      <c r="AK27" s="240"/>
      <c r="AL27" s="240"/>
      <c r="AM27" s="240"/>
      <c r="AN27" s="240"/>
      <c r="AO27" s="240"/>
      <c r="AP27" s="240"/>
      <c r="AQ27" s="920"/>
      <c r="AR27" s="866"/>
      <c r="AS27" s="920"/>
      <c r="AT27" s="240"/>
      <c r="AU27" s="240"/>
      <c r="AV27" s="240"/>
      <c r="AW27" s="240"/>
      <c r="AX27" s="240"/>
      <c r="AY27" s="240"/>
      <c r="AZ27" s="240"/>
    </row>
    <row r="28" spans="1:52" ht="14.4" thickTop="1">
      <c r="A28" s="894"/>
      <c r="B28" s="644"/>
      <c r="C28" s="905"/>
      <c r="D28" s="905"/>
      <c r="E28" s="905"/>
      <c r="F28" s="905"/>
      <c r="G28" s="905"/>
      <c r="H28" s="905"/>
      <c r="I28" s="905"/>
      <c r="J28" s="905"/>
      <c r="K28" s="905"/>
      <c r="L28" s="905"/>
      <c r="M28" s="905"/>
      <c r="N28" s="905"/>
      <c r="O28" s="905"/>
      <c r="P28" s="905"/>
      <c r="Q28" s="965"/>
      <c r="R28" s="905"/>
      <c r="S28" s="905"/>
      <c r="T28" s="905"/>
      <c r="U28" s="905"/>
      <c r="V28" s="905"/>
      <c r="W28" s="880"/>
      <c r="X28" s="905"/>
      <c r="Y28" s="962"/>
      <c r="Z28" s="905"/>
      <c r="AA28" s="644"/>
      <c r="AB28" s="644"/>
      <c r="AC28" s="644"/>
      <c r="AD28" s="644"/>
      <c r="AE28" s="644"/>
      <c r="AF28" s="643"/>
      <c r="AG28" s="643"/>
      <c r="AH28" s="643"/>
      <c r="AI28" s="643"/>
      <c r="AK28" s="240"/>
      <c r="AL28" s="240"/>
      <c r="AM28" s="240"/>
      <c r="AN28" s="240"/>
      <c r="AO28" s="240"/>
      <c r="AP28" s="240"/>
      <c r="AQ28" s="920"/>
      <c r="AR28" s="866"/>
      <c r="AS28" s="920"/>
      <c r="AT28" s="240"/>
      <c r="AU28" s="240"/>
      <c r="AV28" s="240"/>
      <c r="AW28" s="240"/>
      <c r="AX28" s="240"/>
      <c r="AY28" s="240"/>
      <c r="AZ28" s="240"/>
    </row>
    <row r="29" spans="1:52" ht="13.8">
      <c r="A29" s="894"/>
      <c r="B29" s="644" t="s">
        <v>97</v>
      </c>
      <c r="C29" s="905"/>
      <c r="D29" s="905"/>
      <c r="E29" s="905"/>
      <c r="F29" s="905"/>
      <c r="G29" s="905"/>
      <c r="H29" s="905"/>
      <c r="I29" s="905"/>
      <c r="J29" s="905"/>
      <c r="K29" s="905"/>
      <c r="L29" s="905"/>
      <c r="M29" s="905"/>
      <c r="N29" s="905"/>
      <c r="O29" s="905"/>
      <c r="P29" s="905"/>
      <c r="Q29" s="905"/>
      <c r="R29" s="905"/>
      <c r="S29" s="905"/>
      <c r="T29" s="905"/>
      <c r="U29" s="905"/>
      <c r="V29" s="905"/>
      <c r="W29" s="880"/>
      <c r="X29" s="905"/>
      <c r="Y29" s="962"/>
      <c r="Z29" s="905"/>
      <c r="AA29" s="644"/>
      <c r="AB29" s="644"/>
      <c r="AC29" s="644"/>
      <c r="AD29" s="644"/>
      <c r="AE29" s="644"/>
      <c r="AF29" s="643"/>
      <c r="AG29" s="643"/>
      <c r="AH29" s="643"/>
      <c r="AI29" s="643"/>
      <c r="AK29" s="240"/>
      <c r="AL29" s="240"/>
      <c r="AM29" s="240"/>
      <c r="AN29" s="240"/>
      <c r="AO29" s="240"/>
      <c r="AP29" s="240"/>
      <c r="AQ29" s="920"/>
      <c r="AR29" s="866"/>
      <c r="AS29" s="920"/>
      <c r="AT29" s="240"/>
      <c r="AU29" s="240"/>
      <c r="AV29" s="240"/>
      <c r="AW29" s="240"/>
      <c r="AX29" s="240"/>
      <c r="AY29" s="240"/>
      <c r="AZ29" s="240"/>
    </row>
    <row r="30" spans="1:52" ht="13.8">
      <c r="A30" s="894"/>
      <c r="B30" s="866" t="s">
        <v>96</v>
      </c>
      <c r="C30" s="905"/>
      <c r="D30" s="905"/>
      <c r="E30" s="905"/>
      <c r="F30" s="905"/>
      <c r="G30" s="905"/>
      <c r="H30" s="905"/>
      <c r="I30" s="905"/>
      <c r="J30" s="905"/>
      <c r="K30" s="905"/>
      <c r="L30" s="905"/>
      <c r="M30" s="905"/>
      <c r="N30" s="905"/>
      <c r="O30" s="905"/>
      <c r="P30" s="905"/>
      <c r="Q30" s="905"/>
      <c r="R30" s="905"/>
      <c r="S30" s="905"/>
      <c r="T30" s="905"/>
      <c r="U30" s="905"/>
      <c r="V30" s="905"/>
      <c r="W30" s="880"/>
      <c r="X30" s="905"/>
      <c r="Y30" s="962"/>
      <c r="Z30" s="905"/>
      <c r="AA30" s="644"/>
      <c r="AB30" s="644"/>
      <c r="AC30" s="644"/>
      <c r="AD30" s="644"/>
      <c r="AE30" s="644"/>
      <c r="AF30" s="643"/>
      <c r="AG30" s="643"/>
      <c r="AH30" s="643"/>
      <c r="AI30" s="643"/>
      <c r="AK30" s="240"/>
      <c r="AL30" s="240"/>
      <c r="AM30" s="240"/>
      <c r="AN30" s="240"/>
      <c r="AO30" s="240"/>
      <c r="AP30" s="240"/>
      <c r="AQ30" s="920"/>
      <c r="AR30" s="866"/>
      <c r="AS30" s="920"/>
      <c r="AT30" s="240"/>
      <c r="AU30" s="240"/>
      <c r="AV30" s="240"/>
      <c r="AW30" s="240"/>
      <c r="AX30" s="240"/>
      <c r="AY30" s="240"/>
      <c r="AZ30" s="240"/>
    </row>
    <row r="31" spans="1:52" ht="13.8">
      <c r="A31" s="894"/>
      <c r="B31" s="868" t="s">
        <v>837</v>
      </c>
      <c r="C31" s="905"/>
      <c r="D31" s="905"/>
      <c r="E31" s="905"/>
      <c r="F31" s="905"/>
      <c r="G31" s="905"/>
      <c r="H31" s="905"/>
      <c r="I31" s="905"/>
      <c r="J31" s="905"/>
      <c r="K31" s="905"/>
      <c r="L31" s="905"/>
      <c r="M31" s="905"/>
      <c r="N31" s="905"/>
      <c r="O31" s="905"/>
      <c r="P31" s="905"/>
      <c r="Q31" s="905"/>
      <c r="R31" s="905"/>
      <c r="S31" s="905"/>
      <c r="T31" s="905"/>
      <c r="U31" s="905"/>
      <c r="V31" s="905"/>
      <c r="W31" s="905"/>
      <c r="X31" s="905"/>
      <c r="Y31" s="962"/>
      <c r="Z31" s="905"/>
      <c r="AA31" s="644"/>
      <c r="AB31" s="644"/>
      <c r="AC31" s="644"/>
      <c r="AD31" s="644"/>
      <c r="AE31" s="644"/>
      <c r="AF31" s="643"/>
      <c r="AG31" s="643"/>
      <c r="AH31" s="643"/>
      <c r="AI31" s="643"/>
      <c r="AK31" s="240"/>
      <c r="AL31" s="240"/>
      <c r="AM31" s="240"/>
      <c r="AN31" s="240"/>
      <c r="AO31" s="240"/>
      <c r="AP31" s="240"/>
      <c r="AQ31" s="866"/>
      <c r="AR31" s="866"/>
      <c r="AS31" s="866"/>
      <c r="AT31" s="240"/>
      <c r="AU31" s="240"/>
      <c r="AV31" s="240"/>
      <c r="AW31" s="240"/>
      <c r="AX31" s="240"/>
      <c r="AY31" s="240"/>
      <c r="AZ31" s="240"/>
    </row>
    <row r="32" spans="1:52" ht="13.8">
      <c r="A32" s="894"/>
      <c r="B32" s="975" t="s">
        <v>836</v>
      </c>
      <c r="C32" s="928"/>
      <c r="D32" s="928"/>
      <c r="E32" s="928"/>
      <c r="F32" s="928"/>
      <c r="G32" s="928"/>
      <c r="H32" s="928"/>
      <c r="I32" s="928"/>
      <c r="J32" s="928"/>
      <c r="K32" s="928"/>
      <c r="L32" s="928"/>
      <c r="M32" s="928"/>
      <c r="N32" s="928"/>
      <c r="O32" s="928"/>
      <c r="P32" s="905"/>
      <c r="Q32" s="905"/>
      <c r="R32" s="905"/>
      <c r="S32" s="905"/>
      <c r="T32" s="905"/>
      <c r="U32" s="905"/>
      <c r="V32" s="905"/>
      <c r="W32" s="905"/>
      <c r="X32" s="905"/>
      <c r="Y32" s="962"/>
      <c r="Z32" s="905"/>
      <c r="AA32" s="644"/>
      <c r="AB32" s="644"/>
      <c r="AC32" s="644"/>
      <c r="AD32" s="644"/>
      <c r="AE32" s="644"/>
      <c r="AF32" s="643"/>
      <c r="AG32" s="643"/>
      <c r="AH32" s="643"/>
      <c r="AI32" s="643"/>
      <c r="AK32" s="240"/>
      <c r="AL32" s="240"/>
      <c r="AM32" s="240"/>
      <c r="AN32" s="240"/>
      <c r="AO32" s="240"/>
      <c r="AP32" s="240"/>
      <c r="AQ32" s="866"/>
      <c r="AR32" s="866"/>
      <c r="AS32" s="866"/>
      <c r="AT32" s="240"/>
      <c r="AU32" s="240"/>
      <c r="AV32" s="240"/>
      <c r="AW32" s="240"/>
      <c r="AX32" s="240"/>
      <c r="AY32" s="240"/>
      <c r="AZ32" s="240"/>
    </row>
    <row r="33" spans="1:52" ht="13.8">
      <c r="A33" s="887"/>
      <c r="B33" s="951" t="s">
        <v>95</v>
      </c>
      <c r="C33" s="954"/>
      <c r="D33" s="954"/>
      <c r="E33" s="954"/>
      <c r="F33" s="954"/>
      <c r="G33" s="954"/>
      <c r="H33" s="954"/>
      <c r="I33" s="954"/>
      <c r="J33" s="954"/>
      <c r="K33" s="954"/>
      <c r="L33" s="954"/>
      <c r="M33" s="954"/>
      <c r="N33" s="954"/>
      <c r="O33" s="954"/>
      <c r="P33" s="954"/>
      <c r="Q33" s="954"/>
      <c r="R33" s="954"/>
      <c r="S33" s="954"/>
      <c r="T33" s="954"/>
      <c r="U33" s="954"/>
      <c r="V33" s="954"/>
      <c r="W33" s="954"/>
      <c r="X33" s="954"/>
      <c r="Y33" s="964"/>
      <c r="Z33" s="905"/>
      <c r="AA33" s="644"/>
      <c r="AB33" s="644"/>
      <c r="AC33" s="644"/>
      <c r="AD33" s="644"/>
      <c r="AE33" s="644"/>
      <c r="AF33" s="643"/>
      <c r="AG33" s="643"/>
      <c r="AH33" s="643"/>
      <c r="AI33" s="643"/>
      <c r="AK33" s="240"/>
      <c r="AL33" s="240"/>
      <c r="AM33" s="240"/>
      <c r="AN33" s="240"/>
      <c r="AO33" s="240"/>
      <c r="AP33" s="240"/>
      <c r="AQ33" s="866"/>
      <c r="AR33" s="866"/>
      <c r="AS33" s="866"/>
      <c r="AT33" s="240"/>
      <c r="AU33" s="240"/>
      <c r="AV33" s="240"/>
      <c r="AW33" s="240"/>
      <c r="AX33" s="240"/>
      <c r="AY33" s="240"/>
      <c r="AZ33" s="240"/>
    </row>
    <row r="34" spans="1:52" ht="13.8">
      <c r="A34" s="887"/>
      <c r="B34" s="951" t="s">
        <v>657</v>
      </c>
      <c r="C34" s="954"/>
      <c r="D34" s="954"/>
      <c r="E34" s="954"/>
      <c r="F34" s="954"/>
      <c r="G34" s="954"/>
      <c r="H34" s="954"/>
      <c r="I34" s="954"/>
      <c r="J34" s="954"/>
      <c r="K34" s="954"/>
      <c r="L34" s="954"/>
      <c r="M34" s="954"/>
      <c r="N34" s="954"/>
      <c r="O34" s="954"/>
      <c r="P34" s="954"/>
      <c r="Q34" s="954"/>
      <c r="R34" s="954"/>
      <c r="S34" s="954"/>
      <c r="T34" s="954"/>
      <c r="U34" s="954"/>
      <c r="V34" s="954"/>
      <c r="W34" s="954"/>
      <c r="X34" s="954"/>
      <c r="Y34" s="964"/>
      <c r="Z34" s="905"/>
      <c r="AA34" s="644"/>
      <c r="AB34" s="644"/>
      <c r="AC34" s="644"/>
      <c r="AD34" s="644"/>
      <c r="AE34" s="644"/>
      <c r="AF34" s="643"/>
      <c r="AG34" s="643"/>
      <c r="AH34" s="643"/>
      <c r="AI34" s="643"/>
      <c r="AK34" s="240"/>
      <c r="AL34" s="240"/>
      <c r="AM34" s="240"/>
      <c r="AN34" s="240"/>
      <c r="AO34" s="240"/>
      <c r="AP34" s="240"/>
      <c r="AQ34" s="866"/>
      <c r="AR34" s="866"/>
      <c r="AS34" s="866"/>
      <c r="AT34" s="240"/>
      <c r="AU34" s="240"/>
      <c r="AV34" s="240"/>
      <c r="AW34" s="240"/>
      <c r="AX34" s="240"/>
      <c r="AY34" s="240"/>
      <c r="AZ34" s="240"/>
    </row>
    <row r="35" spans="1:52" ht="13.8">
      <c r="A35" s="240"/>
      <c r="B35" s="868"/>
      <c r="C35" s="905"/>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644"/>
      <c r="AB35" s="644"/>
      <c r="AC35" s="644"/>
      <c r="AD35" s="644"/>
      <c r="AE35" s="644"/>
      <c r="AF35" s="643"/>
      <c r="AG35" s="643"/>
      <c r="AH35" s="643"/>
      <c r="AI35" s="643"/>
      <c r="AK35" s="240"/>
      <c r="AL35" s="240"/>
      <c r="AM35" s="240"/>
      <c r="AN35" s="240"/>
      <c r="AO35" s="240"/>
      <c r="AP35" s="240"/>
      <c r="AQ35" s="866"/>
      <c r="AR35" s="866"/>
      <c r="AS35" s="866"/>
      <c r="AT35" s="240"/>
      <c r="AU35" s="240"/>
      <c r="AV35" s="240"/>
      <c r="AW35" s="240"/>
      <c r="AX35" s="240"/>
      <c r="AY35" s="240"/>
      <c r="AZ35" s="240"/>
    </row>
    <row r="36" spans="1:52" ht="13.8">
      <c r="A36" s="240"/>
      <c r="B36" s="868"/>
      <c r="C36" s="905"/>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644"/>
      <c r="AB36" s="644"/>
      <c r="AC36" s="644"/>
      <c r="AD36" s="644"/>
      <c r="AE36" s="644"/>
      <c r="AF36" s="643"/>
      <c r="AG36" s="643"/>
      <c r="AH36" s="643"/>
      <c r="AI36" s="643"/>
      <c r="AK36" s="240"/>
      <c r="AL36" s="240"/>
      <c r="AM36" s="240"/>
      <c r="AN36" s="240"/>
      <c r="AO36" s="240"/>
      <c r="AP36" s="240"/>
      <c r="AQ36" s="866"/>
      <c r="AR36" s="866"/>
      <c r="AS36" s="866"/>
      <c r="AT36" s="240"/>
      <c r="AU36" s="240"/>
      <c r="AV36" s="240"/>
      <c r="AW36" s="240"/>
      <c r="AX36" s="240"/>
      <c r="AY36" s="240"/>
      <c r="AZ36" s="240"/>
    </row>
    <row r="37" spans="1:52" s="240" customFormat="1" ht="15.6">
      <c r="B37" s="963"/>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54"/>
      <c r="AA37" s="886"/>
      <c r="AB37" s="644"/>
      <c r="AC37" s="644"/>
      <c r="AD37" s="644"/>
      <c r="AE37" s="644"/>
      <c r="AF37" s="644"/>
      <c r="AG37" s="644"/>
      <c r="AH37" s="644"/>
      <c r="AI37" s="644"/>
      <c r="AQ37" s="866"/>
      <c r="AR37" s="866"/>
      <c r="AS37" s="866"/>
    </row>
    <row r="38" spans="1:52" ht="15.6">
      <c r="A38" s="919"/>
      <c r="B38" s="918" t="s">
        <v>835</v>
      </c>
      <c r="C38" s="917"/>
      <c r="D38" s="917"/>
      <c r="E38" s="917"/>
      <c r="F38" s="917"/>
      <c r="G38" s="917"/>
      <c r="H38" s="917"/>
      <c r="I38" s="917"/>
      <c r="J38" s="917"/>
      <c r="K38" s="917"/>
      <c r="L38" s="917"/>
      <c r="M38" s="917"/>
      <c r="N38" s="917"/>
      <c r="O38" s="917"/>
      <c r="P38" s="917"/>
      <c r="Q38" s="917"/>
      <c r="R38" s="917"/>
      <c r="S38" s="1520"/>
      <c r="T38" s="917"/>
      <c r="U38" s="917"/>
      <c r="V38" s="917"/>
      <c r="W38" s="917"/>
      <c r="X38" s="917"/>
      <c r="Y38" s="917"/>
      <c r="Z38" s="905"/>
      <c r="AA38" s="990"/>
      <c r="AB38" s="644"/>
      <c r="AC38" s="643"/>
      <c r="AD38" s="643"/>
      <c r="AE38" s="643"/>
      <c r="AF38" s="643"/>
      <c r="AG38" s="643"/>
      <c r="AH38" s="643"/>
      <c r="AI38" s="643"/>
      <c r="AK38" s="240"/>
      <c r="AL38" s="240"/>
      <c r="AM38" s="240"/>
      <c r="AN38" s="240"/>
      <c r="AO38" s="240"/>
      <c r="AP38" s="240"/>
      <c r="AQ38" s="866"/>
      <c r="AR38" s="866"/>
      <c r="AS38" s="866"/>
      <c r="AT38" s="240"/>
      <c r="AU38" s="240"/>
      <c r="AV38" s="240"/>
      <c r="AW38" s="240"/>
      <c r="AX38" s="240"/>
      <c r="AY38" s="240"/>
      <c r="AZ38" s="240"/>
    </row>
    <row r="39" spans="1:52" ht="16.2" thickBot="1">
      <c r="A39" s="894"/>
      <c r="B39" s="940"/>
      <c r="C39" s="905"/>
      <c r="D39" s="905"/>
      <c r="E39" s="905"/>
      <c r="F39" s="905"/>
      <c r="G39" s="905"/>
      <c r="H39" s="905"/>
      <c r="I39" s="905"/>
      <c r="J39" s="905"/>
      <c r="K39" s="905"/>
      <c r="L39" s="905"/>
      <c r="M39" s="905"/>
      <c r="N39" s="905"/>
      <c r="O39" s="905"/>
      <c r="P39" s="905"/>
      <c r="Q39" s="905"/>
      <c r="R39" s="905"/>
      <c r="S39" s="962"/>
      <c r="T39" s="905"/>
      <c r="U39" s="905"/>
      <c r="V39" s="905"/>
      <c r="W39" s="905"/>
      <c r="X39" s="905"/>
      <c r="Y39" s="905"/>
      <c r="Z39" s="905"/>
      <c r="AA39" s="902"/>
      <c r="AB39" s="644"/>
      <c r="AC39" s="643"/>
      <c r="AD39" s="643"/>
      <c r="AE39" s="643"/>
      <c r="AF39" s="643"/>
      <c r="AG39" s="643"/>
      <c r="AH39" s="643"/>
      <c r="AI39" s="643"/>
      <c r="AK39" s="240"/>
      <c r="AL39" s="240"/>
      <c r="AM39" s="240"/>
      <c r="AN39" s="240"/>
      <c r="AO39" s="240"/>
      <c r="AP39" s="240"/>
      <c r="AQ39" s="866"/>
      <c r="AR39" s="866"/>
      <c r="AS39" s="866"/>
      <c r="AT39" s="240"/>
      <c r="AU39" s="240"/>
      <c r="AV39" s="240"/>
      <c r="AW39" s="240"/>
      <c r="AX39" s="240"/>
      <c r="AY39" s="240"/>
      <c r="AZ39" s="240"/>
    </row>
    <row r="40" spans="1:52" ht="14.4" thickBot="1">
      <c r="A40" s="894"/>
      <c r="B40" s="946" t="s">
        <v>989</v>
      </c>
      <c r="C40" s="945">
        <v>43830</v>
      </c>
      <c r="D40" s="905"/>
      <c r="E40" s="905"/>
      <c r="F40" s="905"/>
      <c r="G40" s="905"/>
      <c r="H40" s="905"/>
      <c r="I40" s="905"/>
      <c r="J40" s="905"/>
      <c r="K40" s="905"/>
      <c r="L40" s="905"/>
      <c r="M40" s="905"/>
      <c r="N40" s="905"/>
      <c r="O40" s="905"/>
      <c r="P40" s="905"/>
      <c r="Q40" s="905"/>
      <c r="R40" s="905"/>
      <c r="S40" s="962"/>
      <c r="T40" s="905"/>
      <c r="U40" s="905"/>
      <c r="V40" s="905"/>
      <c r="W40" s="905"/>
      <c r="X40" s="905"/>
      <c r="Y40" s="905"/>
      <c r="Z40" s="905"/>
      <c r="AA40" s="902"/>
      <c r="AB40" s="644"/>
      <c r="AC40" s="643"/>
      <c r="AD40" s="643"/>
      <c r="AE40" s="643"/>
      <c r="AF40" s="643"/>
      <c r="AG40" s="643"/>
      <c r="AH40" s="643"/>
      <c r="AI40" s="643"/>
      <c r="AK40" s="240"/>
      <c r="AL40" s="240"/>
      <c r="AM40" s="240"/>
      <c r="AN40" s="240"/>
      <c r="AO40" s="240"/>
      <c r="AP40" s="240"/>
      <c r="AQ40" s="866"/>
      <c r="AR40" s="866"/>
      <c r="AS40" s="866"/>
      <c r="AT40" s="240"/>
      <c r="AU40" s="240"/>
      <c r="AV40" s="240"/>
      <c r="AW40" s="240"/>
      <c r="AX40" s="240"/>
      <c r="AY40" s="240"/>
      <c r="AZ40" s="240"/>
    </row>
    <row r="41" spans="1:52" s="476" customFormat="1" ht="13.8">
      <c r="A41" s="916"/>
      <c r="B41" s="567"/>
      <c r="C41" s="914"/>
      <c r="D41" s="915" t="s">
        <v>93</v>
      </c>
      <c r="E41" s="914"/>
      <c r="F41" s="914"/>
      <c r="G41" s="915" t="s">
        <v>92</v>
      </c>
      <c r="H41" s="914"/>
      <c r="I41" s="915" t="s">
        <v>91</v>
      </c>
      <c r="J41" s="914"/>
      <c r="K41" s="915" t="s">
        <v>90</v>
      </c>
      <c r="L41" s="914">
        <v>14</v>
      </c>
      <c r="M41" s="915" t="s">
        <v>89</v>
      </c>
      <c r="N41" s="914"/>
      <c r="O41" s="915" t="s">
        <v>88</v>
      </c>
      <c r="P41" s="914"/>
      <c r="Q41" s="567" t="s">
        <v>87</v>
      </c>
      <c r="R41" s="567"/>
      <c r="S41" s="994" t="s">
        <v>86</v>
      </c>
      <c r="T41" s="914"/>
      <c r="U41" s="915" t="s">
        <v>85</v>
      </c>
      <c r="V41" s="914"/>
      <c r="W41" s="1276" t="s">
        <v>84</v>
      </c>
      <c r="X41" s="914"/>
      <c r="Y41" s="476" t="s">
        <v>83</v>
      </c>
      <c r="Z41" s="914"/>
      <c r="AA41" s="994" t="s">
        <v>843</v>
      </c>
      <c r="AB41" s="914"/>
      <c r="AD41" s="913"/>
      <c r="AE41" s="913"/>
      <c r="AF41" s="913"/>
      <c r="AG41" s="914"/>
      <c r="AH41" s="913"/>
      <c r="AI41" s="913"/>
      <c r="AK41" s="567"/>
      <c r="AL41" s="567"/>
      <c r="AM41" s="567"/>
      <c r="AN41" s="567"/>
      <c r="AO41" s="567"/>
      <c r="AP41" s="567"/>
      <c r="AQ41" s="911"/>
      <c r="AR41" s="912"/>
      <c r="AS41" s="911"/>
      <c r="AT41" s="567"/>
      <c r="AU41" s="567"/>
      <c r="AV41" s="567"/>
      <c r="AW41" s="567"/>
      <c r="AX41" s="567"/>
      <c r="AY41" s="567"/>
      <c r="AZ41" s="567"/>
    </row>
    <row r="42" spans="1:52" ht="13.8">
      <c r="A42" s="894"/>
      <c r="B42" s="910"/>
      <c r="C42" s="644"/>
      <c r="D42" s="644"/>
      <c r="E42" s="644"/>
      <c r="F42" s="644"/>
      <c r="G42" s="644"/>
      <c r="H42" s="644"/>
      <c r="I42" s="644"/>
      <c r="J42" s="644"/>
      <c r="K42" s="672" t="s">
        <v>994</v>
      </c>
      <c r="L42" s="672"/>
      <c r="M42" s="644"/>
      <c r="N42" s="644"/>
      <c r="O42" s="672" t="s">
        <v>834</v>
      </c>
      <c r="P42" s="644"/>
      <c r="Q42" s="1521" t="s">
        <v>844</v>
      </c>
      <c r="R42" s="240"/>
      <c r="S42" s="890"/>
      <c r="T42" s="644"/>
      <c r="U42" s="672" t="s">
        <v>990</v>
      </c>
      <c r="V42" s="644"/>
      <c r="W42" s="240"/>
      <c r="X42" s="644"/>
      <c r="Y42" s="240"/>
      <c r="Z42" s="644"/>
      <c r="AA42" s="950" t="s">
        <v>833</v>
      </c>
      <c r="AB42" s="672"/>
      <c r="AD42" s="672"/>
      <c r="AE42" s="672"/>
      <c r="AF42" s="672"/>
      <c r="AG42" s="672"/>
      <c r="AH42" s="644"/>
      <c r="AI42" s="644"/>
      <c r="AK42" s="240"/>
      <c r="AL42" s="240"/>
      <c r="AM42" s="240"/>
      <c r="AN42" s="240"/>
      <c r="AO42" s="240"/>
      <c r="AP42" s="240"/>
      <c r="AQ42" s="240"/>
      <c r="AR42" s="240"/>
      <c r="AS42" s="240"/>
      <c r="AT42" s="240"/>
      <c r="AU42" s="240"/>
      <c r="AV42" s="240"/>
      <c r="AW42" s="240"/>
      <c r="AX42" s="240"/>
      <c r="AY42" s="240"/>
      <c r="AZ42" s="240"/>
    </row>
    <row r="43" spans="1:52" ht="13.8">
      <c r="A43" s="894"/>
      <c r="B43" s="240"/>
      <c r="C43" s="644"/>
      <c r="D43" s="672" t="s">
        <v>998</v>
      </c>
      <c r="E43" s="672"/>
      <c r="F43" s="672"/>
      <c r="G43" s="672" t="s">
        <v>999</v>
      </c>
      <c r="H43" s="672"/>
      <c r="I43" s="672" t="s">
        <v>903</v>
      </c>
      <c r="J43" s="672"/>
      <c r="K43" s="672" t="s">
        <v>1000</v>
      </c>
      <c r="L43" s="672"/>
      <c r="M43" s="672" t="s">
        <v>1001</v>
      </c>
      <c r="N43" s="672"/>
      <c r="O43" s="672" t="s">
        <v>1002</v>
      </c>
      <c r="P43" s="672"/>
      <c r="Q43" s="1521" t="s">
        <v>895</v>
      </c>
      <c r="R43" s="240"/>
      <c r="S43" s="903" t="s">
        <v>990</v>
      </c>
      <c r="T43" s="672"/>
      <c r="U43" s="672" t="s">
        <v>1003</v>
      </c>
      <c r="V43" s="672"/>
      <c r="W43" s="672" t="s">
        <v>1004</v>
      </c>
      <c r="X43" s="672"/>
      <c r="Y43" s="672" t="s">
        <v>1005</v>
      </c>
      <c r="Z43" s="672"/>
      <c r="AA43" s="950" t="s">
        <v>82</v>
      </c>
      <c r="AB43" s="672"/>
      <c r="AD43" s="672"/>
      <c r="AF43" s="672"/>
      <c r="AG43" s="1883"/>
      <c r="AH43" s="672"/>
      <c r="AK43" s="240"/>
      <c r="AL43" s="240"/>
      <c r="AM43" s="240"/>
      <c r="AN43" s="240"/>
      <c r="AO43" s="240"/>
      <c r="AP43" s="240"/>
      <c r="AQ43" s="240"/>
      <c r="AR43" s="240"/>
      <c r="AS43" s="240"/>
      <c r="AT43" s="240"/>
      <c r="AU43" s="240"/>
      <c r="AV43" s="240"/>
      <c r="AW43" s="240"/>
      <c r="AX43" s="240"/>
      <c r="AY43" s="240"/>
      <c r="AZ43" s="240"/>
    </row>
    <row r="44" spans="1:52" ht="13.8">
      <c r="A44" s="894"/>
      <c r="B44" s="660" t="s">
        <v>832</v>
      </c>
      <c r="C44" s="644" t="s">
        <v>81</v>
      </c>
      <c r="D44" s="672" t="s">
        <v>1006</v>
      </c>
      <c r="E44" s="663"/>
      <c r="F44" s="663"/>
      <c r="G44" s="672" t="s">
        <v>1006</v>
      </c>
      <c r="H44" s="663"/>
      <c r="I44" s="672" t="s">
        <v>1007</v>
      </c>
      <c r="J44" s="663"/>
      <c r="K44" s="672" t="s">
        <v>1008</v>
      </c>
      <c r="L44" s="663"/>
      <c r="M44" s="672" t="s">
        <v>993</v>
      </c>
      <c r="N44" s="672"/>
      <c r="O44" s="672" t="s">
        <v>1009</v>
      </c>
      <c r="P44" s="672"/>
      <c r="Q44" s="1521" t="s">
        <v>845</v>
      </c>
      <c r="R44" s="240"/>
      <c r="S44" s="903" t="s">
        <v>1003</v>
      </c>
      <c r="T44" s="672"/>
      <c r="U44" s="672" t="s">
        <v>1010</v>
      </c>
      <c r="V44" s="663"/>
      <c r="W44" s="672" t="s">
        <v>1011</v>
      </c>
      <c r="X44" s="663"/>
      <c r="Y44" s="672" t="s">
        <v>341</v>
      </c>
      <c r="Z44" s="663"/>
      <c r="AA44" s="950" t="s">
        <v>80</v>
      </c>
      <c r="AB44" s="672"/>
      <c r="AD44" s="672"/>
      <c r="AF44" s="672"/>
      <c r="AG44" s="1883"/>
      <c r="AH44" s="672"/>
      <c r="AK44" s="240"/>
      <c r="AL44" s="240"/>
      <c r="AM44" s="240"/>
      <c r="AN44" s="240"/>
      <c r="AO44" s="240"/>
      <c r="AP44" s="240"/>
      <c r="AQ44" s="240"/>
      <c r="AR44" s="240"/>
      <c r="AS44" s="240"/>
      <c r="AT44" s="240"/>
      <c r="AU44" s="240"/>
      <c r="AV44" s="240"/>
      <c r="AW44" s="240"/>
      <c r="AX44" s="240"/>
      <c r="AY44" s="240"/>
      <c r="AZ44" s="240"/>
    </row>
    <row r="45" spans="1:52" ht="13.8">
      <c r="A45" s="894"/>
      <c r="B45" s="240"/>
      <c r="C45" s="644"/>
      <c r="D45" s="672"/>
      <c r="E45" s="663"/>
      <c r="F45" s="663"/>
      <c r="G45" s="672"/>
      <c r="H45" s="663"/>
      <c r="I45" s="672"/>
      <c r="J45" s="663"/>
      <c r="K45" s="672"/>
      <c r="L45" s="663"/>
      <c r="M45" s="672"/>
      <c r="N45" s="672"/>
      <c r="O45" s="672"/>
      <c r="P45" s="672"/>
      <c r="Q45" s="439"/>
      <c r="R45" s="240"/>
      <c r="S45" s="903"/>
      <c r="T45" s="672"/>
      <c r="U45" s="672"/>
      <c r="V45" s="663"/>
      <c r="W45" s="672"/>
      <c r="X45" s="663"/>
      <c r="Y45" s="672"/>
      <c r="Z45" s="663"/>
      <c r="AA45" s="950"/>
      <c r="AB45" s="672"/>
      <c r="AD45" s="672"/>
      <c r="AF45" s="672"/>
      <c r="AG45" s="1883"/>
      <c r="AH45" s="672"/>
      <c r="AK45" s="240"/>
      <c r="AL45" s="240"/>
      <c r="AM45" s="240"/>
      <c r="AN45" s="240"/>
      <c r="AO45" s="240"/>
      <c r="AP45" s="240"/>
      <c r="AQ45" s="240"/>
      <c r="AR45" s="240"/>
      <c r="AS45" s="240"/>
      <c r="AT45" s="240"/>
      <c r="AU45" s="240"/>
      <c r="AV45" s="240"/>
      <c r="AW45" s="240"/>
      <c r="AX45" s="240"/>
      <c r="AY45" s="240"/>
      <c r="AZ45" s="240"/>
    </row>
    <row r="46" spans="1:52" ht="13.8">
      <c r="A46" s="894"/>
      <c r="B46" s="909"/>
      <c r="C46" s="644"/>
      <c r="D46" s="672"/>
      <c r="E46" s="663"/>
      <c r="F46" s="663"/>
      <c r="G46" s="672"/>
      <c r="H46" s="663"/>
      <c r="I46" s="672"/>
      <c r="J46" s="663"/>
      <c r="K46" s="672"/>
      <c r="L46" s="663"/>
      <c r="M46" s="672"/>
      <c r="N46" s="672"/>
      <c r="O46" s="672"/>
      <c r="P46" s="672"/>
      <c r="Q46" s="439"/>
      <c r="R46" s="240"/>
      <c r="S46" s="1522"/>
      <c r="T46" s="672"/>
      <c r="U46" s="672"/>
      <c r="V46" s="663"/>
      <c r="W46" s="672"/>
      <c r="X46" s="663"/>
      <c r="Y46" s="672"/>
      <c r="Z46" s="663"/>
      <c r="AA46" s="903"/>
      <c r="AB46" s="672"/>
      <c r="AD46" s="672"/>
      <c r="AF46" s="672"/>
      <c r="AG46" s="672"/>
      <c r="AH46" s="672"/>
      <c r="AK46" s="240"/>
      <c r="AL46" s="240"/>
      <c r="AM46" s="240"/>
      <c r="AN46" s="240"/>
      <c r="AO46" s="240"/>
      <c r="AP46" s="240"/>
      <c r="AQ46" s="240"/>
      <c r="AR46" s="240"/>
      <c r="AS46" s="240"/>
      <c r="AT46" s="240"/>
      <c r="AU46" s="240"/>
      <c r="AV46" s="240"/>
      <c r="AW46" s="240"/>
      <c r="AX46" s="240"/>
      <c r="AY46" s="240"/>
      <c r="AZ46" s="240"/>
    </row>
    <row r="47" spans="1:52" ht="13.8">
      <c r="A47" s="899" t="s">
        <v>79</v>
      </c>
      <c r="B47" s="898" t="s">
        <v>1182</v>
      </c>
      <c r="C47" s="644" t="s">
        <v>908</v>
      </c>
      <c r="D47" s="908">
        <v>41984</v>
      </c>
      <c r="E47" s="644"/>
      <c r="F47" s="644"/>
      <c r="G47" s="907">
        <v>45810</v>
      </c>
      <c r="H47" s="644"/>
      <c r="I47" s="906">
        <v>550000000</v>
      </c>
      <c r="J47" s="644"/>
      <c r="K47" s="906">
        <v>-418000</v>
      </c>
      <c r="L47" s="644"/>
      <c r="M47" s="1927">
        <v>4334571</v>
      </c>
      <c r="N47" s="878"/>
      <c r="O47" s="1878">
        <v>0</v>
      </c>
      <c r="P47" s="878"/>
      <c r="Q47" s="1521" t="s">
        <v>863</v>
      </c>
      <c r="R47" s="240"/>
      <c r="S47" s="1884">
        <f>+I47+K47-M47-O47</f>
        <v>545247429</v>
      </c>
      <c r="T47" s="878"/>
      <c r="U47" s="891">
        <f>(S47/I47)*100</f>
        <v>99.135896181818183</v>
      </c>
      <c r="V47" s="644"/>
      <c r="W47" s="896">
        <v>3.85E-2</v>
      </c>
      <c r="X47" s="644"/>
      <c r="Y47" s="906">
        <f>W47*I47</f>
        <v>21175000</v>
      </c>
      <c r="Z47" s="644"/>
      <c r="AA47" s="1890">
        <f>YIELD(D47,G47,W47,U47,100,2,0)</f>
        <v>3.9514347101496212E-2</v>
      </c>
      <c r="AB47" s="885"/>
      <c r="AD47" s="904"/>
      <c r="AF47" s="889"/>
      <c r="AG47" s="884"/>
      <c r="AH47" s="884"/>
      <c r="AK47" s="240"/>
      <c r="AL47" s="240"/>
      <c r="AM47" s="240"/>
      <c r="AN47" s="240"/>
      <c r="AO47" s="240"/>
      <c r="AP47" s="240"/>
      <c r="AQ47" s="240"/>
      <c r="AR47" s="240"/>
      <c r="AS47" s="240"/>
      <c r="AT47" s="240"/>
      <c r="AU47" s="240"/>
      <c r="AV47" s="240"/>
      <c r="AW47" s="240"/>
      <c r="AX47" s="240"/>
      <c r="AY47" s="240"/>
      <c r="AZ47" s="240"/>
    </row>
    <row r="48" spans="1:52" ht="13.8">
      <c r="A48" s="899" t="s">
        <v>1234</v>
      </c>
      <c r="B48" s="898" t="s">
        <v>1235</v>
      </c>
      <c r="C48" s="644"/>
      <c r="D48" s="908">
        <v>42293</v>
      </c>
      <c r="E48" s="663"/>
      <c r="F48" s="663"/>
      <c r="G48" s="908">
        <v>45807</v>
      </c>
      <c r="H48" s="663"/>
      <c r="I48" s="1928">
        <v>75000000</v>
      </c>
      <c r="J48" s="663"/>
      <c r="K48" s="672"/>
      <c r="L48" s="663"/>
      <c r="M48" s="1929">
        <v>562353</v>
      </c>
      <c r="N48" s="672"/>
      <c r="O48" s="672"/>
      <c r="P48" s="672"/>
      <c r="Q48" s="1521"/>
      <c r="R48" s="240"/>
      <c r="S48" s="1884">
        <f>+I48+K48-M48-O48</f>
        <v>74437647</v>
      </c>
      <c r="T48" s="672"/>
      <c r="U48" s="891">
        <f>(S48/I48)*100</f>
        <v>99.250196000000003</v>
      </c>
      <c r="V48" s="663"/>
      <c r="W48" s="1930">
        <v>3.7600000000000001E-2</v>
      </c>
      <c r="X48" s="663"/>
      <c r="Y48" s="906">
        <f>W48*I48</f>
        <v>2820000</v>
      </c>
      <c r="Z48" s="663"/>
      <c r="AA48" s="1890">
        <f>YIELD(D48,G48,W48,U48,100,2,0)</f>
        <v>3.8535860120355127E-2</v>
      </c>
      <c r="AB48" s="672"/>
      <c r="AD48" s="672"/>
      <c r="AF48" s="672"/>
      <c r="AG48" s="672"/>
      <c r="AH48" s="672"/>
      <c r="AK48" s="240"/>
      <c r="AL48" s="240"/>
      <c r="AM48" s="240"/>
      <c r="AN48" s="240"/>
      <c r="AO48" s="240"/>
      <c r="AP48" s="240"/>
      <c r="AQ48" s="240"/>
      <c r="AR48" s="240"/>
      <c r="AS48" s="240"/>
      <c r="AT48" s="240"/>
      <c r="AU48" s="240"/>
      <c r="AV48" s="240"/>
      <c r="AW48" s="240"/>
      <c r="AX48" s="240"/>
      <c r="AY48" s="240"/>
      <c r="AZ48" s="240"/>
    </row>
    <row r="49" spans="1:36">
      <c r="A49" s="894"/>
      <c r="B49" s="240"/>
      <c r="C49" s="240"/>
      <c r="D49" s="240"/>
      <c r="E49" s="240"/>
      <c r="F49" s="240"/>
      <c r="G49" s="240"/>
      <c r="H49" s="240"/>
      <c r="I49" s="240"/>
      <c r="J49" s="240"/>
      <c r="K49" s="240"/>
      <c r="L49" s="240"/>
      <c r="M49" s="240"/>
      <c r="N49" s="240"/>
      <c r="O49" s="240"/>
      <c r="P49" s="240"/>
      <c r="Q49" s="439"/>
      <c r="R49" s="240"/>
      <c r="S49" s="902"/>
      <c r="T49" s="240"/>
      <c r="U49" s="240"/>
      <c r="V49" s="240"/>
      <c r="W49" s="240"/>
      <c r="X49" s="240"/>
      <c r="Y49" s="240"/>
      <c r="Z49" s="240"/>
      <c r="AA49" s="902"/>
      <c r="AB49" s="240"/>
    </row>
    <row r="50" spans="1:36" ht="13.8">
      <c r="A50" s="901"/>
      <c r="B50" s="900"/>
      <c r="C50" s="644"/>
      <c r="D50" s="897"/>
      <c r="E50" s="644"/>
      <c r="F50" s="644"/>
      <c r="G50" s="897"/>
      <c r="H50" s="644"/>
      <c r="I50" s="1886"/>
      <c r="J50" s="644"/>
      <c r="K50" s="1886"/>
      <c r="L50" s="644"/>
      <c r="M50" s="1886"/>
      <c r="N50" s="1886"/>
      <c r="O50" s="1886"/>
      <c r="P50" s="1886"/>
      <c r="Q50" s="439"/>
      <c r="R50" s="240"/>
      <c r="S50" s="890"/>
      <c r="T50" s="1886"/>
      <c r="U50" s="891"/>
      <c r="V50" s="644"/>
      <c r="W50" s="896"/>
      <c r="X50" s="644"/>
      <c r="Y50" s="1886">
        <f>W50*I50</f>
        <v>0</v>
      </c>
      <c r="Z50" s="644"/>
      <c r="AA50" s="1887"/>
      <c r="AB50" s="644"/>
      <c r="AD50" s="643"/>
      <c r="AF50" s="643"/>
      <c r="AG50" s="884"/>
      <c r="AH50" s="643"/>
    </row>
    <row r="51" spans="1:36" ht="13.8">
      <c r="A51" s="899"/>
      <c r="B51" s="898"/>
      <c r="C51" s="644"/>
      <c r="D51" s="897"/>
      <c r="E51" s="644"/>
      <c r="F51" s="644"/>
      <c r="G51" s="897"/>
      <c r="H51" s="644"/>
      <c r="I51" s="1886"/>
      <c r="J51" s="644"/>
      <c r="K51" s="1886"/>
      <c r="L51" s="644"/>
      <c r="M51" s="1886"/>
      <c r="N51" s="1886"/>
      <c r="O51" s="1886"/>
      <c r="P51" s="1886"/>
      <c r="Q51" s="1521"/>
      <c r="R51" s="240"/>
      <c r="S51" s="1884"/>
      <c r="T51" s="1886"/>
      <c r="U51" s="891"/>
      <c r="V51" s="644"/>
      <c r="W51" s="896"/>
      <c r="X51" s="644"/>
      <c r="Y51" s="1886"/>
      <c r="Z51" s="644"/>
      <c r="AA51" s="1885"/>
      <c r="AB51" s="644"/>
      <c r="AD51" s="643"/>
      <c r="AF51" s="643"/>
      <c r="AG51" s="884"/>
      <c r="AH51" s="643"/>
    </row>
    <row r="52" spans="1:36" ht="13.8">
      <c r="A52" s="894"/>
      <c r="B52" s="880"/>
      <c r="C52" s="240"/>
      <c r="D52" s="893"/>
      <c r="E52" s="644"/>
      <c r="F52" s="644"/>
      <c r="G52" s="892"/>
      <c r="H52" s="644"/>
      <c r="I52" s="1888"/>
      <c r="J52" s="644"/>
      <c r="K52" s="1888"/>
      <c r="L52" s="644"/>
      <c r="M52" s="1888"/>
      <c r="N52" s="1886"/>
      <c r="O52" s="1888"/>
      <c r="P52" s="1886"/>
      <c r="Q52" s="993"/>
      <c r="R52" s="240"/>
      <c r="S52" s="1523"/>
      <c r="T52" s="1886"/>
      <c r="U52" s="240"/>
      <c r="V52" s="644"/>
      <c r="W52" s="240"/>
      <c r="X52" s="644"/>
      <c r="Y52" s="961"/>
      <c r="Z52" s="644"/>
      <c r="AA52" s="1887"/>
      <c r="AB52" s="644"/>
      <c r="AD52" s="643"/>
      <c r="AE52" s="889"/>
      <c r="AF52" s="643"/>
      <c r="AG52" s="884"/>
      <c r="AH52" s="643"/>
      <c r="AJ52" s="359"/>
    </row>
    <row r="53" spans="1:36" ht="13.8">
      <c r="A53" s="894"/>
      <c r="B53" s="895" t="s">
        <v>78</v>
      </c>
      <c r="C53" s="644"/>
      <c r="D53" s="893"/>
      <c r="E53" s="644"/>
      <c r="F53" s="644"/>
      <c r="G53" s="892"/>
      <c r="H53" s="644"/>
      <c r="I53" s="1889">
        <f>SUM(I47:I52)</f>
        <v>625000000</v>
      </c>
      <c r="J53" s="644"/>
      <c r="K53" s="1886">
        <f>SUM(K47:K52)</f>
        <v>-418000</v>
      </c>
      <c r="L53" s="644"/>
      <c r="M53" s="1889">
        <f>SUM(M47:M52)</f>
        <v>4896924</v>
      </c>
      <c r="N53" s="1889"/>
      <c r="O53" s="1886">
        <f>SUM(O47:O52)</f>
        <v>0</v>
      </c>
      <c r="P53" s="1889"/>
      <c r="Q53" s="1521" t="s">
        <v>863</v>
      </c>
      <c r="R53" s="240"/>
      <c r="S53" s="1524">
        <f>SUM(S47:S52)</f>
        <v>619685076</v>
      </c>
      <c r="T53" s="1889"/>
      <c r="U53" s="644"/>
      <c r="V53" s="644"/>
      <c r="W53" s="240"/>
      <c r="X53" s="644"/>
      <c r="Y53" s="1889">
        <f>SUM(Y47:Y52)</f>
        <v>23995000</v>
      </c>
      <c r="Z53" s="644"/>
      <c r="AA53" s="1890"/>
      <c r="AB53" s="644"/>
      <c r="AD53" s="643"/>
      <c r="AE53" s="889"/>
      <c r="AF53" s="643"/>
      <c r="AG53" s="884"/>
      <c r="AH53" s="643"/>
      <c r="AJ53" s="359"/>
    </row>
    <row r="54" spans="1:36" ht="13.8">
      <c r="A54" s="894"/>
      <c r="B54" s="866" t="s">
        <v>77</v>
      </c>
      <c r="C54" s="644"/>
      <c r="D54" s="893"/>
      <c r="E54" s="644"/>
      <c r="F54" s="644"/>
      <c r="G54" s="892"/>
      <c r="H54" s="644"/>
      <c r="I54" s="1886"/>
      <c r="J54" s="644"/>
      <c r="K54" s="1886"/>
      <c r="L54" s="644"/>
      <c r="M54" s="1886"/>
      <c r="N54" s="1886"/>
      <c r="O54" s="1886"/>
      <c r="P54" s="1886"/>
      <c r="Q54" s="1886"/>
      <c r="R54" s="1886"/>
      <c r="S54" s="890"/>
      <c r="T54" s="644"/>
      <c r="U54" s="644"/>
      <c r="V54" s="644"/>
      <c r="W54" s="1886"/>
      <c r="X54" s="644"/>
      <c r="Y54" s="1886"/>
      <c r="Z54" s="644"/>
      <c r="AA54" s="991"/>
      <c r="AB54" s="644"/>
      <c r="AC54" s="643"/>
      <c r="AD54" s="643"/>
      <c r="AE54" s="889"/>
      <c r="AF54" s="643"/>
      <c r="AG54" s="884"/>
      <c r="AH54" s="643"/>
      <c r="AI54" s="888"/>
      <c r="AJ54" s="359"/>
    </row>
    <row r="55" spans="1:36" ht="15">
      <c r="A55" s="887"/>
      <c r="B55" s="951" t="s">
        <v>76</v>
      </c>
      <c r="C55" s="886"/>
      <c r="D55" s="886"/>
      <c r="E55" s="886"/>
      <c r="F55" s="886"/>
      <c r="G55" s="886"/>
      <c r="H55" s="886"/>
      <c r="I55" s="886"/>
      <c r="J55" s="886"/>
      <c r="K55" s="886"/>
      <c r="L55" s="886"/>
      <c r="M55" s="1891"/>
      <c r="N55" s="1891"/>
      <c r="O55" s="1891"/>
      <c r="P55" s="1891"/>
      <c r="Q55" s="1891"/>
      <c r="R55" s="1891"/>
      <c r="S55" s="1523"/>
      <c r="T55" s="886"/>
      <c r="U55" s="886"/>
      <c r="V55" s="886"/>
      <c r="W55" s="886"/>
      <c r="X55" s="886"/>
      <c r="Y55" s="886"/>
      <c r="Z55" s="886"/>
      <c r="AA55" s="992"/>
      <c r="AB55" s="644"/>
      <c r="AC55" s="643"/>
      <c r="AD55" s="643"/>
      <c r="AE55" s="643"/>
      <c r="AF55" s="643"/>
      <c r="AG55" s="643"/>
      <c r="AH55" s="643"/>
      <c r="AI55" s="643"/>
      <c r="AJ55" s="359"/>
    </row>
    <row r="56" spans="1:36" ht="13.8">
      <c r="A56" s="887"/>
      <c r="B56" s="951"/>
      <c r="C56" s="886"/>
      <c r="D56" s="886"/>
      <c r="E56" s="886"/>
      <c r="F56" s="886"/>
      <c r="G56" s="886"/>
      <c r="H56" s="886"/>
      <c r="I56" s="886"/>
      <c r="J56" s="886"/>
      <c r="K56" s="886"/>
      <c r="L56" s="886"/>
      <c r="M56" s="1891"/>
      <c r="N56" s="1891"/>
      <c r="O56" s="1891"/>
      <c r="P56" s="1891"/>
      <c r="Q56" s="1891"/>
      <c r="R56" s="1891"/>
      <c r="S56" s="1523"/>
      <c r="T56" s="644"/>
      <c r="U56" s="644"/>
      <c r="V56" s="644"/>
      <c r="W56" s="644"/>
      <c r="X56" s="644"/>
      <c r="Y56" s="644"/>
      <c r="Z56" s="644"/>
      <c r="AA56" s="885"/>
      <c r="AB56" s="644"/>
      <c r="AC56" s="643"/>
      <c r="AD56" s="643"/>
      <c r="AE56" s="643"/>
      <c r="AF56" s="643"/>
      <c r="AG56" s="643"/>
      <c r="AH56" s="643"/>
      <c r="AI56" s="643"/>
      <c r="AJ56" s="359"/>
    </row>
    <row r="57" spans="1:36" ht="13.8">
      <c r="B57" s="884"/>
      <c r="C57" s="643"/>
      <c r="D57" s="643"/>
      <c r="E57" s="643"/>
      <c r="F57" s="643"/>
      <c r="G57" s="643"/>
      <c r="H57" s="643"/>
      <c r="I57" s="643"/>
      <c r="J57" s="643"/>
      <c r="K57" s="643"/>
      <c r="L57" s="643"/>
      <c r="M57" s="1892"/>
      <c r="N57" s="1892"/>
      <c r="O57" s="1892"/>
      <c r="P57" s="1892"/>
      <c r="Q57" s="1892"/>
      <c r="R57" s="1892"/>
      <c r="S57" s="643"/>
      <c r="T57" s="643"/>
      <c r="U57" s="643"/>
      <c r="V57" s="643"/>
      <c r="W57" s="643"/>
      <c r="X57" s="643"/>
      <c r="Y57" s="881"/>
      <c r="Z57" s="643"/>
      <c r="AA57" s="643"/>
      <c r="AB57" s="643"/>
      <c r="AC57" s="643"/>
      <c r="AD57" s="643"/>
      <c r="AE57" s="643"/>
      <c r="AF57" s="643"/>
      <c r="AG57" s="643"/>
      <c r="AH57" s="643"/>
      <c r="AI57" s="643"/>
      <c r="AJ57" s="359"/>
    </row>
    <row r="58" spans="1:36" ht="15.6">
      <c r="B58" s="883"/>
      <c r="C58" s="556"/>
      <c r="D58" s="644"/>
      <c r="E58" s="644"/>
      <c r="F58" s="644"/>
      <c r="G58" s="644"/>
      <c r="H58" s="644"/>
      <c r="I58" s="644"/>
      <c r="J58" s="644"/>
      <c r="K58" s="644"/>
      <c r="L58" s="644"/>
      <c r="M58" s="882"/>
      <c r="N58" s="882"/>
      <c r="O58" s="882"/>
      <c r="P58" s="882"/>
      <c r="Q58" s="882"/>
      <c r="R58" s="882"/>
      <c r="S58" s="644"/>
      <c r="T58" s="644"/>
      <c r="U58" s="644"/>
      <c r="V58" s="644"/>
      <c r="W58" s="644"/>
      <c r="X58" s="644"/>
      <c r="Y58" s="1886"/>
      <c r="Z58" s="643"/>
      <c r="AA58" s="643"/>
      <c r="AB58" s="643"/>
      <c r="AC58" s="643"/>
      <c r="AD58" s="643"/>
      <c r="AE58" s="643"/>
      <c r="AF58" s="643"/>
      <c r="AG58" s="643"/>
      <c r="AH58" s="643"/>
      <c r="AI58" s="643"/>
      <c r="AJ58" s="359"/>
    </row>
    <row r="59" spans="1:36" ht="13.8">
      <c r="C59" s="644"/>
      <c r="D59" s="644"/>
      <c r="E59" s="644"/>
      <c r="F59" s="644"/>
      <c r="G59" s="644"/>
      <c r="H59" s="644"/>
      <c r="I59" s="644"/>
      <c r="J59" s="644"/>
      <c r="K59" s="644"/>
      <c r="L59" s="644"/>
      <c r="M59" s="644"/>
      <c r="N59" s="644"/>
      <c r="O59" s="644"/>
      <c r="P59" s="644"/>
      <c r="Q59" s="644"/>
      <c r="R59" s="644"/>
      <c r="S59" s="644"/>
      <c r="T59" s="644"/>
      <c r="U59" s="644"/>
      <c r="V59" s="644"/>
      <c r="W59" s="644"/>
      <c r="X59" s="644"/>
      <c r="Y59" s="1886"/>
      <c r="Z59" s="643"/>
      <c r="AA59" s="881"/>
      <c r="AB59" s="643"/>
      <c r="AC59" s="643"/>
      <c r="AD59" s="643"/>
      <c r="AE59" s="643"/>
      <c r="AF59" s="643"/>
      <c r="AG59" s="643"/>
      <c r="AH59" s="643"/>
      <c r="AI59" s="643"/>
      <c r="AJ59" s="359"/>
    </row>
    <row r="60" spans="1:36" ht="13.8">
      <c r="C60" s="644"/>
      <c r="D60" s="1886"/>
      <c r="E60" s="644"/>
      <c r="F60" s="644"/>
      <c r="G60" s="1886"/>
      <c r="H60" s="644"/>
      <c r="I60" s="644"/>
      <c r="J60" s="644"/>
      <c r="K60" s="644"/>
      <c r="L60" s="644"/>
      <c r="M60" s="1886"/>
      <c r="N60" s="1886"/>
      <c r="O60" s="1886"/>
      <c r="P60" s="1886"/>
      <c r="Q60" s="1886"/>
      <c r="R60" s="1886"/>
      <c r="S60" s="644"/>
      <c r="T60" s="644"/>
      <c r="U60" s="644"/>
      <c r="V60" s="644"/>
      <c r="W60" s="1893"/>
      <c r="X60" s="644"/>
      <c r="Y60" s="1886"/>
      <c r="Z60" s="643"/>
      <c r="AA60" s="643"/>
      <c r="AB60" s="643"/>
      <c r="AC60" s="643"/>
      <c r="AD60" s="643"/>
      <c r="AE60" s="643"/>
      <c r="AF60" s="643"/>
      <c r="AG60" s="643"/>
      <c r="AH60" s="643"/>
      <c r="AI60" s="643"/>
      <c r="AJ60" s="359"/>
    </row>
    <row r="61" spans="1:36" ht="13.8">
      <c r="C61" s="644"/>
      <c r="D61" s="644"/>
      <c r="E61" s="644"/>
      <c r="F61" s="644"/>
      <c r="G61" s="644"/>
      <c r="H61" s="644"/>
      <c r="I61" s="644"/>
      <c r="J61" s="644"/>
      <c r="K61" s="644"/>
      <c r="L61" s="644"/>
      <c r="M61" s="644"/>
      <c r="N61" s="644"/>
      <c r="O61" s="644"/>
      <c r="P61" s="644"/>
      <c r="Q61" s="644"/>
      <c r="R61" s="644"/>
      <c r="S61" s="644"/>
      <c r="T61" s="644"/>
      <c r="U61" s="644"/>
      <c r="V61" s="644"/>
      <c r="W61" s="1893"/>
      <c r="X61" s="644"/>
      <c r="Y61" s="644"/>
      <c r="Z61" s="643"/>
      <c r="AA61" s="643"/>
      <c r="AB61" s="643"/>
      <c r="AC61" s="643"/>
      <c r="AD61" s="643"/>
      <c r="AE61" s="643"/>
      <c r="AF61" s="643"/>
      <c r="AG61" s="643"/>
      <c r="AH61" s="643"/>
      <c r="AI61" s="643"/>
      <c r="AJ61" s="359"/>
    </row>
    <row r="62" spans="1:36" ht="13.8">
      <c r="C62" s="644"/>
      <c r="D62" s="1894"/>
      <c r="E62" s="644"/>
      <c r="F62" s="644"/>
      <c r="G62" s="1894"/>
      <c r="H62" s="644"/>
      <c r="I62" s="644"/>
      <c r="J62" s="644"/>
      <c r="K62" s="644"/>
      <c r="L62" s="644"/>
      <c r="M62" s="1894"/>
      <c r="N62" s="1894"/>
      <c r="O62" s="1894"/>
      <c r="P62" s="1894"/>
      <c r="Q62" s="1894"/>
      <c r="R62" s="1894"/>
      <c r="S62" s="644"/>
      <c r="T62" s="644"/>
      <c r="U62" s="644"/>
      <c r="V62" s="644"/>
      <c r="W62" s="1893"/>
      <c r="X62" s="644"/>
      <c r="Y62" s="1894"/>
      <c r="Z62" s="643"/>
      <c r="AA62" s="643"/>
      <c r="AB62" s="643"/>
      <c r="AC62" s="643"/>
      <c r="AD62" s="643"/>
      <c r="AE62" s="643"/>
      <c r="AF62" s="643"/>
      <c r="AG62" s="643"/>
      <c r="AH62" s="643"/>
      <c r="AI62" s="643"/>
      <c r="AJ62" s="359"/>
    </row>
    <row r="63" spans="1:36" ht="13.8">
      <c r="B63" s="880"/>
      <c r="C63" s="644"/>
      <c r="D63" s="644"/>
      <c r="E63" s="644"/>
      <c r="F63" s="644"/>
      <c r="G63" s="644"/>
      <c r="H63" s="644"/>
      <c r="I63" s="644"/>
      <c r="J63" s="644"/>
      <c r="K63" s="644"/>
      <c r="L63" s="644"/>
      <c r="M63" s="644"/>
      <c r="N63" s="644"/>
      <c r="O63" s="644"/>
      <c r="P63" s="644"/>
      <c r="Q63" s="644"/>
      <c r="R63" s="644"/>
      <c r="S63" s="644"/>
      <c r="T63" s="644"/>
      <c r="U63" s="644"/>
      <c r="V63" s="644"/>
      <c r="W63" s="644"/>
      <c r="X63" s="644"/>
      <c r="Y63" s="644"/>
      <c r="Z63" s="643"/>
      <c r="AA63" s="643"/>
      <c r="AB63" s="643"/>
      <c r="AC63" s="643"/>
      <c r="AD63" s="643"/>
      <c r="AE63" s="643"/>
      <c r="AF63" s="643"/>
      <c r="AG63" s="643"/>
      <c r="AH63" s="643"/>
      <c r="AI63" s="643"/>
      <c r="AJ63" s="359"/>
    </row>
    <row r="64" spans="1:36" ht="13.8">
      <c r="B64" s="880"/>
      <c r="C64" s="644"/>
      <c r="D64" s="644"/>
      <c r="E64" s="644"/>
      <c r="F64" s="644"/>
      <c r="G64" s="644"/>
      <c r="H64" s="644"/>
      <c r="I64" s="644"/>
      <c r="J64" s="644"/>
      <c r="K64" s="644"/>
      <c r="L64" s="644"/>
      <c r="M64" s="644"/>
      <c r="N64" s="644"/>
      <c r="O64" s="644"/>
      <c r="P64" s="644"/>
      <c r="Q64" s="644"/>
      <c r="R64" s="644"/>
      <c r="S64" s="644"/>
      <c r="T64" s="644"/>
      <c r="U64" s="644"/>
      <c r="V64" s="644"/>
      <c r="W64" s="644"/>
      <c r="X64" s="644"/>
      <c r="Y64" s="644"/>
      <c r="Z64" s="643"/>
      <c r="AA64" s="643"/>
      <c r="AB64" s="643"/>
      <c r="AC64" s="643"/>
      <c r="AD64" s="643"/>
      <c r="AE64" s="643"/>
      <c r="AF64" s="643"/>
      <c r="AG64" s="643"/>
      <c r="AH64" s="643"/>
      <c r="AI64" s="643"/>
      <c r="AJ64" s="359"/>
    </row>
    <row r="65" spans="2:36" ht="13.8">
      <c r="B65" s="644"/>
      <c r="C65" s="644"/>
      <c r="D65" s="644"/>
      <c r="E65" s="644"/>
      <c r="F65" s="644"/>
      <c r="G65" s="644"/>
      <c r="H65" s="644"/>
      <c r="I65" s="644"/>
      <c r="J65" s="644"/>
      <c r="K65" s="644"/>
      <c r="L65" s="644"/>
      <c r="M65" s="644"/>
      <c r="N65" s="644"/>
      <c r="O65" s="644"/>
      <c r="P65" s="644"/>
      <c r="Q65" s="644"/>
      <c r="R65" s="644"/>
      <c r="S65" s="644"/>
      <c r="T65" s="644"/>
      <c r="U65" s="644"/>
      <c r="V65" s="644"/>
      <c r="W65" s="644"/>
      <c r="X65" s="644"/>
      <c r="Y65" s="644"/>
      <c r="Z65" s="643"/>
      <c r="AA65" s="643"/>
      <c r="AB65" s="643"/>
      <c r="AC65" s="643"/>
      <c r="AD65" s="643"/>
      <c r="AE65" s="643"/>
      <c r="AF65" s="643"/>
      <c r="AG65" s="643"/>
      <c r="AH65" s="643"/>
      <c r="AI65" s="643"/>
      <c r="AJ65" s="359"/>
    </row>
    <row r="66" spans="2:36" ht="13.8">
      <c r="B66" s="879"/>
      <c r="C66" s="644"/>
      <c r="D66" s="878"/>
      <c r="E66" s="644"/>
      <c r="F66" s="644"/>
      <c r="G66" s="644"/>
      <c r="H66" s="644"/>
      <c r="I66" s="644"/>
      <c r="J66" s="644"/>
      <c r="K66" s="644"/>
      <c r="L66" s="644"/>
      <c r="M66" s="644"/>
      <c r="N66" s="644"/>
      <c r="O66" s="644"/>
      <c r="P66" s="644"/>
      <c r="Q66" s="644"/>
      <c r="R66" s="644"/>
      <c r="S66" s="644"/>
      <c r="T66" s="644"/>
      <c r="U66" s="644"/>
      <c r="V66" s="644"/>
      <c r="W66" s="644"/>
      <c r="X66" s="644"/>
      <c r="Y66" s="644"/>
      <c r="Z66" s="643"/>
      <c r="AA66" s="643"/>
      <c r="AB66" s="643"/>
      <c r="AC66" s="643"/>
      <c r="AD66" s="643"/>
      <c r="AE66" s="643"/>
      <c r="AF66" s="643"/>
      <c r="AG66" s="643"/>
      <c r="AH66" s="643"/>
      <c r="AI66" s="643"/>
      <c r="AJ66" s="359"/>
    </row>
    <row r="67" spans="2:36" ht="13.8">
      <c r="B67" s="879"/>
      <c r="C67" s="644"/>
      <c r="D67" s="878"/>
      <c r="E67" s="644"/>
      <c r="F67" s="644"/>
      <c r="G67" s="644"/>
      <c r="H67" s="644"/>
      <c r="I67" s="644"/>
      <c r="J67" s="644"/>
      <c r="K67" s="644"/>
      <c r="L67" s="644"/>
      <c r="M67" s="644"/>
      <c r="N67" s="644"/>
      <c r="O67" s="644"/>
      <c r="P67" s="644"/>
      <c r="Q67" s="644"/>
      <c r="R67" s="644"/>
      <c r="S67" s="643"/>
      <c r="T67" s="643"/>
      <c r="U67" s="643"/>
      <c r="V67" s="643"/>
      <c r="W67" s="643"/>
      <c r="X67" s="643"/>
      <c r="Y67" s="643"/>
      <c r="Z67" s="643"/>
      <c r="AA67" s="643"/>
      <c r="AB67" s="643"/>
      <c r="AC67" s="643"/>
      <c r="AD67" s="643"/>
      <c r="AE67" s="643"/>
      <c r="AF67" s="643"/>
      <c r="AG67" s="643"/>
      <c r="AH67" s="643"/>
      <c r="AI67" s="643"/>
      <c r="AJ67" s="359"/>
    </row>
    <row r="68" spans="2:36" ht="13.8">
      <c r="B68" s="664"/>
      <c r="C68" s="876"/>
      <c r="D68" s="876"/>
      <c r="E68" s="876"/>
      <c r="F68" s="876"/>
      <c r="G68" s="876"/>
      <c r="H68" s="876"/>
      <c r="I68" s="876"/>
      <c r="J68" s="876"/>
      <c r="K68" s="876"/>
      <c r="L68" s="644"/>
      <c r="M68" s="644"/>
      <c r="N68" s="644"/>
      <c r="O68" s="644"/>
      <c r="P68" s="644"/>
      <c r="Q68" s="644"/>
      <c r="R68" s="644"/>
      <c r="S68" s="643"/>
      <c r="T68" s="643"/>
      <c r="U68" s="643"/>
      <c r="V68" s="643"/>
      <c r="W68" s="643"/>
      <c r="X68" s="643"/>
      <c r="Y68" s="643"/>
      <c r="Z68" s="643"/>
      <c r="AA68" s="643"/>
      <c r="AB68" s="643"/>
      <c r="AC68" s="643"/>
      <c r="AD68" s="643"/>
      <c r="AE68" s="643"/>
      <c r="AF68" s="643"/>
      <c r="AG68" s="643"/>
      <c r="AH68" s="643"/>
      <c r="AI68" s="643"/>
      <c r="AJ68" s="359"/>
    </row>
    <row r="69" spans="2:36" ht="13.8">
      <c r="B69" s="644"/>
      <c r="C69" s="644"/>
      <c r="D69" s="672"/>
      <c r="E69" s="644"/>
      <c r="F69" s="644"/>
      <c r="G69" s="672"/>
      <c r="H69" s="644"/>
      <c r="I69" s="672"/>
      <c r="J69" s="644"/>
      <c r="K69" s="672"/>
      <c r="L69" s="644"/>
      <c r="M69" s="644"/>
      <c r="N69" s="644"/>
      <c r="O69" s="644"/>
      <c r="P69" s="644"/>
      <c r="Q69" s="644"/>
      <c r="R69" s="644"/>
      <c r="S69" s="643"/>
      <c r="T69" s="643"/>
      <c r="U69" s="643"/>
      <c r="V69" s="643"/>
      <c r="W69" s="643"/>
      <c r="X69" s="643"/>
      <c r="Y69" s="643"/>
      <c r="Z69" s="643"/>
      <c r="AA69" s="643"/>
      <c r="AB69" s="643"/>
      <c r="AC69" s="643"/>
      <c r="AD69" s="643"/>
      <c r="AE69" s="643"/>
      <c r="AF69" s="643"/>
      <c r="AG69" s="643"/>
      <c r="AH69" s="643"/>
      <c r="AI69" s="643"/>
      <c r="AJ69" s="359"/>
    </row>
    <row r="70" spans="2:36" ht="13.8">
      <c r="B70" s="644"/>
      <c r="C70" s="644"/>
      <c r="D70" s="672"/>
      <c r="E70" s="644"/>
      <c r="F70" s="644"/>
      <c r="G70" s="672"/>
      <c r="H70" s="644"/>
      <c r="I70" s="672"/>
      <c r="J70" s="644"/>
      <c r="K70" s="672"/>
      <c r="L70" s="644"/>
      <c r="M70" s="644"/>
      <c r="N70" s="644"/>
      <c r="O70" s="644"/>
      <c r="P70" s="644"/>
      <c r="Q70" s="644"/>
      <c r="R70" s="644"/>
      <c r="S70" s="643"/>
      <c r="T70" s="643"/>
      <c r="U70" s="643"/>
      <c r="V70" s="643"/>
      <c r="W70" s="643"/>
      <c r="X70" s="643"/>
      <c r="Y70" s="643"/>
      <c r="Z70" s="643"/>
      <c r="AA70" s="643"/>
      <c r="AB70" s="643"/>
      <c r="AC70" s="643"/>
      <c r="AD70" s="643"/>
      <c r="AE70" s="643"/>
      <c r="AF70" s="643"/>
      <c r="AG70" s="643"/>
      <c r="AH70" s="643"/>
      <c r="AI70" s="643"/>
      <c r="AJ70" s="359"/>
    </row>
    <row r="71" spans="2:36" ht="13.8">
      <c r="B71" s="644"/>
      <c r="C71" s="644"/>
      <c r="D71" s="878"/>
      <c r="E71" s="644"/>
      <c r="F71" s="644"/>
      <c r="G71" s="877"/>
      <c r="H71" s="644"/>
      <c r="I71" s="877"/>
      <c r="J71" s="644"/>
      <c r="K71" s="877"/>
      <c r="L71" s="644"/>
      <c r="M71" s="644"/>
      <c r="N71" s="644"/>
      <c r="O71" s="644"/>
      <c r="P71" s="644"/>
      <c r="Q71" s="644"/>
      <c r="R71" s="644"/>
      <c r="S71" s="643"/>
      <c r="T71" s="643"/>
      <c r="U71" s="643"/>
      <c r="V71" s="643"/>
      <c r="W71" s="643"/>
      <c r="X71" s="643"/>
      <c r="Y71" s="643"/>
      <c r="Z71" s="643"/>
      <c r="AA71" s="643"/>
      <c r="AB71" s="643"/>
      <c r="AC71" s="643"/>
      <c r="AD71" s="643"/>
      <c r="AE71" s="643"/>
      <c r="AF71" s="643"/>
      <c r="AG71" s="643"/>
      <c r="AH71" s="643"/>
      <c r="AI71" s="643"/>
      <c r="AJ71" s="359"/>
    </row>
    <row r="72" spans="2:36" ht="13.8">
      <c r="B72" s="644"/>
      <c r="C72" s="644"/>
      <c r="D72" s="878"/>
      <c r="E72" s="644"/>
      <c r="F72" s="644"/>
      <c r="G72" s="877"/>
      <c r="H72" s="644"/>
      <c r="I72" s="877"/>
      <c r="J72" s="644"/>
      <c r="K72" s="644"/>
      <c r="L72" s="644"/>
      <c r="M72" s="644"/>
      <c r="N72" s="644"/>
      <c r="O72" s="644"/>
      <c r="P72" s="644"/>
      <c r="Q72" s="644"/>
      <c r="R72" s="644"/>
      <c r="S72" s="643"/>
      <c r="T72" s="643"/>
      <c r="U72" s="643"/>
      <c r="V72" s="643"/>
      <c r="W72" s="643"/>
      <c r="X72" s="643"/>
      <c r="Y72" s="643"/>
      <c r="Z72" s="643"/>
      <c r="AA72" s="643"/>
      <c r="AB72" s="643"/>
      <c r="AC72" s="643"/>
      <c r="AD72" s="643"/>
      <c r="AE72" s="643"/>
      <c r="AF72" s="643"/>
      <c r="AG72" s="643"/>
      <c r="AH72" s="643"/>
      <c r="AI72" s="643"/>
      <c r="AJ72" s="359"/>
    </row>
    <row r="73" spans="2:36" ht="13.8">
      <c r="B73" s="644"/>
      <c r="C73" s="644"/>
      <c r="D73" s="878"/>
      <c r="E73" s="644"/>
      <c r="F73" s="644"/>
      <c r="G73" s="877"/>
      <c r="H73" s="644"/>
      <c r="I73" s="877"/>
      <c r="J73" s="644"/>
      <c r="K73" s="877"/>
      <c r="L73" s="644"/>
      <c r="M73" s="644"/>
      <c r="N73" s="644"/>
      <c r="O73" s="644"/>
      <c r="P73" s="644"/>
      <c r="Q73" s="644"/>
      <c r="R73" s="644"/>
      <c r="S73" s="643"/>
      <c r="T73" s="643"/>
      <c r="U73" s="643"/>
      <c r="V73" s="643"/>
      <c r="W73" s="643"/>
      <c r="X73" s="643"/>
      <c r="Y73" s="643"/>
      <c r="Z73" s="643"/>
      <c r="AA73" s="643"/>
      <c r="AB73" s="643"/>
      <c r="AC73" s="643"/>
      <c r="AD73" s="643"/>
      <c r="AE73" s="643"/>
      <c r="AF73" s="643"/>
      <c r="AG73" s="643"/>
      <c r="AH73" s="643"/>
      <c r="AI73" s="643"/>
      <c r="AJ73" s="359"/>
    </row>
    <row r="74" spans="2:36" ht="13.8">
      <c r="B74" s="644"/>
      <c r="C74" s="644"/>
      <c r="D74" s="878"/>
      <c r="E74" s="644"/>
      <c r="F74" s="644"/>
      <c r="G74" s="877"/>
      <c r="H74" s="644"/>
      <c r="I74" s="877"/>
      <c r="J74" s="644"/>
      <c r="K74" s="644"/>
      <c r="L74" s="644"/>
      <c r="M74" s="644"/>
      <c r="N74" s="644"/>
      <c r="O74" s="644"/>
      <c r="P74" s="644"/>
      <c r="Q74" s="644"/>
      <c r="R74" s="644"/>
      <c r="S74" s="643"/>
      <c r="T74" s="643"/>
      <c r="U74" s="643"/>
      <c r="V74" s="643"/>
      <c r="W74" s="643"/>
      <c r="X74" s="643"/>
      <c r="Y74" s="643"/>
      <c r="Z74" s="643"/>
      <c r="AA74" s="643"/>
      <c r="AB74" s="643"/>
      <c r="AC74" s="643"/>
      <c r="AD74" s="643"/>
      <c r="AE74" s="643"/>
      <c r="AF74" s="643"/>
      <c r="AG74" s="643"/>
      <c r="AH74" s="643"/>
      <c r="AI74" s="643"/>
      <c r="AJ74" s="359"/>
    </row>
    <row r="75" spans="2:36" ht="13.8">
      <c r="B75" s="644"/>
      <c r="C75" s="644"/>
      <c r="D75" s="878"/>
      <c r="E75" s="644"/>
      <c r="F75" s="644"/>
      <c r="G75" s="877"/>
      <c r="H75" s="644"/>
      <c r="I75" s="877"/>
      <c r="J75" s="644"/>
      <c r="K75" s="877"/>
      <c r="L75" s="644"/>
      <c r="M75" s="644"/>
      <c r="N75" s="644"/>
      <c r="O75" s="644"/>
      <c r="P75" s="644"/>
      <c r="Q75" s="644"/>
      <c r="R75" s="644"/>
      <c r="S75" s="643"/>
      <c r="T75" s="643"/>
      <c r="U75" s="643"/>
      <c r="V75" s="643"/>
      <c r="W75" s="643"/>
      <c r="X75" s="643"/>
      <c r="Y75" s="643"/>
      <c r="Z75" s="643"/>
      <c r="AA75" s="643"/>
      <c r="AB75" s="643"/>
      <c r="AC75" s="643"/>
      <c r="AD75" s="643"/>
      <c r="AE75" s="643"/>
      <c r="AF75" s="643"/>
      <c r="AG75" s="643"/>
      <c r="AH75" s="643"/>
      <c r="AI75" s="643"/>
      <c r="AJ75" s="359"/>
    </row>
    <row r="76" spans="2:36" ht="13.8">
      <c r="B76" s="644"/>
      <c r="C76" s="644"/>
      <c r="D76" s="878"/>
      <c r="E76" s="644"/>
      <c r="F76" s="644"/>
      <c r="G76" s="877"/>
      <c r="H76" s="644"/>
      <c r="I76" s="877"/>
      <c r="J76" s="644"/>
      <c r="K76" s="644"/>
      <c r="L76" s="644"/>
      <c r="M76" s="644"/>
      <c r="N76" s="644"/>
      <c r="O76" s="644"/>
      <c r="P76" s="644"/>
      <c r="Q76" s="644"/>
      <c r="R76" s="644"/>
      <c r="S76" s="643"/>
      <c r="T76" s="643"/>
      <c r="U76" s="643"/>
      <c r="V76" s="643"/>
      <c r="W76" s="643"/>
      <c r="X76" s="643"/>
      <c r="Y76" s="643"/>
      <c r="Z76" s="643"/>
      <c r="AA76" s="643"/>
      <c r="AB76" s="643"/>
      <c r="AC76" s="643"/>
      <c r="AD76" s="643"/>
      <c r="AE76" s="643"/>
      <c r="AF76" s="643"/>
      <c r="AG76" s="643"/>
      <c r="AH76" s="643"/>
      <c r="AI76" s="643"/>
      <c r="AJ76" s="359"/>
    </row>
    <row r="77" spans="2:36" ht="13.8">
      <c r="B77" s="644"/>
      <c r="C77" s="644"/>
      <c r="D77" s="878"/>
      <c r="E77" s="644"/>
      <c r="F77" s="644"/>
      <c r="G77" s="877"/>
      <c r="H77" s="644"/>
      <c r="I77" s="644"/>
      <c r="J77" s="644"/>
      <c r="K77" s="877"/>
      <c r="L77" s="876"/>
      <c r="M77" s="876"/>
      <c r="N77" s="876"/>
      <c r="O77" s="876"/>
      <c r="P77" s="876"/>
      <c r="Q77" s="876"/>
      <c r="R77" s="876"/>
      <c r="S77" s="876"/>
      <c r="T77" s="876"/>
      <c r="U77" s="876"/>
      <c r="V77" s="876"/>
      <c r="W77" s="876"/>
      <c r="X77" s="876"/>
      <c r="Y77" s="876"/>
      <c r="Z77" s="876"/>
      <c r="AA77" s="643"/>
      <c r="AB77" s="643"/>
      <c r="AC77" s="643"/>
      <c r="AD77" s="643"/>
      <c r="AE77" s="643"/>
      <c r="AF77" s="643"/>
      <c r="AG77" s="643"/>
      <c r="AH77" s="643"/>
      <c r="AI77" s="643"/>
      <c r="AJ77" s="359"/>
    </row>
    <row r="78" spans="2:36">
      <c r="B78" s="866"/>
      <c r="C78" s="866"/>
      <c r="D78" s="869"/>
      <c r="E78" s="866"/>
      <c r="F78" s="866"/>
      <c r="G78" s="875"/>
      <c r="H78" s="866"/>
      <c r="I78" s="866"/>
      <c r="J78" s="866"/>
      <c r="K78" s="875"/>
      <c r="L78" s="652"/>
      <c r="M78" s="652"/>
      <c r="N78" s="652"/>
      <c r="O78" s="652"/>
      <c r="P78" s="652"/>
      <c r="Q78" s="652"/>
      <c r="R78" s="652"/>
      <c r="S78" s="652"/>
      <c r="T78" s="652"/>
      <c r="U78" s="652"/>
      <c r="V78" s="652"/>
      <c r="W78" s="652"/>
      <c r="X78" s="652"/>
      <c r="Y78" s="652"/>
      <c r="Z78" s="652"/>
      <c r="AA78" s="359"/>
      <c r="AB78" s="359"/>
      <c r="AC78" s="359"/>
      <c r="AD78" s="359"/>
      <c r="AE78" s="359"/>
      <c r="AF78" s="359"/>
      <c r="AG78" s="359"/>
      <c r="AH78" s="359"/>
      <c r="AI78" s="359"/>
      <c r="AJ78" s="359"/>
    </row>
    <row r="79" spans="2:36">
      <c r="B79" s="866"/>
      <c r="C79" s="866"/>
      <c r="D79" s="869"/>
      <c r="E79" s="866"/>
      <c r="F79" s="866"/>
      <c r="G79" s="875"/>
      <c r="H79" s="866"/>
      <c r="I79" s="866"/>
      <c r="J79" s="866"/>
      <c r="K79" s="875"/>
      <c r="L79" s="652"/>
      <c r="M79" s="652"/>
      <c r="N79" s="652"/>
      <c r="O79" s="652"/>
      <c r="P79" s="652"/>
      <c r="Q79" s="652"/>
      <c r="R79" s="652"/>
      <c r="S79" s="652"/>
      <c r="T79" s="652"/>
      <c r="U79" s="652"/>
      <c r="V79" s="652"/>
      <c r="W79" s="652"/>
      <c r="X79" s="652"/>
      <c r="Y79" s="652"/>
      <c r="Z79" s="652"/>
      <c r="AA79" s="359"/>
      <c r="AB79" s="359"/>
      <c r="AC79" s="359"/>
      <c r="AD79" s="359"/>
      <c r="AE79" s="359"/>
      <c r="AF79" s="359"/>
      <c r="AG79" s="359"/>
      <c r="AH79" s="359"/>
      <c r="AI79" s="359"/>
      <c r="AJ79" s="359"/>
    </row>
    <row r="80" spans="2:36">
      <c r="B80" s="866"/>
      <c r="C80" s="866"/>
      <c r="D80" s="869"/>
      <c r="E80" s="866"/>
      <c r="F80" s="866"/>
      <c r="G80" s="875"/>
      <c r="H80" s="866"/>
      <c r="I80" s="866"/>
      <c r="J80" s="866"/>
      <c r="K80" s="875"/>
      <c r="L80" s="652"/>
      <c r="M80" s="652"/>
      <c r="N80" s="652"/>
      <c r="O80" s="652"/>
      <c r="P80" s="652"/>
      <c r="Q80" s="652"/>
      <c r="R80" s="652"/>
      <c r="S80" s="652"/>
      <c r="T80" s="652"/>
      <c r="U80" s="652"/>
      <c r="V80" s="652"/>
      <c r="W80" s="652"/>
      <c r="X80" s="652"/>
      <c r="Y80" s="652"/>
      <c r="Z80" s="652"/>
      <c r="AA80" s="359"/>
      <c r="AB80" s="359"/>
      <c r="AC80" s="359"/>
      <c r="AD80" s="359"/>
      <c r="AE80" s="359"/>
      <c r="AF80" s="359"/>
      <c r="AG80" s="359"/>
      <c r="AH80" s="359"/>
      <c r="AI80" s="359"/>
      <c r="AJ80" s="359"/>
    </row>
    <row r="81" spans="2:35">
      <c r="B81" s="652"/>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866"/>
      <c r="AB81" s="866"/>
      <c r="AC81" s="866"/>
      <c r="AD81" s="866"/>
      <c r="AE81" s="866"/>
      <c r="AF81" s="866"/>
      <c r="AG81" s="866"/>
      <c r="AH81" s="866"/>
      <c r="AI81" s="866"/>
    </row>
    <row r="82" spans="2:35">
      <c r="B82" s="639"/>
      <c r="C82" s="866"/>
      <c r="D82" s="866"/>
      <c r="E82" s="866"/>
      <c r="F82" s="866"/>
      <c r="G82" s="866"/>
      <c r="H82" s="866"/>
      <c r="I82" s="866"/>
      <c r="J82" s="866"/>
      <c r="K82" s="866"/>
      <c r="L82" s="866"/>
      <c r="M82" s="866"/>
      <c r="N82" s="866"/>
      <c r="O82" s="866"/>
      <c r="P82" s="866"/>
      <c r="Q82" s="866"/>
      <c r="R82" s="866"/>
      <c r="S82" s="866"/>
      <c r="T82" s="866"/>
      <c r="U82" s="866"/>
      <c r="V82" s="866"/>
      <c r="W82" s="866"/>
      <c r="X82" s="866"/>
      <c r="Y82" s="866"/>
      <c r="Z82" s="866"/>
      <c r="AA82" s="866"/>
      <c r="AB82" s="866"/>
      <c r="AC82" s="866"/>
      <c r="AD82" s="866"/>
      <c r="AE82" s="866"/>
      <c r="AF82" s="866"/>
      <c r="AG82" s="866"/>
      <c r="AH82" s="866"/>
      <c r="AI82" s="866"/>
    </row>
    <row r="83" spans="2:35">
      <c r="B83" s="665"/>
      <c r="C83" s="866"/>
      <c r="D83" s="866"/>
      <c r="E83" s="866"/>
      <c r="F83" s="866"/>
      <c r="G83" s="870"/>
      <c r="H83" s="870"/>
      <c r="I83" s="870"/>
      <c r="J83" s="870"/>
      <c r="K83" s="870"/>
      <c r="L83" s="870"/>
      <c r="M83" s="870"/>
      <c r="N83" s="870"/>
      <c r="O83" s="870"/>
      <c r="P83" s="870"/>
      <c r="Q83" s="870"/>
      <c r="R83" s="870"/>
      <c r="S83" s="870"/>
      <c r="T83" s="870"/>
      <c r="U83" s="870"/>
      <c r="V83" s="870"/>
      <c r="W83" s="866"/>
      <c r="X83" s="866"/>
      <c r="Y83" s="866"/>
      <c r="Z83" s="866"/>
      <c r="AA83" s="866"/>
      <c r="AB83" s="866"/>
      <c r="AC83" s="866"/>
      <c r="AD83" s="866"/>
      <c r="AE83" s="866"/>
      <c r="AF83" s="866"/>
      <c r="AG83" s="866"/>
      <c r="AH83" s="866"/>
      <c r="AI83" s="866"/>
    </row>
    <row r="84" spans="2:35">
      <c r="B84" s="866"/>
      <c r="C84" s="866"/>
      <c r="D84" s="870"/>
      <c r="E84" s="870"/>
      <c r="F84" s="870"/>
      <c r="G84" s="870"/>
      <c r="H84" s="870"/>
      <c r="I84" s="870"/>
      <c r="J84" s="870"/>
      <c r="K84" s="870"/>
      <c r="L84" s="870"/>
      <c r="M84" s="870"/>
      <c r="N84" s="870"/>
      <c r="O84" s="870"/>
      <c r="P84" s="870"/>
      <c r="Q84" s="870"/>
      <c r="R84" s="870"/>
      <c r="S84" s="870"/>
      <c r="T84" s="870"/>
      <c r="U84" s="870"/>
      <c r="V84" s="870"/>
      <c r="W84" s="870"/>
      <c r="X84" s="866"/>
      <c r="Y84" s="870"/>
      <c r="Z84" s="870"/>
      <c r="AA84" s="866"/>
      <c r="AB84" s="866"/>
      <c r="AC84" s="866"/>
      <c r="AD84" s="866"/>
      <c r="AE84" s="866"/>
      <c r="AF84" s="866"/>
      <c r="AG84" s="866"/>
      <c r="AH84" s="866"/>
      <c r="AI84" s="866"/>
    </row>
    <row r="85" spans="2:35">
      <c r="B85" s="666"/>
      <c r="C85" s="866"/>
      <c r="D85" s="870"/>
      <c r="E85" s="870"/>
      <c r="F85" s="870"/>
      <c r="G85" s="870"/>
      <c r="H85" s="870"/>
      <c r="I85" s="870"/>
      <c r="J85" s="870"/>
      <c r="K85" s="870"/>
      <c r="L85" s="870"/>
      <c r="M85" s="870"/>
      <c r="N85" s="870"/>
      <c r="O85" s="870"/>
      <c r="P85" s="870"/>
      <c r="Q85" s="870"/>
      <c r="R85" s="870"/>
      <c r="S85" s="870"/>
      <c r="T85" s="870"/>
      <c r="U85" s="870"/>
      <c r="V85" s="870"/>
      <c r="W85" s="870"/>
      <c r="X85" s="866"/>
      <c r="Y85" s="870"/>
      <c r="Z85" s="870"/>
      <c r="AA85" s="866"/>
      <c r="AB85" s="866"/>
      <c r="AC85" s="866"/>
      <c r="AD85" s="866"/>
      <c r="AE85" s="866"/>
      <c r="AF85" s="866"/>
      <c r="AG85" s="866"/>
      <c r="AH85" s="866"/>
      <c r="AI85" s="866"/>
    </row>
    <row r="86" spans="2:35">
      <c r="B86" s="666"/>
      <c r="C86" s="866"/>
      <c r="D86" s="870"/>
      <c r="E86" s="870"/>
      <c r="F86" s="870"/>
      <c r="G86" s="870"/>
      <c r="H86" s="870"/>
      <c r="I86" s="870"/>
      <c r="J86" s="870"/>
      <c r="K86" s="870"/>
      <c r="L86" s="870"/>
      <c r="M86" s="870"/>
      <c r="N86" s="870"/>
      <c r="O86" s="870"/>
      <c r="P86" s="870"/>
      <c r="Q86" s="870"/>
      <c r="R86" s="870"/>
      <c r="S86" s="870"/>
      <c r="T86" s="870"/>
      <c r="U86" s="870"/>
      <c r="V86" s="870"/>
      <c r="W86" s="870"/>
      <c r="X86" s="866"/>
      <c r="Y86" s="870"/>
      <c r="Z86" s="870"/>
      <c r="AA86" s="866"/>
      <c r="AB86" s="866"/>
      <c r="AC86" s="866"/>
      <c r="AD86" s="866"/>
      <c r="AE86" s="866"/>
      <c r="AF86" s="866"/>
      <c r="AG86" s="866"/>
      <c r="AH86" s="866"/>
      <c r="AI86" s="866"/>
    </row>
    <row r="87" spans="2:35">
      <c r="B87" s="868"/>
      <c r="C87" s="866"/>
      <c r="D87" s="874"/>
      <c r="E87" s="874"/>
      <c r="F87" s="874"/>
      <c r="G87" s="874"/>
      <c r="H87" s="873"/>
      <c r="I87" s="874"/>
      <c r="J87" s="873"/>
      <c r="K87" s="873"/>
      <c r="L87" s="873"/>
      <c r="M87" s="873"/>
      <c r="N87" s="873"/>
      <c r="O87" s="873"/>
      <c r="P87" s="873"/>
      <c r="Q87" s="873"/>
      <c r="R87" s="873"/>
      <c r="S87" s="866"/>
      <c r="T87" s="866"/>
      <c r="U87" s="866"/>
      <c r="V87" s="866"/>
      <c r="W87" s="868"/>
      <c r="X87" s="866"/>
      <c r="Y87" s="873"/>
      <c r="Z87" s="870"/>
      <c r="AA87" s="866"/>
      <c r="AB87" s="866"/>
      <c r="AC87" s="866"/>
      <c r="AD87" s="866"/>
      <c r="AE87" s="866"/>
      <c r="AF87" s="866"/>
      <c r="AG87" s="866"/>
      <c r="AH87" s="866"/>
      <c r="AI87" s="866"/>
    </row>
    <row r="88" spans="2:35">
      <c r="B88" s="868"/>
      <c r="C88" s="866"/>
      <c r="D88" s="874"/>
      <c r="E88" s="874"/>
      <c r="F88" s="874"/>
      <c r="G88" s="874"/>
      <c r="H88" s="873"/>
      <c r="I88" s="874"/>
      <c r="J88" s="873"/>
      <c r="K88" s="873"/>
      <c r="L88" s="873"/>
      <c r="M88" s="873"/>
      <c r="N88" s="873"/>
      <c r="O88" s="873"/>
      <c r="P88" s="873"/>
      <c r="Q88" s="873"/>
      <c r="R88" s="873"/>
      <c r="S88" s="866"/>
      <c r="T88" s="866"/>
      <c r="U88" s="866"/>
      <c r="V88" s="866"/>
      <c r="W88" s="868"/>
      <c r="X88" s="866"/>
      <c r="Y88" s="873"/>
      <c r="Z88" s="870"/>
      <c r="AA88" s="866"/>
      <c r="AB88" s="866"/>
      <c r="AC88" s="866"/>
      <c r="AD88" s="866"/>
      <c r="AE88" s="866"/>
      <c r="AF88" s="866"/>
      <c r="AG88" s="866"/>
      <c r="AH88" s="866"/>
      <c r="AI88" s="866"/>
    </row>
    <row r="89" spans="2:35">
      <c r="B89" s="868"/>
      <c r="C89" s="866"/>
      <c r="D89" s="874"/>
      <c r="E89" s="874"/>
      <c r="F89" s="874"/>
      <c r="G89" s="874"/>
      <c r="H89" s="873"/>
      <c r="I89" s="874"/>
      <c r="J89" s="873"/>
      <c r="K89" s="873"/>
      <c r="L89" s="873"/>
      <c r="M89" s="873"/>
      <c r="N89" s="873"/>
      <c r="O89" s="873"/>
      <c r="P89" s="873"/>
      <c r="Q89" s="873"/>
      <c r="R89" s="873"/>
      <c r="S89" s="866"/>
      <c r="T89" s="866"/>
      <c r="U89" s="866"/>
      <c r="V89" s="866"/>
      <c r="W89" s="868"/>
      <c r="X89" s="866"/>
      <c r="Y89" s="873"/>
      <c r="Z89" s="870"/>
      <c r="AA89" s="866"/>
      <c r="AB89" s="866"/>
      <c r="AC89" s="866"/>
      <c r="AD89" s="866"/>
      <c r="AE89" s="866"/>
      <c r="AF89" s="866"/>
      <c r="AG89" s="866"/>
      <c r="AH89" s="866"/>
      <c r="AI89" s="866"/>
    </row>
    <row r="90" spans="2:35">
      <c r="B90" s="667"/>
      <c r="C90" s="866"/>
      <c r="D90" s="874"/>
      <c r="E90" s="874"/>
      <c r="F90" s="874"/>
      <c r="G90" s="874"/>
      <c r="H90" s="873"/>
      <c r="I90" s="874"/>
      <c r="J90" s="873"/>
      <c r="K90" s="873"/>
      <c r="L90" s="873"/>
      <c r="M90" s="873"/>
      <c r="N90" s="873"/>
      <c r="O90" s="873"/>
      <c r="P90" s="873"/>
      <c r="Q90" s="873"/>
      <c r="R90" s="873"/>
      <c r="S90" s="866"/>
      <c r="T90" s="866"/>
      <c r="U90" s="866"/>
      <c r="V90" s="866"/>
      <c r="W90" s="868"/>
      <c r="X90" s="866"/>
      <c r="Y90" s="873"/>
      <c r="Z90" s="870"/>
      <c r="AA90" s="866"/>
      <c r="AB90" s="866"/>
      <c r="AC90" s="866"/>
      <c r="AD90" s="866"/>
      <c r="AE90" s="866"/>
      <c r="AF90" s="866"/>
      <c r="AG90" s="866"/>
      <c r="AH90" s="866"/>
      <c r="AI90" s="866"/>
    </row>
    <row r="91" spans="2:35">
      <c r="B91" s="667"/>
      <c r="C91" s="866"/>
      <c r="D91" s="874"/>
      <c r="E91" s="874"/>
      <c r="F91" s="874"/>
      <c r="G91" s="874"/>
      <c r="H91" s="873"/>
      <c r="I91" s="874"/>
      <c r="J91" s="873"/>
      <c r="K91" s="873"/>
      <c r="L91" s="873"/>
      <c r="M91" s="873"/>
      <c r="N91" s="873"/>
      <c r="O91" s="873"/>
      <c r="P91" s="873"/>
      <c r="Q91" s="873"/>
      <c r="R91" s="873"/>
      <c r="S91" s="866"/>
      <c r="T91" s="866"/>
      <c r="U91" s="866"/>
      <c r="V91" s="866"/>
      <c r="W91" s="868"/>
      <c r="X91" s="866"/>
      <c r="Y91" s="873"/>
      <c r="Z91" s="870"/>
      <c r="AA91" s="866"/>
      <c r="AB91" s="866"/>
      <c r="AC91" s="866"/>
      <c r="AD91" s="866"/>
      <c r="AE91" s="866"/>
      <c r="AF91" s="866"/>
      <c r="AG91" s="866"/>
      <c r="AH91" s="866"/>
      <c r="AI91" s="866"/>
    </row>
    <row r="92" spans="2:35">
      <c r="B92" s="668"/>
      <c r="C92" s="866"/>
      <c r="D92" s="874"/>
      <c r="E92" s="874"/>
      <c r="F92" s="874"/>
      <c r="G92" s="874"/>
      <c r="H92" s="873"/>
      <c r="I92" s="874"/>
      <c r="J92" s="873"/>
      <c r="K92" s="873"/>
      <c r="L92" s="873"/>
      <c r="M92" s="873"/>
      <c r="N92" s="873"/>
      <c r="O92" s="873"/>
      <c r="P92" s="873"/>
      <c r="Q92" s="873"/>
      <c r="R92" s="873"/>
      <c r="S92" s="866"/>
      <c r="T92" s="866"/>
      <c r="U92" s="866"/>
      <c r="V92" s="866"/>
      <c r="W92" s="868"/>
      <c r="X92" s="866"/>
      <c r="Y92" s="873"/>
      <c r="Z92" s="870"/>
      <c r="AA92" s="866"/>
      <c r="AB92" s="866"/>
      <c r="AC92" s="866"/>
      <c r="AD92" s="866"/>
      <c r="AE92" s="866"/>
      <c r="AF92" s="866"/>
      <c r="AG92" s="866"/>
      <c r="AH92" s="866"/>
      <c r="AI92" s="866"/>
    </row>
    <row r="93" spans="2:35">
      <c r="B93" s="868"/>
      <c r="C93" s="866"/>
      <c r="D93" s="874"/>
      <c r="E93" s="874"/>
      <c r="F93" s="874"/>
      <c r="G93" s="874"/>
      <c r="H93" s="873"/>
      <c r="I93" s="874"/>
      <c r="J93" s="873"/>
      <c r="K93" s="873"/>
      <c r="L93" s="873"/>
      <c r="M93" s="873"/>
      <c r="N93" s="873"/>
      <c r="O93" s="873"/>
      <c r="P93" s="873"/>
      <c r="Q93" s="873"/>
      <c r="R93" s="873"/>
      <c r="S93" s="866"/>
      <c r="T93" s="866"/>
      <c r="U93" s="866"/>
      <c r="V93" s="866"/>
      <c r="W93" s="868"/>
      <c r="X93" s="866"/>
      <c r="Y93" s="873"/>
      <c r="Z93" s="870"/>
      <c r="AA93" s="866"/>
      <c r="AB93" s="866"/>
      <c r="AC93" s="866"/>
      <c r="AD93" s="866"/>
      <c r="AE93" s="866"/>
      <c r="AF93" s="866"/>
      <c r="AG93" s="866"/>
      <c r="AH93" s="866"/>
      <c r="AI93" s="866"/>
    </row>
    <row r="94" spans="2:35">
      <c r="B94" s="868"/>
      <c r="C94" s="866"/>
      <c r="D94" s="874"/>
      <c r="E94" s="874"/>
      <c r="F94" s="874"/>
      <c r="G94" s="874"/>
      <c r="H94" s="873"/>
      <c r="I94" s="874"/>
      <c r="J94" s="873"/>
      <c r="K94" s="873"/>
      <c r="L94" s="873"/>
      <c r="M94" s="873"/>
      <c r="N94" s="873"/>
      <c r="O94" s="873"/>
      <c r="P94" s="873"/>
      <c r="Q94" s="873"/>
      <c r="R94" s="873"/>
      <c r="S94" s="866"/>
      <c r="T94" s="866"/>
      <c r="U94" s="866"/>
      <c r="V94" s="866"/>
      <c r="W94" s="868"/>
      <c r="X94" s="866"/>
      <c r="Y94" s="873"/>
      <c r="Z94" s="870"/>
      <c r="AA94" s="866"/>
      <c r="AB94" s="866"/>
      <c r="AC94" s="866"/>
      <c r="AD94" s="866"/>
      <c r="AE94" s="866"/>
      <c r="AF94" s="866"/>
      <c r="AG94" s="866"/>
      <c r="AH94" s="866"/>
      <c r="AI94" s="866"/>
    </row>
    <row r="95" spans="2:35">
      <c r="B95" s="868"/>
      <c r="C95" s="866"/>
      <c r="D95" s="874"/>
      <c r="E95" s="874"/>
      <c r="F95" s="874"/>
      <c r="G95" s="874"/>
      <c r="H95" s="873"/>
      <c r="I95" s="874"/>
      <c r="J95" s="873"/>
      <c r="K95" s="873"/>
      <c r="L95" s="873"/>
      <c r="M95" s="873"/>
      <c r="N95" s="873"/>
      <c r="O95" s="873"/>
      <c r="P95" s="873"/>
      <c r="Q95" s="873"/>
      <c r="R95" s="873"/>
      <c r="S95" s="866"/>
      <c r="T95" s="866"/>
      <c r="U95" s="866"/>
      <c r="V95" s="866"/>
      <c r="W95" s="868"/>
      <c r="X95" s="866"/>
      <c r="Y95" s="873"/>
      <c r="Z95" s="870"/>
      <c r="AA95" s="866"/>
      <c r="AB95" s="866"/>
      <c r="AC95" s="866"/>
      <c r="AD95" s="866"/>
      <c r="AE95" s="866"/>
      <c r="AF95" s="866"/>
      <c r="AG95" s="866"/>
      <c r="AH95" s="866"/>
      <c r="AI95" s="866"/>
    </row>
    <row r="96" spans="2:35">
      <c r="B96" s="868"/>
      <c r="C96" s="866"/>
      <c r="D96" s="874"/>
      <c r="E96" s="874"/>
      <c r="F96" s="874"/>
      <c r="G96" s="874"/>
      <c r="H96" s="873"/>
      <c r="I96" s="874"/>
      <c r="J96" s="873"/>
      <c r="K96" s="873"/>
      <c r="L96" s="873"/>
      <c r="M96" s="873"/>
      <c r="N96" s="873"/>
      <c r="O96" s="873"/>
      <c r="P96" s="873"/>
      <c r="Q96" s="873"/>
      <c r="R96" s="873"/>
      <c r="S96" s="866"/>
      <c r="T96" s="866"/>
      <c r="U96" s="866"/>
      <c r="V96" s="866"/>
      <c r="W96" s="868"/>
      <c r="X96" s="866"/>
      <c r="Y96" s="873"/>
      <c r="Z96" s="870"/>
      <c r="AA96" s="866"/>
      <c r="AB96" s="866"/>
      <c r="AC96" s="866"/>
      <c r="AD96" s="866"/>
      <c r="AE96" s="866"/>
      <c r="AF96" s="866"/>
      <c r="AG96" s="866"/>
      <c r="AH96" s="866"/>
      <c r="AI96" s="866"/>
    </row>
    <row r="97" spans="2:35">
      <c r="B97" s="868"/>
      <c r="C97" s="866"/>
      <c r="D97" s="874"/>
      <c r="E97" s="874"/>
      <c r="F97" s="874"/>
      <c r="G97" s="874"/>
      <c r="H97" s="873"/>
      <c r="I97" s="874"/>
      <c r="J97" s="873"/>
      <c r="K97" s="873"/>
      <c r="L97" s="873"/>
      <c r="M97" s="873"/>
      <c r="N97" s="873"/>
      <c r="O97" s="873"/>
      <c r="P97" s="873"/>
      <c r="Q97" s="873"/>
      <c r="R97" s="873"/>
      <c r="S97" s="866"/>
      <c r="T97" s="866"/>
      <c r="U97" s="866"/>
      <c r="V97" s="866"/>
      <c r="W97" s="868"/>
      <c r="X97" s="866"/>
      <c r="Y97" s="873"/>
      <c r="Z97" s="870"/>
      <c r="AA97" s="866"/>
      <c r="AB97" s="866"/>
      <c r="AC97" s="866"/>
      <c r="AD97" s="866"/>
      <c r="AE97" s="866"/>
      <c r="AF97" s="866"/>
      <c r="AG97" s="866"/>
      <c r="AH97" s="866"/>
      <c r="AI97" s="866"/>
    </row>
    <row r="98" spans="2:35">
      <c r="B98" s="868"/>
      <c r="C98" s="866"/>
      <c r="D98" s="874"/>
      <c r="E98" s="874"/>
      <c r="F98" s="874"/>
      <c r="G98" s="874"/>
      <c r="H98" s="873"/>
      <c r="I98" s="874"/>
      <c r="J98" s="873"/>
      <c r="K98" s="873"/>
      <c r="L98" s="873"/>
      <c r="M98" s="873"/>
      <c r="N98" s="873"/>
      <c r="O98" s="873"/>
      <c r="P98" s="873"/>
      <c r="Q98" s="873"/>
      <c r="R98" s="873"/>
      <c r="S98" s="866"/>
      <c r="T98" s="866"/>
      <c r="U98" s="866"/>
      <c r="V98" s="866"/>
      <c r="W98" s="868"/>
      <c r="X98" s="866"/>
      <c r="Y98" s="873"/>
      <c r="Z98" s="870"/>
      <c r="AA98" s="866"/>
      <c r="AB98" s="866"/>
      <c r="AC98" s="866"/>
      <c r="AD98" s="866"/>
      <c r="AE98" s="866"/>
      <c r="AF98" s="866"/>
      <c r="AG98" s="866"/>
      <c r="AH98" s="866"/>
      <c r="AI98" s="866"/>
    </row>
    <row r="99" spans="2:35">
      <c r="B99" s="868"/>
      <c r="C99" s="866"/>
      <c r="D99" s="874"/>
      <c r="E99" s="874"/>
      <c r="F99" s="874"/>
      <c r="G99" s="874"/>
      <c r="H99" s="873"/>
      <c r="I99" s="874"/>
      <c r="J99" s="873"/>
      <c r="K99" s="873"/>
      <c r="L99" s="873"/>
      <c r="M99" s="873"/>
      <c r="N99" s="873"/>
      <c r="O99" s="873"/>
      <c r="P99" s="873"/>
      <c r="Q99" s="873"/>
      <c r="R99" s="873"/>
      <c r="S99" s="866"/>
      <c r="T99" s="866"/>
      <c r="U99" s="866"/>
      <c r="V99" s="866"/>
      <c r="W99" s="868"/>
      <c r="X99" s="866"/>
      <c r="Y99" s="873"/>
      <c r="Z99" s="870"/>
      <c r="AA99" s="866"/>
      <c r="AB99" s="866"/>
      <c r="AC99" s="866"/>
      <c r="AD99" s="866"/>
      <c r="AE99" s="866"/>
      <c r="AF99" s="866"/>
      <c r="AG99" s="866"/>
      <c r="AH99" s="866"/>
      <c r="AI99" s="866"/>
    </row>
    <row r="100" spans="2:35">
      <c r="B100" s="868"/>
      <c r="C100" s="866"/>
      <c r="D100" s="874"/>
      <c r="E100" s="874"/>
      <c r="F100" s="874"/>
      <c r="G100" s="874"/>
      <c r="H100" s="873"/>
      <c r="I100" s="874"/>
      <c r="J100" s="873"/>
      <c r="K100" s="873"/>
      <c r="L100" s="873"/>
      <c r="M100" s="873"/>
      <c r="N100" s="873"/>
      <c r="O100" s="873"/>
      <c r="P100" s="873"/>
      <c r="Q100" s="873"/>
      <c r="R100" s="873"/>
      <c r="S100" s="866"/>
      <c r="T100" s="866"/>
      <c r="U100" s="866"/>
      <c r="V100" s="866"/>
      <c r="W100" s="868"/>
      <c r="X100" s="866"/>
      <c r="Y100" s="873"/>
      <c r="Z100" s="870"/>
      <c r="AA100" s="866"/>
      <c r="AB100" s="866"/>
      <c r="AC100" s="866"/>
      <c r="AD100" s="866"/>
      <c r="AE100" s="866"/>
      <c r="AF100" s="866"/>
      <c r="AG100" s="866"/>
      <c r="AH100" s="866"/>
      <c r="AI100" s="866"/>
    </row>
    <row r="101" spans="2:35">
      <c r="B101" s="868"/>
      <c r="C101" s="866"/>
      <c r="D101" s="874"/>
      <c r="E101" s="874"/>
      <c r="F101" s="874"/>
      <c r="G101" s="874"/>
      <c r="H101" s="873"/>
      <c r="I101" s="874"/>
      <c r="J101" s="873"/>
      <c r="K101" s="873"/>
      <c r="L101" s="873"/>
      <c r="M101" s="873"/>
      <c r="N101" s="873"/>
      <c r="O101" s="873"/>
      <c r="P101" s="873"/>
      <c r="Q101" s="873"/>
      <c r="R101" s="873"/>
      <c r="S101" s="866"/>
      <c r="T101" s="866"/>
      <c r="U101" s="866"/>
      <c r="V101" s="866"/>
      <c r="W101" s="868"/>
      <c r="X101" s="866"/>
      <c r="Y101" s="873"/>
      <c r="Z101" s="870"/>
      <c r="AA101" s="866"/>
      <c r="AB101" s="866"/>
      <c r="AC101" s="866"/>
      <c r="AD101" s="866"/>
      <c r="AE101" s="866"/>
      <c r="AF101" s="866"/>
      <c r="AG101" s="866"/>
      <c r="AH101" s="866"/>
      <c r="AI101" s="866"/>
    </row>
    <row r="102" spans="2:35">
      <c r="B102" s="868"/>
      <c r="C102" s="866"/>
      <c r="D102" s="874"/>
      <c r="E102" s="874"/>
      <c r="F102" s="874"/>
      <c r="G102" s="874"/>
      <c r="H102" s="873"/>
      <c r="I102" s="874"/>
      <c r="J102" s="873"/>
      <c r="K102" s="873"/>
      <c r="L102" s="873"/>
      <c r="M102" s="873"/>
      <c r="N102" s="873"/>
      <c r="O102" s="873"/>
      <c r="P102" s="873"/>
      <c r="Q102" s="873"/>
      <c r="R102" s="873"/>
      <c r="S102" s="866"/>
      <c r="T102" s="866"/>
      <c r="U102" s="866"/>
      <c r="V102" s="866"/>
      <c r="W102" s="868"/>
      <c r="X102" s="866"/>
      <c r="Y102" s="873"/>
      <c r="Z102" s="870"/>
      <c r="AA102" s="866"/>
      <c r="AB102" s="866"/>
      <c r="AC102" s="866"/>
      <c r="AD102" s="866"/>
      <c r="AE102" s="866"/>
      <c r="AF102" s="866"/>
      <c r="AG102" s="866"/>
      <c r="AH102" s="866"/>
      <c r="AI102" s="866"/>
    </row>
    <row r="103" spans="2:35">
      <c r="B103" s="868"/>
      <c r="C103" s="866"/>
      <c r="D103" s="874"/>
      <c r="E103" s="874"/>
      <c r="F103" s="874"/>
      <c r="G103" s="874"/>
      <c r="H103" s="873"/>
      <c r="I103" s="874"/>
      <c r="J103" s="873"/>
      <c r="K103" s="873"/>
      <c r="L103" s="873"/>
      <c r="M103" s="873"/>
      <c r="N103" s="873"/>
      <c r="O103" s="873"/>
      <c r="P103" s="873"/>
      <c r="Q103" s="873"/>
      <c r="R103" s="873"/>
      <c r="S103" s="866"/>
      <c r="T103" s="866"/>
      <c r="U103" s="866"/>
      <c r="V103" s="866"/>
      <c r="W103" s="868"/>
      <c r="X103" s="866"/>
      <c r="Y103" s="873"/>
      <c r="Z103" s="870"/>
      <c r="AA103" s="866"/>
      <c r="AB103" s="866"/>
      <c r="AC103" s="866"/>
      <c r="AD103" s="866"/>
      <c r="AE103" s="866"/>
      <c r="AF103" s="866"/>
      <c r="AG103" s="866"/>
      <c r="AH103" s="866"/>
      <c r="AI103" s="866"/>
    </row>
    <row r="104" spans="2:35">
      <c r="B104" s="866"/>
      <c r="C104" s="866"/>
      <c r="D104" s="874"/>
      <c r="E104" s="874"/>
      <c r="F104" s="874"/>
      <c r="G104" s="874"/>
      <c r="H104" s="866"/>
      <c r="I104" s="874"/>
      <c r="J104" s="866"/>
      <c r="K104" s="866"/>
      <c r="L104" s="866"/>
      <c r="M104" s="873"/>
      <c r="N104" s="873"/>
      <c r="O104" s="873"/>
      <c r="P104" s="873"/>
      <c r="Q104" s="873"/>
      <c r="R104" s="873"/>
      <c r="S104" s="866"/>
      <c r="T104" s="866"/>
      <c r="U104" s="866"/>
      <c r="V104" s="866"/>
      <c r="W104" s="866"/>
      <c r="X104" s="866"/>
      <c r="Y104" s="866"/>
      <c r="Z104" s="866"/>
      <c r="AA104" s="866"/>
      <c r="AB104" s="866"/>
      <c r="AC104" s="866"/>
      <c r="AD104" s="866"/>
      <c r="AE104" s="866"/>
      <c r="AF104" s="866"/>
      <c r="AG104" s="866"/>
      <c r="AH104" s="866"/>
      <c r="AI104" s="866"/>
    </row>
    <row r="105" spans="2:35">
      <c r="B105" s="873"/>
      <c r="C105" s="873"/>
      <c r="D105" s="874"/>
      <c r="E105" s="874"/>
      <c r="F105" s="874"/>
      <c r="G105" s="874"/>
      <c r="H105" s="873"/>
      <c r="I105" s="874"/>
      <c r="J105" s="873"/>
      <c r="K105" s="874"/>
      <c r="L105" s="873"/>
      <c r="M105" s="873"/>
      <c r="N105" s="873"/>
      <c r="O105" s="873"/>
      <c r="P105" s="873"/>
      <c r="Q105" s="873"/>
      <c r="R105" s="873"/>
      <c r="S105" s="873"/>
      <c r="T105" s="873"/>
      <c r="U105" s="873"/>
      <c r="V105" s="873"/>
      <c r="W105" s="868"/>
      <c r="X105" s="873"/>
      <c r="Y105" s="873"/>
      <c r="Z105" s="873"/>
      <c r="AA105" s="866"/>
      <c r="AB105" s="866"/>
      <c r="AC105" s="866"/>
      <c r="AD105" s="866"/>
      <c r="AE105" s="866"/>
      <c r="AF105" s="866"/>
      <c r="AG105" s="866"/>
      <c r="AH105" s="866"/>
      <c r="AI105" s="866"/>
    </row>
    <row r="106" spans="2:35">
      <c r="B106" s="873"/>
      <c r="C106" s="873"/>
      <c r="D106" s="873"/>
      <c r="E106" s="873"/>
      <c r="F106" s="873"/>
      <c r="G106" s="873"/>
      <c r="H106" s="873"/>
      <c r="I106" s="873"/>
      <c r="J106" s="873"/>
      <c r="K106" s="873"/>
      <c r="L106" s="873"/>
      <c r="M106" s="873"/>
      <c r="N106" s="873"/>
      <c r="O106" s="873"/>
      <c r="P106" s="873"/>
      <c r="Q106" s="873"/>
      <c r="R106" s="873"/>
      <c r="S106" s="873"/>
      <c r="T106" s="873"/>
      <c r="U106" s="873"/>
      <c r="V106" s="873"/>
      <c r="W106" s="868"/>
      <c r="X106" s="873"/>
      <c r="Y106" s="873"/>
      <c r="Z106" s="873"/>
      <c r="AA106" s="866"/>
      <c r="AB106" s="866"/>
      <c r="AC106" s="866"/>
      <c r="AD106" s="866"/>
      <c r="AE106" s="866"/>
      <c r="AF106" s="866"/>
      <c r="AG106" s="866"/>
      <c r="AH106" s="866"/>
      <c r="AI106" s="866"/>
    </row>
    <row r="107" spans="2:35">
      <c r="B107" s="669"/>
      <c r="C107" s="873"/>
      <c r="D107" s="873"/>
      <c r="E107" s="873"/>
      <c r="F107" s="873"/>
      <c r="G107" s="873"/>
      <c r="H107" s="873"/>
      <c r="I107" s="873"/>
      <c r="J107" s="873"/>
      <c r="K107" s="873"/>
      <c r="L107" s="873"/>
      <c r="M107" s="873"/>
      <c r="N107" s="873"/>
      <c r="O107" s="873"/>
      <c r="P107" s="873"/>
      <c r="Q107" s="873"/>
      <c r="R107" s="873"/>
      <c r="S107" s="873"/>
      <c r="T107" s="873"/>
      <c r="U107" s="873"/>
      <c r="V107" s="873"/>
      <c r="W107" s="873"/>
      <c r="X107" s="873"/>
      <c r="Y107" s="873"/>
      <c r="Z107" s="873"/>
      <c r="AA107" s="866"/>
      <c r="AB107" s="866"/>
      <c r="AC107" s="866"/>
      <c r="AD107" s="866"/>
      <c r="AE107" s="866"/>
      <c r="AF107" s="866"/>
      <c r="AG107" s="866"/>
      <c r="AH107" s="866"/>
      <c r="AI107" s="866"/>
    </row>
    <row r="108" spans="2:35">
      <c r="B108" s="665"/>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row>
    <row r="109" spans="2:35">
      <c r="B109" s="240"/>
      <c r="C109" s="866"/>
      <c r="D109" s="1895"/>
      <c r="E109" s="866"/>
      <c r="F109" s="866"/>
      <c r="G109" s="866"/>
      <c r="H109" s="866"/>
      <c r="I109" s="866"/>
      <c r="J109" s="866"/>
      <c r="K109" s="1895"/>
      <c r="L109" s="866"/>
      <c r="M109" s="670"/>
      <c r="N109" s="670"/>
      <c r="O109" s="670"/>
      <c r="P109" s="670"/>
      <c r="Q109" s="670"/>
      <c r="R109" s="670"/>
      <c r="S109" s="866"/>
      <c r="T109" s="866"/>
      <c r="U109" s="866"/>
      <c r="V109" s="866"/>
      <c r="W109" s="1896"/>
      <c r="X109" s="866"/>
      <c r="Y109" s="670"/>
      <c r="Z109" s="866"/>
      <c r="AA109" s="866"/>
      <c r="AB109" s="866"/>
      <c r="AC109" s="866"/>
      <c r="AD109" s="866"/>
      <c r="AE109" s="866"/>
      <c r="AF109" s="866"/>
      <c r="AG109" s="866"/>
      <c r="AH109" s="866"/>
      <c r="AI109" s="866"/>
    </row>
    <row r="110" spans="2:35">
      <c r="B110" s="240"/>
      <c r="C110" s="866"/>
      <c r="D110" s="1897"/>
      <c r="E110" s="866"/>
      <c r="F110" s="866"/>
      <c r="G110" s="866"/>
      <c r="H110" s="866"/>
      <c r="I110" s="866"/>
      <c r="J110" s="866"/>
      <c r="K110" s="1897"/>
      <c r="L110" s="866"/>
      <c r="M110" s="1898"/>
      <c r="N110" s="1898"/>
      <c r="O110" s="1898"/>
      <c r="P110" s="1898"/>
      <c r="Q110" s="1898"/>
      <c r="R110" s="1898"/>
      <c r="S110" s="866"/>
      <c r="T110" s="866"/>
      <c r="U110" s="866"/>
      <c r="V110" s="866"/>
      <c r="W110" s="1896"/>
      <c r="X110" s="866"/>
      <c r="Y110" s="1898"/>
      <c r="Z110" s="866"/>
      <c r="AA110" s="866"/>
      <c r="AB110" s="866"/>
      <c r="AC110" s="866"/>
      <c r="AD110" s="866"/>
      <c r="AE110" s="866"/>
      <c r="AF110" s="866"/>
      <c r="AG110" s="866"/>
      <c r="AH110" s="866"/>
      <c r="AI110" s="866"/>
    </row>
    <row r="111" spans="2:35">
      <c r="B111" s="240"/>
      <c r="C111" s="866"/>
      <c r="D111" s="1897"/>
      <c r="E111" s="866"/>
      <c r="F111" s="866"/>
      <c r="G111" s="866"/>
      <c r="H111" s="866"/>
      <c r="I111" s="866"/>
      <c r="J111" s="866"/>
      <c r="K111" s="1897"/>
      <c r="L111" s="866"/>
      <c r="M111" s="1898"/>
      <c r="N111" s="1898"/>
      <c r="O111" s="1898"/>
      <c r="P111" s="1898"/>
      <c r="Q111" s="1898"/>
      <c r="R111" s="1898"/>
      <c r="S111" s="866"/>
      <c r="T111" s="866"/>
      <c r="U111" s="866"/>
      <c r="V111" s="866"/>
      <c r="W111" s="1896"/>
      <c r="X111" s="866"/>
      <c r="Y111" s="1898"/>
      <c r="Z111" s="866"/>
      <c r="AA111" s="866"/>
      <c r="AB111" s="866"/>
      <c r="AC111" s="866"/>
      <c r="AD111" s="866"/>
      <c r="AE111" s="866"/>
      <c r="AF111" s="866"/>
      <c r="AG111" s="866"/>
      <c r="AH111" s="866"/>
      <c r="AI111" s="866"/>
    </row>
    <row r="112" spans="2:35">
      <c r="B112" s="240"/>
      <c r="C112" s="866"/>
      <c r="D112" s="1897"/>
      <c r="E112" s="866"/>
      <c r="F112" s="866"/>
      <c r="G112" s="866"/>
      <c r="H112" s="866"/>
      <c r="I112" s="866"/>
      <c r="J112" s="866"/>
      <c r="K112" s="1897"/>
      <c r="L112" s="866"/>
      <c r="M112" s="1898"/>
      <c r="N112" s="1898"/>
      <c r="O112" s="1898"/>
      <c r="P112" s="1898"/>
      <c r="Q112" s="1898"/>
      <c r="R112" s="1898"/>
      <c r="S112" s="866"/>
      <c r="T112" s="866"/>
      <c r="U112" s="866"/>
      <c r="V112" s="866"/>
      <c r="W112" s="1896"/>
      <c r="X112" s="866"/>
      <c r="Y112" s="1898"/>
      <c r="Z112" s="866"/>
      <c r="AA112" s="866"/>
      <c r="AB112" s="866"/>
      <c r="AC112" s="866"/>
      <c r="AD112" s="866"/>
      <c r="AE112" s="866"/>
      <c r="AF112" s="866"/>
      <c r="AG112" s="866"/>
      <c r="AH112" s="866"/>
      <c r="AI112" s="866"/>
    </row>
    <row r="113" spans="2:35">
      <c r="B113" s="240"/>
      <c r="C113" s="866"/>
      <c r="D113" s="1897"/>
      <c r="E113" s="866"/>
      <c r="F113" s="866"/>
      <c r="G113" s="866"/>
      <c r="H113" s="866"/>
      <c r="I113" s="866"/>
      <c r="J113" s="866"/>
      <c r="K113" s="1897"/>
      <c r="L113" s="866"/>
      <c r="M113" s="1898"/>
      <c r="N113" s="1898"/>
      <c r="O113" s="1898"/>
      <c r="P113" s="1898"/>
      <c r="Q113" s="1898"/>
      <c r="R113" s="1898"/>
      <c r="S113" s="866"/>
      <c r="T113" s="866"/>
      <c r="U113" s="866"/>
      <c r="V113" s="866"/>
      <c r="W113" s="1896"/>
      <c r="X113" s="866"/>
      <c r="Y113" s="1898"/>
      <c r="Z113" s="866"/>
      <c r="AA113" s="866"/>
      <c r="AB113" s="866"/>
      <c r="AC113" s="866"/>
      <c r="AD113" s="866"/>
      <c r="AE113" s="866"/>
      <c r="AF113" s="866"/>
      <c r="AG113" s="866"/>
      <c r="AH113" s="866"/>
      <c r="AI113" s="866"/>
    </row>
    <row r="114" spans="2:35">
      <c r="B114" s="868"/>
      <c r="C114" s="866"/>
      <c r="D114" s="240"/>
      <c r="E114" s="866"/>
      <c r="F114" s="866"/>
      <c r="G114" s="866"/>
      <c r="H114" s="866"/>
      <c r="I114" s="866"/>
      <c r="J114" s="866"/>
      <c r="K114" s="240"/>
      <c r="L114" s="866"/>
      <c r="M114" s="866"/>
      <c r="N114" s="866"/>
      <c r="O114" s="866"/>
      <c r="P114" s="866"/>
      <c r="Q114" s="866"/>
      <c r="R114" s="866"/>
      <c r="S114" s="866"/>
      <c r="T114" s="866"/>
      <c r="U114" s="866"/>
      <c r="V114" s="866"/>
      <c r="W114" s="1896"/>
      <c r="X114" s="866"/>
      <c r="Y114" s="866"/>
      <c r="Z114" s="866"/>
      <c r="AA114" s="866"/>
      <c r="AB114" s="866"/>
      <c r="AC114" s="866"/>
      <c r="AD114" s="866"/>
      <c r="AE114" s="866"/>
      <c r="AF114" s="866"/>
      <c r="AG114" s="866"/>
      <c r="AH114" s="866"/>
      <c r="AI114" s="866"/>
    </row>
    <row r="115" spans="2:35">
      <c r="B115" s="868"/>
      <c r="C115" s="866"/>
      <c r="D115" s="1895"/>
      <c r="E115" s="866"/>
      <c r="F115" s="866"/>
      <c r="G115" s="866"/>
      <c r="H115" s="866"/>
      <c r="I115" s="866"/>
      <c r="J115" s="866"/>
      <c r="K115" s="1895"/>
      <c r="L115" s="866"/>
      <c r="M115" s="1895"/>
      <c r="N115" s="1895"/>
      <c r="O115" s="1895"/>
      <c r="P115" s="1895"/>
      <c r="Q115" s="1895"/>
      <c r="R115" s="1895"/>
      <c r="S115" s="866"/>
      <c r="T115" s="866"/>
      <c r="U115" s="866"/>
      <c r="V115" s="866"/>
      <c r="W115" s="1896"/>
      <c r="X115" s="866"/>
      <c r="Y115" s="1895"/>
      <c r="Z115" s="866"/>
      <c r="AA115" s="866"/>
      <c r="AB115" s="866"/>
      <c r="AC115" s="866"/>
      <c r="AD115" s="866"/>
      <c r="AE115" s="866"/>
      <c r="AF115" s="866"/>
      <c r="AG115" s="866"/>
      <c r="AH115" s="866"/>
      <c r="AI115" s="866"/>
    </row>
    <row r="116" spans="2:35">
      <c r="B116" s="866"/>
      <c r="C116" s="866"/>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866"/>
      <c r="AF116" s="866"/>
      <c r="AG116" s="866"/>
      <c r="AH116" s="866"/>
      <c r="AI116" s="866"/>
    </row>
    <row r="117" spans="2:35">
      <c r="B117" s="665"/>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66"/>
      <c r="Z117" s="866"/>
      <c r="AA117" s="866"/>
      <c r="AB117" s="866"/>
      <c r="AC117" s="866"/>
      <c r="AD117" s="866"/>
      <c r="AE117" s="866"/>
      <c r="AF117" s="866"/>
      <c r="AG117" s="866"/>
      <c r="AH117" s="866"/>
      <c r="AI117" s="866"/>
    </row>
    <row r="118" spans="2:35">
      <c r="B118" s="639"/>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6"/>
      <c r="AA118" s="866"/>
      <c r="AB118" s="866"/>
      <c r="AC118" s="866"/>
      <c r="AD118" s="866"/>
      <c r="AE118" s="866"/>
      <c r="AF118" s="866"/>
      <c r="AG118" s="866"/>
      <c r="AH118" s="866"/>
      <c r="AI118" s="866"/>
    </row>
    <row r="119" spans="2:35">
      <c r="B119" s="866"/>
      <c r="C119" s="866"/>
      <c r="D119" s="869"/>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6"/>
      <c r="AA119" s="866"/>
      <c r="AB119" s="866"/>
      <c r="AC119" s="866"/>
      <c r="AD119" s="866"/>
      <c r="AE119" s="866"/>
      <c r="AF119" s="866"/>
      <c r="AG119" s="866"/>
      <c r="AH119" s="866"/>
      <c r="AI119" s="866"/>
    </row>
    <row r="120" spans="2:35">
      <c r="B120" s="866"/>
      <c r="C120" s="866"/>
      <c r="D120" s="872"/>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6"/>
      <c r="AA120" s="866"/>
      <c r="AB120" s="866"/>
      <c r="AC120" s="866"/>
      <c r="AD120" s="866"/>
      <c r="AE120" s="866"/>
      <c r="AF120" s="866"/>
      <c r="AG120" s="866"/>
      <c r="AH120" s="866"/>
      <c r="AI120" s="866"/>
    </row>
    <row r="121" spans="2:35">
      <c r="B121" s="866"/>
      <c r="C121" s="866"/>
      <c r="D121" s="872"/>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6"/>
      <c r="AA121" s="866"/>
      <c r="AB121" s="866"/>
      <c r="AC121" s="866"/>
      <c r="AD121" s="866"/>
      <c r="AE121" s="866"/>
      <c r="AF121" s="866"/>
      <c r="AG121" s="866"/>
      <c r="AH121" s="866"/>
      <c r="AI121" s="866"/>
    </row>
    <row r="122" spans="2:35">
      <c r="B122" s="866"/>
      <c r="C122" s="866"/>
      <c r="D122" s="1899"/>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6"/>
      <c r="AA122" s="866"/>
      <c r="AB122" s="866"/>
      <c r="AC122" s="866"/>
      <c r="AD122" s="866"/>
      <c r="AE122" s="866"/>
      <c r="AF122" s="866"/>
      <c r="AG122" s="866"/>
      <c r="AH122" s="866"/>
      <c r="AI122" s="866"/>
    </row>
    <row r="123" spans="2:35">
      <c r="B123" s="866"/>
      <c r="C123" s="866"/>
      <c r="D123" s="872"/>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6"/>
      <c r="AA123" s="866"/>
      <c r="AB123" s="866"/>
      <c r="AC123" s="866"/>
      <c r="AD123" s="866"/>
      <c r="AE123" s="866"/>
      <c r="AF123" s="866"/>
      <c r="AG123" s="866"/>
      <c r="AH123" s="866"/>
      <c r="AI123" s="866"/>
    </row>
    <row r="124" spans="2:35">
      <c r="B124" s="866"/>
      <c r="C124" s="866"/>
      <c r="D124" s="872"/>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6"/>
      <c r="AA124" s="866"/>
      <c r="AB124" s="866"/>
      <c r="AC124" s="866"/>
      <c r="AD124" s="866"/>
      <c r="AE124" s="866"/>
      <c r="AF124" s="866"/>
      <c r="AG124" s="866"/>
      <c r="AH124" s="866"/>
      <c r="AI124" s="866"/>
    </row>
    <row r="125" spans="2:35">
      <c r="B125" s="871"/>
      <c r="C125" s="866"/>
      <c r="D125" s="869"/>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6"/>
      <c r="AA125" s="866"/>
      <c r="AB125" s="866"/>
      <c r="AC125" s="866"/>
      <c r="AD125" s="866"/>
      <c r="AE125" s="866"/>
      <c r="AF125" s="866"/>
      <c r="AG125" s="866"/>
      <c r="AH125" s="866"/>
      <c r="AI125" s="866"/>
    </row>
    <row r="126" spans="2:35">
      <c r="B126" s="871"/>
      <c r="C126" s="866"/>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6"/>
      <c r="AA126" s="866"/>
      <c r="AB126" s="866"/>
      <c r="AC126" s="866"/>
      <c r="AD126" s="866"/>
      <c r="AE126" s="866"/>
      <c r="AF126" s="866"/>
      <c r="AG126" s="866"/>
      <c r="AH126" s="866"/>
      <c r="AI126" s="866"/>
    </row>
    <row r="127" spans="2:35">
      <c r="B127" s="866"/>
      <c r="C127" s="652"/>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6"/>
      <c r="AA127" s="866"/>
      <c r="AB127" s="866"/>
      <c r="AC127" s="866"/>
      <c r="AD127" s="866"/>
      <c r="AE127" s="866"/>
      <c r="AF127" s="866"/>
      <c r="AG127" s="866"/>
      <c r="AH127" s="866"/>
      <c r="AI127" s="866"/>
    </row>
    <row r="128" spans="2:35">
      <c r="B128" s="671"/>
      <c r="C128" s="866"/>
      <c r="D128" s="870"/>
      <c r="E128" s="866"/>
      <c r="F128" s="866"/>
      <c r="G128" s="870"/>
      <c r="H128" s="866"/>
      <c r="I128" s="870"/>
      <c r="J128" s="866"/>
      <c r="K128" s="870"/>
      <c r="L128" s="866"/>
      <c r="M128" s="866"/>
      <c r="N128" s="866"/>
      <c r="O128" s="866"/>
      <c r="P128" s="866"/>
      <c r="Q128" s="866"/>
      <c r="R128" s="866"/>
      <c r="S128" s="866"/>
      <c r="T128" s="866"/>
      <c r="U128" s="866"/>
      <c r="V128" s="866"/>
      <c r="W128" s="866"/>
      <c r="X128" s="866"/>
      <c r="Y128" s="866"/>
      <c r="Z128" s="866"/>
      <c r="AA128" s="866"/>
      <c r="AB128" s="866"/>
      <c r="AC128" s="866"/>
      <c r="AD128" s="866"/>
      <c r="AE128" s="866"/>
      <c r="AF128" s="866"/>
      <c r="AG128" s="866"/>
      <c r="AH128" s="866"/>
      <c r="AI128" s="866"/>
    </row>
    <row r="129" spans="2:35">
      <c r="B129" s="866"/>
      <c r="C129" s="866"/>
      <c r="D129" s="870"/>
      <c r="E129" s="866"/>
      <c r="F129" s="866"/>
      <c r="G129" s="870"/>
      <c r="H129" s="866"/>
      <c r="I129" s="870"/>
      <c r="J129" s="866"/>
      <c r="K129" s="870"/>
      <c r="L129" s="866"/>
      <c r="M129" s="866"/>
      <c r="N129" s="866"/>
      <c r="O129" s="866"/>
      <c r="P129" s="866"/>
      <c r="Q129" s="866"/>
      <c r="R129" s="866"/>
      <c r="S129" s="866"/>
      <c r="T129" s="866"/>
      <c r="U129" s="866"/>
      <c r="V129" s="866"/>
      <c r="W129" s="866"/>
      <c r="X129" s="866"/>
      <c r="Y129" s="866"/>
      <c r="Z129" s="866"/>
      <c r="AA129" s="866"/>
      <c r="AB129" s="866"/>
      <c r="AC129" s="866"/>
      <c r="AD129" s="866"/>
      <c r="AE129" s="866"/>
      <c r="AF129" s="866"/>
      <c r="AG129" s="866"/>
      <c r="AH129" s="866"/>
      <c r="AI129" s="866"/>
    </row>
    <row r="130" spans="2:35">
      <c r="B130" s="866"/>
      <c r="C130" s="866"/>
      <c r="D130" s="869"/>
      <c r="E130" s="866"/>
      <c r="F130" s="866"/>
      <c r="G130" s="868"/>
      <c r="H130" s="866"/>
      <c r="I130" s="868"/>
      <c r="J130" s="866"/>
      <c r="K130" s="1900"/>
      <c r="L130" s="866"/>
      <c r="M130" s="866"/>
      <c r="N130" s="866"/>
      <c r="O130" s="866"/>
      <c r="P130" s="866"/>
      <c r="Q130" s="866"/>
      <c r="R130" s="866"/>
      <c r="S130" s="866"/>
      <c r="T130" s="866"/>
      <c r="U130" s="866"/>
      <c r="V130" s="866"/>
      <c r="W130" s="866"/>
      <c r="X130" s="866"/>
      <c r="Y130" s="866"/>
      <c r="Z130" s="866"/>
      <c r="AA130" s="866"/>
      <c r="AB130" s="866"/>
      <c r="AC130" s="866"/>
      <c r="AD130" s="866"/>
      <c r="AE130" s="866"/>
      <c r="AF130" s="866"/>
      <c r="AG130" s="866"/>
      <c r="AH130" s="866"/>
      <c r="AI130" s="866"/>
    </row>
    <row r="131" spans="2:35">
      <c r="B131" s="866"/>
      <c r="C131" s="866"/>
      <c r="D131" s="869"/>
      <c r="E131" s="866"/>
      <c r="F131" s="866"/>
      <c r="G131" s="868"/>
      <c r="H131" s="866"/>
      <c r="I131" s="868"/>
      <c r="J131" s="866"/>
      <c r="K131" s="868"/>
      <c r="L131" s="866"/>
      <c r="M131" s="866"/>
      <c r="N131" s="866"/>
      <c r="O131" s="866"/>
      <c r="P131" s="866"/>
      <c r="Q131" s="866"/>
      <c r="R131" s="866"/>
      <c r="S131" s="866"/>
      <c r="T131" s="866"/>
      <c r="U131" s="866"/>
      <c r="V131" s="866"/>
      <c r="W131" s="866"/>
      <c r="X131" s="866"/>
      <c r="Y131" s="866"/>
      <c r="Z131" s="866"/>
      <c r="AA131" s="866"/>
      <c r="AB131" s="866"/>
      <c r="AC131" s="866"/>
      <c r="AD131" s="866"/>
      <c r="AE131" s="866"/>
      <c r="AF131" s="866"/>
      <c r="AG131" s="866"/>
      <c r="AH131" s="866"/>
      <c r="AI131" s="866"/>
    </row>
    <row r="132" spans="2:35">
      <c r="B132" s="866"/>
      <c r="C132" s="866"/>
      <c r="D132" s="869"/>
      <c r="E132" s="866"/>
      <c r="F132" s="866"/>
      <c r="G132" s="868"/>
      <c r="H132" s="866"/>
      <c r="I132" s="868"/>
      <c r="J132" s="866"/>
      <c r="K132" s="868"/>
      <c r="L132" s="866"/>
      <c r="M132" s="866"/>
      <c r="N132" s="866"/>
      <c r="O132" s="866"/>
      <c r="P132" s="866"/>
      <c r="Q132" s="866"/>
      <c r="R132" s="866"/>
      <c r="S132" s="866"/>
      <c r="T132" s="866"/>
      <c r="U132" s="866"/>
      <c r="V132" s="866"/>
      <c r="W132" s="866"/>
      <c r="X132" s="866"/>
      <c r="Y132" s="866"/>
      <c r="Z132" s="866"/>
      <c r="AA132" s="866"/>
      <c r="AB132" s="866"/>
      <c r="AC132" s="866"/>
      <c r="AD132" s="866"/>
      <c r="AE132" s="866"/>
      <c r="AF132" s="866"/>
      <c r="AG132" s="866"/>
      <c r="AH132" s="866"/>
      <c r="AI132" s="866"/>
    </row>
    <row r="133" spans="2:35">
      <c r="B133" s="866"/>
      <c r="C133" s="866"/>
      <c r="D133" s="869"/>
      <c r="E133" s="866"/>
      <c r="F133" s="866"/>
      <c r="G133" s="868"/>
      <c r="H133" s="866"/>
      <c r="I133" s="868"/>
      <c r="J133" s="866"/>
      <c r="K133" s="868"/>
      <c r="L133" s="866"/>
      <c r="M133" s="866"/>
      <c r="N133" s="866"/>
      <c r="O133" s="866"/>
      <c r="P133" s="866"/>
      <c r="Q133" s="866"/>
      <c r="R133" s="866"/>
      <c r="S133" s="866"/>
      <c r="T133" s="866"/>
      <c r="U133" s="866"/>
      <c r="V133" s="866"/>
      <c r="W133" s="866"/>
      <c r="X133" s="866"/>
      <c r="Y133" s="866"/>
      <c r="Z133" s="866"/>
      <c r="AA133" s="866"/>
      <c r="AB133" s="866"/>
      <c r="AC133" s="866"/>
      <c r="AD133" s="866"/>
      <c r="AE133" s="866"/>
      <c r="AF133" s="866"/>
      <c r="AG133" s="866"/>
      <c r="AH133" s="866"/>
      <c r="AI133" s="866"/>
    </row>
    <row r="134" spans="2:35">
      <c r="B134" s="866"/>
      <c r="C134" s="866"/>
      <c r="D134" s="869"/>
      <c r="E134" s="866"/>
      <c r="F134" s="866"/>
      <c r="G134" s="868"/>
      <c r="H134" s="866"/>
      <c r="I134" s="868"/>
      <c r="J134" s="866"/>
      <c r="K134" s="868"/>
      <c r="L134" s="866"/>
      <c r="M134" s="866"/>
      <c r="N134" s="866"/>
      <c r="O134" s="866"/>
      <c r="P134" s="866"/>
      <c r="Q134" s="866"/>
      <c r="R134" s="866"/>
      <c r="S134" s="866"/>
      <c r="T134" s="866"/>
      <c r="U134" s="866"/>
      <c r="V134" s="866"/>
      <c r="W134" s="866"/>
      <c r="X134" s="866"/>
      <c r="Y134" s="866"/>
      <c r="Z134" s="866"/>
      <c r="AA134" s="866"/>
      <c r="AB134" s="866"/>
      <c r="AC134" s="866"/>
      <c r="AD134" s="866"/>
      <c r="AE134" s="866"/>
      <c r="AF134" s="866"/>
      <c r="AG134" s="866"/>
      <c r="AH134" s="866"/>
      <c r="AI134" s="866"/>
    </row>
    <row r="135" spans="2:35">
      <c r="B135" s="866"/>
      <c r="C135" s="866"/>
      <c r="D135" s="869"/>
      <c r="E135" s="866"/>
      <c r="F135" s="866"/>
      <c r="G135" s="868"/>
      <c r="H135" s="866"/>
      <c r="I135" s="868"/>
      <c r="J135" s="866"/>
      <c r="K135" s="868"/>
      <c r="L135" s="866"/>
      <c r="M135" s="866"/>
      <c r="N135" s="866"/>
      <c r="O135" s="866"/>
      <c r="P135" s="866"/>
      <c r="Q135" s="866"/>
      <c r="R135" s="866"/>
      <c r="S135" s="866"/>
      <c r="T135" s="866"/>
      <c r="U135" s="866"/>
      <c r="V135" s="866"/>
      <c r="W135" s="866"/>
      <c r="X135" s="866"/>
      <c r="Y135" s="866"/>
      <c r="Z135" s="866"/>
      <c r="AA135" s="866"/>
      <c r="AB135" s="866"/>
      <c r="AC135" s="866"/>
      <c r="AD135" s="866"/>
      <c r="AE135" s="866"/>
      <c r="AF135" s="866"/>
      <c r="AG135" s="866"/>
      <c r="AH135" s="866"/>
      <c r="AI135" s="866"/>
    </row>
    <row r="136" spans="2:35">
      <c r="B136" s="866"/>
      <c r="C136" s="866"/>
      <c r="D136" s="869"/>
      <c r="E136" s="866"/>
      <c r="F136" s="866"/>
      <c r="G136" s="868"/>
      <c r="H136" s="866"/>
      <c r="I136" s="868"/>
      <c r="J136" s="866"/>
      <c r="K136" s="868"/>
      <c r="L136" s="866"/>
      <c r="M136" s="866"/>
      <c r="N136" s="866"/>
      <c r="O136" s="866"/>
      <c r="P136" s="866"/>
      <c r="Q136" s="866"/>
      <c r="R136" s="866"/>
      <c r="S136" s="866"/>
      <c r="T136" s="866"/>
      <c r="U136" s="866"/>
      <c r="V136" s="866"/>
      <c r="W136" s="866"/>
      <c r="X136" s="866"/>
      <c r="Y136" s="866"/>
      <c r="Z136" s="866"/>
      <c r="AA136" s="866"/>
      <c r="AB136" s="866"/>
      <c r="AC136" s="866"/>
      <c r="AD136" s="866"/>
      <c r="AE136" s="866"/>
      <c r="AF136" s="866"/>
      <c r="AG136" s="866"/>
      <c r="AH136" s="866"/>
      <c r="AI136" s="866"/>
    </row>
    <row r="137" spans="2:35">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row>
    <row r="138" spans="2:35">
      <c r="B138" s="866"/>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row>
    <row r="139" spans="2:35">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row>
    <row r="140" spans="2:35">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row>
    <row r="141" spans="2:35">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row>
    <row r="142" spans="2:35">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row>
    <row r="143" spans="2:35">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row>
    <row r="144" spans="2:35">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row>
    <row r="145" spans="2:35">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row>
    <row r="146" spans="2:35">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row>
    <row r="147" spans="2:35">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row>
    <row r="148" spans="2:35">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row>
    <row r="149" spans="2:35">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row>
  </sheetData>
  <mergeCells count="1">
    <mergeCell ref="AT12:AU12"/>
  </mergeCells>
  <pageMargins left="0.17" right="0.16" top="1" bottom="1" header="0.5" footer="0.5"/>
  <pageSetup scale="27" orientation="landscape" r:id="rId1"/>
  <headerFooter alignWithMargins="0">
    <oddHeader>&amp;REXHIBIT NO. TRC-203
ATTACHMENT H-18A
Page &amp;P of &amp;N</oddHeader>
  </headerFooter>
  <colBreaks count="1" manualBreakCount="1">
    <brk id="27" max="54"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322"/>
  <sheetViews>
    <sheetView view="pageBreakPreview" zoomScale="60" zoomScaleNormal="100" workbookViewId="0">
      <selection activeCell="F16" sqref="F16"/>
    </sheetView>
  </sheetViews>
  <sheetFormatPr defaultColWidth="20.33203125" defaultRowHeight="13.2"/>
  <cols>
    <col min="1" max="1" width="4.109375" style="1095" customWidth="1"/>
    <col min="2" max="16384" width="20.33203125" style="1095"/>
  </cols>
  <sheetData>
    <row r="1" spans="1:12" ht="17.399999999999999">
      <c r="A1" s="2013" t="s">
        <v>445</v>
      </c>
      <c r="B1" s="2013"/>
      <c r="C1" s="2013"/>
      <c r="D1" s="2013"/>
      <c r="E1" s="2013"/>
      <c r="F1" s="2013"/>
      <c r="G1" s="2013"/>
      <c r="H1" s="2013"/>
      <c r="I1" s="2013"/>
      <c r="J1" s="2013"/>
      <c r="K1" s="2013"/>
      <c r="L1" s="1094"/>
    </row>
    <row r="2" spans="1:12">
      <c r="A2" s="227"/>
      <c r="B2"/>
      <c r="C2"/>
      <c r="D2"/>
      <c r="E2" s="866"/>
      <c r="F2" s="866"/>
      <c r="G2" s="866"/>
      <c r="H2" s="866"/>
      <c r="I2" s="866"/>
      <c r="L2" s="1096"/>
    </row>
    <row r="3" spans="1:12">
      <c r="A3" s="2"/>
      <c r="B3" s="2"/>
      <c r="C3" s="2"/>
      <c r="D3" s="2"/>
      <c r="E3" s="866"/>
      <c r="F3" s="866"/>
      <c r="G3" s="866"/>
      <c r="H3" s="866"/>
      <c r="I3" s="866"/>
      <c r="L3" s="1096"/>
    </row>
    <row r="4" spans="1:12" ht="15.6">
      <c r="A4"/>
      <c r="B4"/>
      <c r="C4" s="225"/>
      <c r="D4" s="562" t="s">
        <v>350</v>
      </c>
      <c r="E4"/>
      <c r="F4" s="866"/>
      <c r="G4" s="866"/>
      <c r="H4" s="866"/>
      <c r="I4" s="866"/>
      <c r="L4" s="1096"/>
    </row>
    <row r="5" spans="1:12" ht="12.75" hidden="1" customHeight="1">
      <c r="A5" s="639"/>
      <c r="B5" s="866"/>
      <c r="C5" s="866"/>
      <c r="D5" s="866"/>
      <c r="E5" s="867"/>
      <c r="F5" s="866"/>
      <c r="G5" s="866"/>
      <c r="H5" s="866"/>
      <c r="I5" s="866"/>
      <c r="L5" s="1096"/>
    </row>
    <row r="6" spans="1:12">
      <c r="A6" s="639"/>
      <c r="B6" s="866"/>
      <c r="C6" s="866"/>
      <c r="D6" s="866"/>
      <c r="E6" s="867"/>
      <c r="F6" s="866"/>
      <c r="G6" s="866"/>
      <c r="H6" s="866"/>
      <c r="I6" s="866"/>
      <c r="L6" s="458"/>
    </row>
    <row r="7" spans="1:12" ht="17.399999999999999">
      <c r="A7" s="639"/>
      <c r="B7" s="866"/>
      <c r="C7" s="866"/>
      <c r="D7" s="866"/>
      <c r="E7" s="867"/>
      <c r="F7" s="866"/>
      <c r="G7" s="866"/>
      <c r="H7" s="866"/>
      <c r="I7" s="1395"/>
      <c r="L7" s="458"/>
    </row>
    <row r="8" spans="1:12">
      <c r="A8" s="639"/>
      <c r="B8" s="677" t="s">
        <v>145</v>
      </c>
      <c r="C8" s="866"/>
      <c r="D8" s="866"/>
      <c r="E8" s="867"/>
      <c r="F8" s="866"/>
      <c r="G8" s="866"/>
      <c r="H8" s="866"/>
      <c r="I8" s="866"/>
      <c r="L8" s="1096"/>
    </row>
    <row r="9" spans="1:12">
      <c r="A9" s="639"/>
      <c r="B9" s="677" t="s">
        <v>146</v>
      </c>
      <c r="C9" s="866"/>
      <c r="D9" s="866"/>
      <c r="E9" s="867"/>
      <c r="F9" s="866"/>
      <c r="G9" s="866"/>
      <c r="H9" s="866"/>
      <c r="I9" s="866"/>
      <c r="L9" s="1118"/>
    </row>
    <row r="10" spans="1:12">
      <c r="A10" s="639"/>
      <c r="B10" s="677" t="s">
        <v>147</v>
      </c>
      <c r="C10" s="866"/>
      <c r="D10" s="866"/>
      <c r="E10" s="867"/>
      <c r="F10" s="866"/>
      <c r="G10" s="866"/>
      <c r="H10" s="866"/>
      <c r="I10" s="866"/>
      <c r="J10" s="1096"/>
      <c r="K10" s="1278"/>
      <c r="L10" s="1096"/>
    </row>
    <row r="11" spans="1:12" ht="15.6">
      <c r="A11" s="1337"/>
      <c r="B11" s="1096"/>
      <c r="C11" s="1096"/>
      <c r="D11" s="1096"/>
      <c r="E11" s="1096"/>
      <c r="F11" s="1097"/>
      <c r="G11" s="1097"/>
      <c r="H11" s="1096"/>
      <c r="I11" s="1396"/>
      <c r="J11" s="1096"/>
      <c r="K11" s="1096"/>
      <c r="L11" s="1096"/>
    </row>
    <row r="12" spans="1:12" ht="13.8" thickBot="1">
      <c r="A12" s="1094"/>
      <c r="B12" s="1096"/>
      <c r="C12" s="1096"/>
      <c r="D12" s="1096"/>
      <c r="E12" s="1096"/>
      <c r="F12" s="1096"/>
      <c r="G12" s="1096"/>
      <c r="H12" s="1134"/>
      <c r="I12" s="1096"/>
      <c r="J12" s="1096"/>
      <c r="K12" s="1096"/>
      <c r="L12" s="1096"/>
    </row>
    <row r="13" spans="1:12" ht="13.8">
      <c r="A13" s="1094"/>
      <c r="B13" s="1098"/>
      <c r="C13" s="1099"/>
      <c r="D13" s="1099"/>
      <c r="E13" s="1099"/>
      <c r="F13" s="1100"/>
      <c r="G13" s="1101"/>
      <c r="H13" s="1096"/>
      <c r="J13" s="1096"/>
      <c r="K13" s="1096"/>
      <c r="L13" s="1096"/>
    </row>
    <row r="14" spans="1:12" ht="14.4" thickBot="1">
      <c r="A14" s="1094"/>
      <c r="B14" s="1102" t="s">
        <v>665</v>
      </c>
      <c r="C14" s="1103"/>
      <c r="D14" s="1103"/>
      <c r="E14" s="1103"/>
      <c r="F14" s="1104">
        <v>900000000</v>
      </c>
      <c r="G14" s="1105"/>
      <c r="H14" s="1096"/>
      <c r="J14" s="1096"/>
      <c r="K14" s="1096"/>
      <c r="L14" s="1096"/>
    </row>
    <row r="15" spans="1:12" ht="14.4" thickBot="1">
      <c r="A15" s="1094"/>
      <c r="B15" s="1106"/>
      <c r="C15" s="1107"/>
      <c r="D15" s="1101"/>
      <c r="E15" s="1101"/>
      <c r="F15" s="1105"/>
      <c r="G15" s="1105"/>
      <c r="H15" s="1338"/>
      <c r="J15" s="1096"/>
      <c r="K15" s="1096"/>
      <c r="L15" s="1096"/>
    </row>
    <row r="16" spans="1:12" ht="16.2">
      <c r="A16" s="1094"/>
      <c r="B16" s="1098" t="s">
        <v>370</v>
      </c>
      <c r="C16" s="1099"/>
      <c r="D16" s="1099"/>
      <c r="E16" s="1099"/>
      <c r="F16" s="1397">
        <f>XIRR(K81:K231,B81:B231)</f>
        <v>4.8863479495048517E-2</v>
      </c>
      <c r="G16" s="1398"/>
      <c r="H16" s="1399"/>
      <c r="J16" s="1096"/>
      <c r="K16" s="1096"/>
      <c r="L16" s="1096"/>
    </row>
    <row r="17" spans="1:12" ht="16.2">
      <c r="A17" s="1094"/>
      <c r="B17" s="1108" t="s">
        <v>349</v>
      </c>
      <c r="C17" s="1101"/>
      <c r="D17" s="1101"/>
      <c r="E17" s="1101"/>
      <c r="F17" s="1109"/>
      <c r="G17" s="1400"/>
      <c r="H17" s="1401"/>
      <c r="I17" s="1293"/>
      <c r="J17" s="1096"/>
      <c r="K17" s="1096"/>
      <c r="L17" s="1096"/>
    </row>
    <row r="18" spans="1:12">
      <c r="A18" s="1094"/>
      <c r="B18" s="1111"/>
      <c r="C18" s="1112"/>
      <c r="D18" s="1096"/>
      <c r="E18" s="1096"/>
      <c r="F18" s="1113"/>
      <c r="G18" s="1114"/>
      <c r="H18" s="1401"/>
      <c r="I18" s="1293"/>
      <c r="J18" s="1277"/>
      <c r="K18" s="1110"/>
      <c r="L18" s="1096"/>
    </row>
    <row r="19" spans="1:12">
      <c r="A19" s="1094"/>
      <c r="B19" s="1111"/>
      <c r="C19" s="1112"/>
      <c r="D19" s="1096"/>
      <c r="E19" s="1096"/>
      <c r="F19" s="1113"/>
      <c r="G19" s="1402"/>
      <c r="H19" s="1403"/>
      <c r="J19" s="1277"/>
      <c r="K19" s="1110"/>
      <c r="L19" s="1096"/>
    </row>
    <row r="20" spans="1:12" ht="22.8">
      <c r="A20" s="1094"/>
      <c r="B20" s="1115" t="s">
        <v>346</v>
      </c>
      <c r="C20" s="1116"/>
      <c r="D20" s="1117"/>
      <c r="E20" s="1117"/>
      <c r="F20" s="1113"/>
      <c r="G20" s="1114"/>
      <c r="H20" s="1096"/>
      <c r="J20" s="1277"/>
      <c r="K20" s="1110"/>
      <c r="L20" s="1096"/>
    </row>
    <row r="21" spans="1:12" ht="30" customHeight="1">
      <c r="A21" s="1094"/>
      <c r="B21" s="1111"/>
      <c r="C21" s="1119"/>
      <c r="D21" s="1096"/>
      <c r="E21" s="1096"/>
      <c r="F21" s="1113"/>
      <c r="G21" s="1114"/>
      <c r="H21" s="1096"/>
      <c r="J21" s="1277"/>
      <c r="K21" s="1110"/>
      <c r="L21" s="1096"/>
    </row>
    <row r="22" spans="1:12" ht="13.8" thickBot="1">
      <c r="A22" s="1094"/>
      <c r="B22" s="1120"/>
      <c r="C22" s="1404"/>
      <c r="D22" s="1121"/>
      <c r="E22" s="1121"/>
      <c r="F22" s="1122"/>
      <c r="G22" s="1114"/>
      <c r="H22" s="1096"/>
      <c r="J22" s="1277"/>
      <c r="K22" s="1110"/>
      <c r="L22" s="1096"/>
    </row>
    <row r="23" spans="1:12">
      <c r="A23" s="1094"/>
      <c r="B23" s="1123"/>
      <c r="C23" s="1110"/>
      <c r="D23" s="1096"/>
      <c r="E23" s="1096"/>
      <c r="F23" s="1114"/>
      <c r="G23" s="1114"/>
      <c r="H23" s="1096"/>
      <c r="J23" s="1277"/>
      <c r="K23" s="1110"/>
      <c r="L23" s="1096"/>
    </row>
    <row r="24" spans="1:12" ht="13.8" thickBot="1">
      <c r="A24" s="1094"/>
      <c r="B24" s="1096"/>
      <c r="C24" s="1110"/>
      <c r="D24" s="1096"/>
      <c r="E24" s="1096"/>
      <c r="F24" s="1124"/>
      <c r="G24" s="1124"/>
      <c r="H24" s="1096"/>
      <c r="J24" s="1277"/>
      <c r="K24" s="1110"/>
      <c r="L24" s="1096"/>
    </row>
    <row r="25" spans="1:12">
      <c r="A25" s="1094"/>
      <c r="B25" s="1405"/>
      <c r="C25" s="1406"/>
      <c r="D25" s="1125"/>
      <c r="E25" s="1125"/>
      <c r="F25" s="1126"/>
      <c r="G25" s="1124"/>
      <c r="H25" s="1096"/>
      <c r="J25" s="1277"/>
      <c r="K25" s="1110"/>
      <c r="L25" s="1096"/>
    </row>
    <row r="26" spans="1:12">
      <c r="A26" s="1094"/>
      <c r="B26" s="1111" t="s">
        <v>664</v>
      </c>
      <c r="C26" s="1112"/>
      <c r="D26" s="1096"/>
      <c r="E26" s="1096"/>
      <c r="F26" s="1127"/>
      <c r="G26" s="1124"/>
      <c r="H26" s="1096"/>
      <c r="J26" s="1277"/>
      <c r="K26" s="1110"/>
      <c r="L26" s="1096"/>
    </row>
    <row r="27" spans="1:12">
      <c r="A27" s="1094"/>
      <c r="B27" s="1128" t="s">
        <v>664</v>
      </c>
      <c r="C27" s="1112"/>
      <c r="D27" s="1096"/>
      <c r="E27" s="1096"/>
      <c r="F27" s="1129">
        <v>7780953.8499999996</v>
      </c>
      <c r="G27" s="1130"/>
      <c r="H27" s="1096"/>
      <c r="J27" s="1277"/>
      <c r="K27" s="1110"/>
      <c r="L27" s="1096"/>
    </row>
    <row r="28" spans="1:12">
      <c r="A28" s="1094"/>
      <c r="B28" s="1128" t="s">
        <v>148</v>
      </c>
      <c r="C28" s="1112"/>
      <c r="D28" s="1096"/>
      <c r="E28" s="1096"/>
      <c r="F28" s="1129">
        <v>15125</v>
      </c>
      <c r="G28" s="1130"/>
      <c r="H28" s="1096"/>
      <c r="J28" s="1277"/>
      <c r="K28" s="1110"/>
      <c r="L28" s="1096"/>
    </row>
    <row r="29" spans="1:12">
      <c r="A29" s="1094"/>
      <c r="B29" s="1128"/>
      <c r="C29" s="1112"/>
      <c r="D29" s="1096"/>
      <c r="E29" s="1096"/>
      <c r="F29" s="1129"/>
      <c r="G29" s="1130"/>
      <c r="H29" s="1096"/>
      <c r="L29" s="1096"/>
    </row>
    <row r="30" spans="1:12">
      <c r="A30" s="1094"/>
      <c r="B30" s="1128"/>
      <c r="C30" s="1112"/>
      <c r="D30" s="1096"/>
      <c r="E30" s="1096"/>
      <c r="F30" s="1129"/>
      <c r="G30" s="1130"/>
      <c r="H30" s="1096"/>
      <c r="L30" s="1096"/>
    </row>
    <row r="31" spans="1:12">
      <c r="A31" s="1094"/>
      <c r="B31" s="1128"/>
      <c r="C31" s="1130"/>
      <c r="D31" s="1096"/>
      <c r="E31" s="1096"/>
      <c r="F31" s="1129"/>
      <c r="G31" s="1130"/>
      <c r="H31" s="1096"/>
      <c r="L31" s="1096"/>
    </row>
    <row r="32" spans="1:12" ht="13.8" thickBot="1">
      <c r="A32" s="1094"/>
      <c r="B32" s="1128" t="s">
        <v>375</v>
      </c>
      <c r="C32" s="1130"/>
      <c r="D32" s="1096"/>
      <c r="E32" s="1096"/>
      <c r="F32" s="1131">
        <f>SUM(F27:F31)</f>
        <v>7796078.8499999996</v>
      </c>
      <c r="G32" s="1132"/>
      <c r="H32" s="1096"/>
      <c r="L32" s="1096"/>
    </row>
    <row r="33" spans="1:14" ht="14.4" thickTop="1" thickBot="1">
      <c r="A33" s="1094"/>
      <c r="B33" s="1407"/>
      <c r="C33" s="1408"/>
      <c r="D33" s="1409"/>
      <c r="E33" s="1409"/>
      <c r="F33" s="1410"/>
      <c r="G33" s="1130"/>
      <c r="H33" s="1096"/>
      <c r="I33" s="1096"/>
      <c r="J33" s="1277"/>
      <c r="K33" s="1110"/>
      <c r="L33" s="1096"/>
    </row>
    <row r="34" spans="1:14">
      <c r="A34" s="1094"/>
      <c r="B34" s="1405"/>
      <c r="C34" s="1411"/>
      <c r="D34" s="1125"/>
      <c r="E34" s="1125"/>
      <c r="F34" s="1412"/>
      <c r="G34" s="1130"/>
      <c r="H34" s="1096"/>
      <c r="I34" s="1096"/>
      <c r="J34" s="1096"/>
      <c r="K34" s="1133"/>
      <c r="L34" s="1096"/>
    </row>
    <row r="35" spans="1:14">
      <c r="A35" s="1094"/>
      <c r="B35" s="1111" t="s">
        <v>525</v>
      </c>
      <c r="C35" s="1130"/>
      <c r="D35" s="1096"/>
      <c r="E35" s="1279" t="s">
        <v>351</v>
      </c>
      <c r="F35" s="1280" t="s">
        <v>352</v>
      </c>
      <c r="G35" s="1134"/>
      <c r="H35" s="1096"/>
      <c r="I35" s="1096"/>
      <c r="J35" s="1096"/>
      <c r="K35" s="1133"/>
      <c r="L35" s="1096"/>
    </row>
    <row r="36" spans="1:14">
      <c r="A36" s="1094"/>
      <c r="B36" s="1111" t="s">
        <v>307</v>
      </c>
      <c r="C36" s="1130"/>
      <c r="D36" s="1096"/>
      <c r="E36" s="1281">
        <v>5.0000000000000001E-3</v>
      </c>
      <c r="F36" s="1135">
        <v>5.0000000000000001E-3</v>
      </c>
      <c r="G36" s="1136"/>
      <c r="H36" s="1096"/>
      <c r="I36" s="1096"/>
      <c r="J36" s="1096"/>
      <c r="K36" s="1133"/>
      <c r="L36" s="1096"/>
    </row>
    <row r="37" spans="1:14" ht="13.8" thickBot="1">
      <c r="A37" s="1094"/>
      <c r="B37" s="1120" t="s">
        <v>307</v>
      </c>
      <c r="C37" s="1137"/>
      <c r="D37" s="1121"/>
      <c r="E37" s="1282"/>
      <c r="F37" s="1138">
        <v>3.7000000000000002E-3</v>
      </c>
      <c r="G37" s="1139" t="s">
        <v>854</v>
      </c>
      <c r="H37" s="1140"/>
      <c r="I37" s="1096"/>
      <c r="J37" s="1096"/>
      <c r="K37" s="1110"/>
      <c r="L37" s="1096"/>
    </row>
    <row r="38" spans="1:14">
      <c r="A38" s="1094"/>
      <c r="B38" s="1123"/>
      <c r="C38" s="1097"/>
      <c r="D38" s="1096"/>
      <c r="E38" s="1096"/>
      <c r="F38" s="1096"/>
      <c r="G38" s="1096"/>
      <c r="H38" s="1096"/>
      <c r="I38" s="1096"/>
      <c r="J38" s="1096"/>
      <c r="K38" s="1096"/>
      <c r="L38" s="1096"/>
    </row>
    <row r="39" spans="1:14" ht="13.8" thickBot="1">
      <c r="A39" s="1094"/>
      <c r="B39" s="1123"/>
      <c r="C39" s="1097"/>
      <c r="D39" s="1096"/>
      <c r="E39" s="1096"/>
      <c r="F39" s="1096"/>
      <c r="G39" s="1096"/>
      <c r="H39" s="1096"/>
      <c r="I39" s="1096"/>
      <c r="J39" s="1096"/>
      <c r="K39" s="1096"/>
      <c r="L39" s="1096"/>
    </row>
    <row r="40" spans="1:14" ht="13.8" thickBot="1">
      <c r="B40" s="1413"/>
      <c r="C40" s="1414">
        <v>2008</v>
      </c>
      <c r="D40" s="1415">
        <v>2008</v>
      </c>
      <c r="E40" s="1414">
        <v>2008</v>
      </c>
      <c r="F40" s="1414">
        <v>2008</v>
      </c>
      <c r="G40" s="1415">
        <v>2009</v>
      </c>
      <c r="H40" s="1414">
        <v>2010</v>
      </c>
      <c r="I40" s="1415">
        <v>2011</v>
      </c>
      <c r="J40" s="1414">
        <v>2012</v>
      </c>
      <c r="K40" s="1415">
        <v>2013</v>
      </c>
      <c r="L40" s="1414">
        <v>2014</v>
      </c>
      <c r="M40" s="1414">
        <v>2015</v>
      </c>
      <c r="N40" s="1339"/>
    </row>
    <row r="41" spans="1:14" ht="13.8" thickBot="1">
      <c r="B41" s="1416" t="s">
        <v>308</v>
      </c>
      <c r="C41" s="1141">
        <v>0</v>
      </c>
      <c r="D41" s="1141">
        <v>0</v>
      </c>
      <c r="E41" s="1141">
        <v>0</v>
      </c>
      <c r="F41" s="1141">
        <v>0</v>
      </c>
      <c r="G41" s="1141">
        <v>0</v>
      </c>
      <c r="H41" s="1141">
        <v>0</v>
      </c>
      <c r="I41" s="1141">
        <v>0</v>
      </c>
      <c r="J41" s="1141">
        <v>0</v>
      </c>
      <c r="K41" s="1141">
        <v>0</v>
      </c>
      <c r="L41" s="1141">
        <v>0</v>
      </c>
      <c r="M41" s="1141">
        <v>0</v>
      </c>
      <c r="N41" s="1535"/>
    </row>
    <row r="42" spans="1:14" ht="13.8" thickBot="1">
      <c r="B42" s="1416" t="s">
        <v>309</v>
      </c>
      <c r="C42" s="1142" t="s">
        <v>615</v>
      </c>
      <c r="D42" s="1142" t="s">
        <v>615</v>
      </c>
      <c r="E42" s="1142" t="s">
        <v>615</v>
      </c>
      <c r="F42" s="1142" t="s">
        <v>615</v>
      </c>
      <c r="G42" s="1142" t="s">
        <v>615</v>
      </c>
      <c r="H42" s="1142" t="s">
        <v>615</v>
      </c>
      <c r="I42" s="1142" t="s">
        <v>615</v>
      </c>
      <c r="J42" s="1142" t="s">
        <v>615</v>
      </c>
      <c r="K42" s="1142" t="s">
        <v>615</v>
      </c>
      <c r="L42" s="1142" t="s">
        <v>615</v>
      </c>
      <c r="M42" s="1142" t="s">
        <v>615</v>
      </c>
      <c r="N42" s="1536"/>
    </row>
    <row r="43" spans="1:14">
      <c r="B43" s="1417" t="s">
        <v>700</v>
      </c>
      <c r="C43" s="1418">
        <v>6.1337500000000003E-2</v>
      </c>
      <c r="D43" s="1418">
        <v>3.85625E-2</v>
      </c>
      <c r="E43" s="1418">
        <v>4.0543799999999998E-2</v>
      </c>
      <c r="F43" s="1418">
        <v>4.3400000000000001E-2</v>
      </c>
      <c r="G43" s="1418">
        <v>2.1149999999999999E-2</v>
      </c>
      <c r="H43" s="1418">
        <v>2.1149999999999999E-2</v>
      </c>
      <c r="I43" s="1418">
        <v>2.1149999999999999E-2</v>
      </c>
      <c r="J43" s="1418">
        <v>2.1149999999999999E-2</v>
      </c>
      <c r="K43" s="1418">
        <v>2.1149999999999999E-2</v>
      </c>
      <c r="L43" s="1418">
        <v>2.1149999999999999E-2</v>
      </c>
      <c r="M43" s="1418">
        <v>2.1149999999999999E-2</v>
      </c>
      <c r="N43" s="1283"/>
    </row>
    <row r="44" spans="1:14" ht="26.4">
      <c r="A44" s="1147"/>
      <c r="B44" s="1469" t="s">
        <v>855</v>
      </c>
      <c r="C44" s="1470">
        <v>450000000</v>
      </c>
      <c r="D44" s="1471"/>
      <c r="E44" s="1471"/>
      <c r="F44" s="1471"/>
      <c r="G44" s="1471"/>
      <c r="H44" s="1471">
        <v>0.04</v>
      </c>
      <c r="I44" s="1471">
        <v>0.04</v>
      </c>
      <c r="J44" s="1471">
        <v>0.04</v>
      </c>
      <c r="K44" s="1471">
        <v>0.04</v>
      </c>
      <c r="L44" s="1471">
        <v>0.04</v>
      </c>
      <c r="M44" s="1471">
        <v>0.04</v>
      </c>
      <c r="N44" s="1283"/>
    </row>
    <row r="45" spans="1:14" ht="26.4">
      <c r="A45" s="1147"/>
      <c r="B45" s="1469" t="s">
        <v>353</v>
      </c>
      <c r="C45" s="1470">
        <v>350000000</v>
      </c>
      <c r="D45" s="1471" t="s">
        <v>354</v>
      </c>
      <c r="E45" s="1471" t="s">
        <v>149</v>
      </c>
      <c r="F45" s="1471"/>
      <c r="G45" s="1471"/>
      <c r="H45" s="1472">
        <f>0.03249</f>
        <v>3.2489999999999998E-2</v>
      </c>
      <c r="I45" s="1471">
        <f t="shared" ref="I45:I61" si="0">0.03+0.015</f>
        <v>4.4999999999999998E-2</v>
      </c>
      <c r="J45" s="1471">
        <f t="shared" ref="J45:J71" si="1">0.03+0.0321</f>
        <v>6.2099999999999995E-2</v>
      </c>
      <c r="K45" s="1419"/>
      <c r="L45" s="1419"/>
      <c r="M45" s="1419"/>
      <c r="N45" s="1283"/>
    </row>
    <row r="46" spans="1:14" ht="26.4">
      <c r="A46" s="1147"/>
      <c r="B46" s="1469" t="s">
        <v>353</v>
      </c>
      <c r="C46" s="1470">
        <v>350000000</v>
      </c>
      <c r="D46" s="1473" t="s">
        <v>355</v>
      </c>
      <c r="E46" s="1471" t="s">
        <v>149</v>
      </c>
      <c r="F46" s="1471"/>
      <c r="G46" s="1471"/>
      <c r="H46" s="1472">
        <v>3.2469999999999999E-2</v>
      </c>
      <c r="I46" s="1471">
        <f t="shared" si="0"/>
        <v>4.4999999999999998E-2</v>
      </c>
      <c r="J46" s="1471">
        <f t="shared" si="1"/>
        <v>6.2099999999999995E-2</v>
      </c>
      <c r="K46" s="1283"/>
      <c r="L46" s="1283"/>
      <c r="M46" s="1283"/>
      <c r="N46" s="1283"/>
    </row>
    <row r="47" spans="1:14" ht="26.4">
      <c r="A47" s="1147"/>
      <c r="B47" s="1469" t="s">
        <v>353</v>
      </c>
      <c r="C47" s="1470">
        <v>350000000</v>
      </c>
      <c r="D47" s="1473" t="s">
        <v>356</v>
      </c>
      <c r="E47" s="1471" t="s">
        <v>149</v>
      </c>
      <c r="F47" s="1471"/>
      <c r="G47" s="1471"/>
      <c r="H47" s="1472">
        <v>3.2509999999999997E-2</v>
      </c>
      <c r="I47" s="1471">
        <f t="shared" si="0"/>
        <v>4.4999999999999998E-2</v>
      </c>
      <c r="J47" s="1471">
        <f t="shared" si="1"/>
        <v>6.2099999999999995E-2</v>
      </c>
      <c r="K47" s="1283"/>
      <c r="L47" s="1283"/>
      <c r="M47" s="1283"/>
      <c r="N47" s="1283"/>
    </row>
    <row r="48" spans="1:14" ht="26.4">
      <c r="A48" s="1147"/>
      <c r="B48" s="1469" t="s">
        <v>353</v>
      </c>
      <c r="C48" s="1470">
        <v>350000000</v>
      </c>
      <c r="D48" s="1473" t="s">
        <v>357</v>
      </c>
      <c r="E48" s="1471" t="s">
        <v>150</v>
      </c>
      <c r="F48" s="1471"/>
      <c r="G48" s="1471"/>
      <c r="H48" s="1472">
        <v>3.3160000000000002E-2</v>
      </c>
      <c r="I48" s="1471">
        <f t="shared" si="0"/>
        <v>4.4999999999999998E-2</v>
      </c>
      <c r="J48" s="1471">
        <f t="shared" si="1"/>
        <v>6.2099999999999995E-2</v>
      </c>
      <c r="K48" s="1283"/>
      <c r="L48" s="1283"/>
      <c r="M48" s="1283"/>
      <c r="N48" s="1283"/>
    </row>
    <row r="49" spans="1:14" ht="26.4">
      <c r="A49" s="1147"/>
      <c r="B49" s="1469" t="s">
        <v>353</v>
      </c>
      <c r="C49" s="1470">
        <v>350000000</v>
      </c>
      <c r="D49" s="1473" t="s">
        <v>151</v>
      </c>
      <c r="E49" s="1471" t="s">
        <v>149</v>
      </c>
      <c r="F49" s="1471"/>
      <c r="G49" s="1471"/>
      <c r="H49" s="1472">
        <v>3.3610000000000001E-2</v>
      </c>
      <c r="I49" s="1471">
        <f t="shared" si="0"/>
        <v>4.4999999999999998E-2</v>
      </c>
      <c r="J49" s="1471">
        <f t="shared" si="1"/>
        <v>6.2099999999999995E-2</v>
      </c>
      <c r="K49" s="1283"/>
      <c r="L49" s="1283"/>
      <c r="M49" s="1283"/>
      <c r="N49" s="1283"/>
    </row>
    <row r="50" spans="1:14" ht="26.4">
      <c r="A50" s="1147"/>
      <c r="B50" s="1469" t="s">
        <v>353</v>
      </c>
      <c r="C50" s="1470">
        <v>350000000</v>
      </c>
      <c r="D50" s="1473" t="s">
        <v>152</v>
      </c>
      <c r="E50" s="1471" t="s">
        <v>153</v>
      </c>
      <c r="F50" s="1471"/>
      <c r="G50" s="1471"/>
      <c r="H50" s="1472">
        <v>3.422E-2</v>
      </c>
      <c r="I50" s="1471">
        <f t="shared" si="0"/>
        <v>4.4999999999999998E-2</v>
      </c>
      <c r="J50" s="1471">
        <f t="shared" si="1"/>
        <v>6.2099999999999995E-2</v>
      </c>
      <c r="K50" s="1283"/>
      <c r="L50" s="1283"/>
      <c r="M50" s="1283"/>
      <c r="N50" s="1283"/>
    </row>
    <row r="51" spans="1:14" ht="26.4">
      <c r="A51" s="1147"/>
      <c r="B51" s="1469" t="s">
        <v>353</v>
      </c>
      <c r="C51" s="1470">
        <v>350000000</v>
      </c>
      <c r="D51" s="1473" t="s">
        <v>154</v>
      </c>
      <c r="E51" s="1471" t="s">
        <v>149</v>
      </c>
      <c r="F51" s="1471"/>
      <c r="G51" s="1471"/>
      <c r="H51" s="1472">
        <v>3.4169999999999999E-2</v>
      </c>
      <c r="I51" s="1471">
        <f t="shared" si="0"/>
        <v>4.4999999999999998E-2</v>
      </c>
      <c r="J51" s="1471">
        <f t="shared" si="1"/>
        <v>6.2099999999999995E-2</v>
      </c>
      <c r="K51" s="1283"/>
      <c r="L51" s="1283"/>
      <c r="M51" s="1283"/>
      <c r="N51" s="1283"/>
    </row>
    <row r="52" spans="1:14" ht="26.4">
      <c r="A52" s="1147"/>
      <c r="B52" s="1469" t="s">
        <v>353</v>
      </c>
      <c r="C52" s="1470">
        <v>350000000</v>
      </c>
      <c r="D52" s="1473" t="s">
        <v>155</v>
      </c>
      <c r="E52" s="1471" t="s">
        <v>149</v>
      </c>
      <c r="F52" s="1471"/>
      <c r="G52" s="1471"/>
      <c r="H52" s="1472">
        <v>3.3480000000000003E-2</v>
      </c>
      <c r="I52" s="1471">
        <f t="shared" si="0"/>
        <v>4.4999999999999998E-2</v>
      </c>
      <c r="J52" s="1471">
        <f t="shared" si="1"/>
        <v>6.2099999999999995E-2</v>
      </c>
      <c r="K52" s="1283"/>
      <c r="L52" s="1283"/>
      <c r="M52" s="1283"/>
      <c r="N52" s="1283"/>
    </row>
    <row r="53" spans="1:14" ht="26.4">
      <c r="A53" s="1147"/>
      <c r="B53" s="1469" t="s">
        <v>353</v>
      </c>
      <c r="C53" s="1470">
        <v>350000000</v>
      </c>
      <c r="D53" s="1473" t="s">
        <v>156</v>
      </c>
      <c r="E53" s="1471" t="s">
        <v>157</v>
      </c>
      <c r="F53" s="1471"/>
      <c r="G53" s="1471"/>
      <c r="H53" s="1472">
        <v>3.4979999999999997E-2</v>
      </c>
      <c r="I53" s="1471">
        <f t="shared" si="0"/>
        <v>4.4999999999999998E-2</v>
      </c>
      <c r="J53" s="1471">
        <f t="shared" si="1"/>
        <v>6.2099999999999995E-2</v>
      </c>
      <c r="K53" s="1283"/>
      <c r="L53" s="1283"/>
      <c r="M53" s="1283"/>
      <c r="N53" s="1283"/>
    </row>
    <row r="54" spans="1:14" ht="26.4">
      <c r="A54" s="1147"/>
      <c r="B54" s="1469" t="s">
        <v>353</v>
      </c>
      <c r="C54" s="1470">
        <v>450000000</v>
      </c>
      <c r="D54" s="1350" t="s">
        <v>158</v>
      </c>
      <c r="E54" s="1471" t="s">
        <v>159</v>
      </c>
      <c r="F54" s="1471"/>
      <c r="G54" s="1471"/>
      <c r="H54" s="1472">
        <v>3.4180000000000002E-2</v>
      </c>
      <c r="I54" s="1471">
        <f t="shared" si="0"/>
        <v>4.4999999999999998E-2</v>
      </c>
      <c r="J54" s="1471">
        <f t="shared" si="1"/>
        <v>6.2099999999999995E-2</v>
      </c>
      <c r="K54" s="1283"/>
      <c r="L54" s="1283"/>
      <c r="M54" s="1283"/>
      <c r="N54" s="1283"/>
    </row>
    <row r="55" spans="1:14" ht="26.4">
      <c r="A55" s="1147"/>
      <c r="B55" s="1469" t="s">
        <v>353</v>
      </c>
      <c r="C55" s="1470">
        <v>450000000</v>
      </c>
      <c r="D55" s="1350" t="s">
        <v>160</v>
      </c>
      <c r="E55" s="1471" t="s">
        <v>161</v>
      </c>
      <c r="F55" s="1471"/>
      <c r="G55" s="1471"/>
      <c r="H55" s="1472">
        <v>3.3980000000000003E-2</v>
      </c>
      <c r="I55" s="1471">
        <f t="shared" si="0"/>
        <v>4.4999999999999998E-2</v>
      </c>
      <c r="J55" s="1471">
        <f t="shared" si="1"/>
        <v>6.2099999999999995E-2</v>
      </c>
      <c r="K55" s="1283"/>
      <c r="L55" s="1283"/>
      <c r="M55" s="1283"/>
      <c r="N55" s="1283"/>
    </row>
    <row r="56" spans="1:14" ht="26.4">
      <c r="A56" s="1147"/>
      <c r="B56" s="1469" t="s">
        <v>353</v>
      </c>
      <c r="C56" s="1470">
        <v>450000000</v>
      </c>
      <c r="D56" s="1350" t="s">
        <v>162</v>
      </c>
      <c r="E56" s="1471" t="s">
        <v>149</v>
      </c>
      <c r="F56" s="1471"/>
      <c r="G56" s="1471"/>
      <c r="H56" s="1472">
        <v>3.2750000000000001E-2</v>
      </c>
      <c r="I56" s="1471">
        <f t="shared" si="0"/>
        <v>4.4999999999999998E-2</v>
      </c>
      <c r="J56" s="1471">
        <f t="shared" si="1"/>
        <v>6.2099999999999995E-2</v>
      </c>
      <c r="K56" s="1283"/>
      <c r="L56" s="1283"/>
      <c r="M56" s="1283"/>
      <c r="N56" s="1283"/>
    </row>
    <row r="57" spans="1:14" ht="26.4">
      <c r="A57" s="1147"/>
      <c r="B57" s="1469" t="s">
        <v>353</v>
      </c>
      <c r="C57" s="1470">
        <v>450000000</v>
      </c>
      <c r="D57" s="1350" t="s">
        <v>163</v>
      </c>
      <c r="E57" s="1471" t="s">
        <v>149</v>
      </c>
      <c r="F57" s="1471"/>
      <c r="G57" s="1471"/>
      <c r="H57" s="1472">
        <v>3.2750000000000001E-2</v>
      </c>
      <c r="I57" s="1471">
        <f t="shared" si="0"/>
        <v>4.4999999999999998E-2</v>
      </c>
      <c r="J57" s="1471">
        <f t="shared" si="1"/>
        <v>6.2099999999999995E-2</v>
      </c>
      <c r="K57" s="1283"/>
      <c r="L57" s="1283"/>
      <c r="M57" s="1283"/>
      <c r="N57" s="1283"/>
    </row>
    <row r="58" spans="1:14" ht="26.4">
      <c r="A58" s="1147"/>
      <c r="B58" s="1469" t="s">
        <v>353</v>
      </c>
      <c r="C58" s="1470">
        <v>450000000</v>
      </c>
      <c r="D58" s="1350" t="s">
        <v>164</v>
      </c>
      <c r="E58" s="1471" t="s">
        <v>165</v>
      </c>
      <c r="F58" s="1471"/>
      <c r="G58" s="1471"/>
      <c r="H58" s="1472">
        <v>3.2890000000000003E-2</v>
      </c>
      <c r="I58" s="1471">
        <f t="shared" si="0"/>
        <v>4.4999999999999998E-2</v>
      </c>
      <c r="J58" s="1471">
        <f t="shared" si="1"/>
        <v>6.2099999999999995E-2</v>
      </c>
      <c r="K58" s="1283"/>
      <c r="L58" s="1283"/>
      <c r="M58" s="1283"/>
      <c r="N58" s="1283"/>
    </row>
    <row r="59" spans="1:14" ht="26.4">
      <c r="A59" s="1147"/>
      <c r="B59" s="1469" t="s">
        <v>353</v>
      </c>
      <c r="C59" s="1470">
        <v>450000000</v>
      </c>
      <c r="D59" s="1350" t="s">
        <v>166</v>
      </c>
      <c r="E59" s="1471" t="s">
        <v>149</v>
      </c>
      <c r="F59" s="1471"/>
      <c r="G59" s="1471"/>
      <c r="H59" s="1472">
        <v>3.2480000000000002E-2</v>
      </c>
      <c r="I59" s="1471">
        <f t="shared" si="0"/>
        <v>4.4999999999999998E-2</v>
      </c>
      <c r="J59" s="1471">
        <f t="shared" si="1"/>
        <v>6.2099999999999995E-2</v>
      </c>
      <c r="K59" s="1283"/>
      <c r="L59" s="1283"/>
      <c r="M59" s="1283"/>
      <c r="N59" s="1283"/>
    </row>
    <row r="60" spans="1:14" ht="26.4">
      <c r="A60" s="1147"/>
      <c r="B60" s="1469" t="s">
        <v>353</v>
      </c>
      <c r="C60" s="1470">
        <v>450000000</v>
      </c>
      <c r="D60" s="1350" t="s">
        <v>167</v>
      </c>
      <c r="E60" s="1471" t="s">
        <v>168</v>
      </c>
      <c r="F60" s="1471"/>
      <c r="G60" s="1471"/>
      <c r="H60" s="1472">
        <v>3.286E-2</v>
      </c>
      <c r="I60" s="1471">
        <f t="shared" si="0"/>
        <v>4.4999999999999998E-2</v>
      </c>
      <c r="J60" s="1471">
        <f t="shared" si="1"/>
        <v>6.2099999999999995E-2</v>
      </c>
      <c r="K60" s="1283"/>
      <c r="L60" s="1283"/>
      <c r="M60" s="1283"/>
      <c r="N60" s="1283"/>
    </row>
    <row r="61" spans="1:14" ht="26.4">
      <c r="A61" s="1147"/>
      <c r="B61" s="1469" t="s">
        <v>353</v>
      </c>
      <c r="C61" s="1470">
        <v>450000000</v>
      </c>
      <c r="D61" s="1350" t="s">
        <v>169</v>
      </c>
      <c r="E61" s="1471" t="s">
        <v>170</v>
      </c>
      <c r="F61" s="1471"/>
      <c r="G61" s="1471"/>
      <c r="H61" s="1351">
        <v>3.286E-2</v>
      </c>
      <c r="I61" s="1471">
        <f t="shared" si="0"/>
        <v>4.4999999999999998E-2</v>
      </c>
      <c r="J61" s="1471">
        <f t="shared" si="1"/>
        <v>6.2099999999999995E-2</v>
      </c>
      <c r="K61" s="1283"/>
      <c r="L61" s="1283"/>
      <c r="M61" s="1283"/>
      <c r="N61" s="1283"/>
    </row>
    <row r="62" spans="1:14" ht="26.4">
      <c r="A62" s="1147"/>
      <c r="B62" s="1469" t="s">
        <v>353</v>
      </c>
      <c r="C62" s="1470">
        <v>450000000</v>
      </c>
      <c r="D62" s="1350" t="s">
        <v>171</v>
      </c>
      <c r="E62" s="1471" t="s">
        <v>149</v>
      </c>
      <c r="F62" s="1471"/>
      <c r="G62" s="1471"/>
      <c r="H62" s="1351"/>
      <c r="I62" s="1472">
        <v>3.2829999999999998E-2</v>
      </c>
      <c r="J62" s="1471">
        <f t="shared" si="1"/>
        <v>6.2099999999999995E-2</v>
      </c>
      <c r="K62" s="1283"/>
      <c r="L62" s="1283"/>
      <c r="M62" s="1283"/>
      <c r="N62" s="1283"/>
    </row>
    <row r="63" spans="1:14" ht="26.4">
      <c r="A63" s="1147"/>
      <c r="B63" s="1469" t="s">
        <v>353</v>
      </c>
      <c r="C63" s="1352">
        <v>450000000</v>
      </c>
      <c r="D63" s="1350" t="s">
        <v>172</v>
      </c>
      <c r="E63" s="1353" t="s">
        <v>173</v>
      </c>
      <c r="F63" s="1353"/>
      <c r="G63" s="1474"/>
      <c r="H63" s="1475"/>
      <c r="I63" s="1354">
        <v>3.304E-2</v>
      </c>
      <c r="J63" s="1353">
        <f t="shared" si="1"/>
        <v>6.2099999999999995E-2</v>
      </c>
      <c r="K63" s="1283"/>
      <c r="L63" s="1283"/>
      <c r="M63" s="1283"/>
      <c r="N63" s="1283"/>
    </row>
    <row r="64" spans="1:14" ht="26.4">
      <c r="A64" s="1147"/>
      <c r="B64" s="1469" t="s">
        <v>353</v>
      </c>
      <c r="C64" s="1352">
        <v>450000000</v>
      </c>
      <c r="D64" s="1350" t="s">
        <v>174</v>
      </c>
      <c r="E64" s="1353" t="s">
        <v>175</v>
      </c>
      <c r="F64" s="1353"/>
      <c r="G64" s="1474"/>
      <c r="H64" s="1475"/>
      <c r="I64" s="1351">
        <v>3.3119999999999997E-2</v>
      </c>
      <c r="J64" s="1353">
        <f t="shared" si="1"/>
        <v>6.2099999999999995E-2</v>
      </c>
      <c r="K64" s="1283"/>
      <c r="L64" s="1283"/>
      <c r="M64" s="1283"/>
      <c r="N64" s="1283"/>
    </row>
    <row r="65" spans="1:14" ht="26.4">
      <c r="A65" s="1147"/>
      <c r="B65" s="1469" t="s">
        <v>353</v>
      </c>
      <c r="C65" s="1352">
        <v>450000000</v>
      </c>
      <c r="D65" s="1350" t="s">
        <v>176</v>
      </c>
      <c r="E65" s="1353" t="s">
        <v>177</v>
      </c>
      <c r="F65" s="1353"/>
      <c r="G65" s="1474"/>
      <c r="H65" s="1475"/>
      <c r="I65" s="1351">
        <v>3.3119999999999997E-2</v>
      </c>
      <c r="J65" s="1353">
        <f t="shared" si="1"/>
        <v>6.2099999999999995E-2</v>
      </c>
      <c r="K65" s="1283"/>
      <c r="L65" s="1283"/>
      <c r="M65" s="1283"/>
      <c r="N65" s="1283"/>
    </row>
    <row r="66" spans="1:14" ht="26.4">
      <c r="A66" s="1147"/>
      <c r="B66" s="1469" t="s">
        <v>353</v>
      </c>
      <c r="C66" s="1352">
        <v>450000000</v>
      </c>
      <c r="D66" s="1350" t="s">
        <v>178</v>
      </c>
      <c r="E66" s="1353" t="s">
        <v>149</v>
      </c>
      <c r="F66" s="1353"/>
      <c r="G66" s="1474"/>
      <c r="H66" s="1475"/>
      <c r="I66" s="1351">
        <v>3.2219999999999999E-2</v>
      </c>
      <c r="J66" s="1353">
        <f t="shared" si="1"/>
        <v>6.2099999999999995E-2</v>
      </c>
      <c r="K66" s="1283"/>
      <c r="L66" s="1283"/>
      <c r="M66" s="1283"/>
      <c r="N66" s="1283"/>
    </row>
    <row r="67" spans="1:14">
      <c r="A67" s="1147"/>
      <c r="B67" s="1361" t="s">
        <v>353</v>
      </c>
      <c r="C67" s="1352">
        <v>450000000</v>
      </c>
      <c r="D67" s="1350" t="s">
        <v>179</v>
      </c>
      <c r="E67" s="1353" t="s">
        <v>856</v>
      </c>
      <c r="F67" s="1353"/>
      <c r="G67" s="1353"/>
      <c r="H67" s="1351"/>
      <c r="I67" s="1351">
        <v>3.2129999999999999E-2</v>
      </c>
      <c r="J67" s="1353">
        <f t="shared" si="1"/>
        <v>6.2099999999999995E-2</v>
      </c>
      <c r="K67" s="1283"/>
      <c r="L67" s="1283"/>
      <c r="M67" s="1283"/>
      <c r="N67" s="1283"/>
    </row>
    <row r="68" spans="1:14" ht="26.4">
      <c r="A68" s="1147"/>
      <c r="B68" s="1469" t="s">
        <v>353</v>
      </c>
      <c r="C68" s="1352">
        <v>450000000</v>
      </c>
      <c r="D68" s="1350" t="s">
        <v>180</v>
      </c>
      <c r="E68" s="1353" t="s">
        <v>857</v>
      </c>
      <c r="F68" s="1353"/>
      <c r="G68" s="1353"/>
      <c r="H68" s="1351"/>
      <c r="I68" s="1351">
        <v>3.1739999999999997E-2</v>
      </c>
      <c r="J68" s="1353">
        <f t="shared" si="1"/>
        <v>6.2099999999999995E-2</v>
      </c>
      <c r="K68" s="1283"/>
      <c r="L68" s="1283"/>
      <c r="M68" s="1283"/>
      <c r="N68" s="1283"/>
    </row>
    <row r="69" spans="1:14">
      <c r="A69" s="1147"/>
      <c r="B69" s="1361" t="s">
        <v>353</v>
      </c>
      <c r="C69" s="1352">
        <v>450000000</v>
      </c>
      <c r="D69" s="1350" t="s">
        <v>858</v>
      </c>
      <c r="E69" s="1353" t="s">
        <v>859</v>
      </c>
      <c r="F69" s="1353"/>
      <c r="G69" s="1353"/>
      <c r="H69" s="1351"/>
      <c r="I69" s="1351">
        <v>3.1690000000000003E-2</v>
      </c>
      <c r="J69" s="1353">
        <f t="shared" si="1"/>
        <v>6.2099999999999995E-2</v>
      </c>
      <c r="K69" s="1283"/>
      <c r="L69" s="1283"/>
      <c r="M69" s="1283"/>
      <c r="N69" s="1283"/>
    </row>
    <row r="70" spans="1:14" ht="26.4">
      <c r="A70" s="1147"/>
      <c r="B70" s="1469" t="s">
        <v>353</v>
      </c>
      <c r="C70" s="1352">
        <v>450000000</v>
      </c>
      <c r="D70" s="1350" t="s">
        <v>860</v>
      </c>
      <c r="E70" s="1353" t="s">
        <v>861</v>
      </c>
      <c r="F70" s="1353"/>
      <c r="G70" s="1353"/>
      <c r="H70" s="1351"/>
      <c r="I70" s="1351">
        <v>3.1960000000000002E-2</v>
      </c>
      <c r="J70" s="1353">
        <f t="shared" si="1"/>
        <v>6.2099999999999995E-2</v>
      </c>
      <c r="K70" s="1283"/>
      <c r="L70" s="1283"/>
      <c r="M70" s="1283"/>
      <c r="N70" s="1283"/>
    </row>
    <row r="71" spans="1:14" ht="26.4">
      <c r="A71" s="1147"/>
      <c r="B71" s="1469" t="s">
        <v>353</v>
      </c>
      <c r="C71" s="1352">
        <v>450000000</v>
      </c>
      <c r="D71" s="1350" t="s">
        <v>862</v>
      </c>
      <c r="E71" s="1353" t="s">
        <v>149</v>
      </c>
      <c r="F71" s="1353"/>
      <c r="G71" s="1353"/>
      <c r="H71" s="1351"/>
      <c r="I71" s="1351">
        <v>1.9359999999999999E-2</v>
      </c>
      <c r="J71" s="1353">
        <f t="shared" si="1"/>
        <v>6.2099999999999995E-2</v>
      </c>
      <c r="K71" s="1283"/>
      <c r="L71" s="1283"/>
      <c r="M71" s="1283"/>
      <c r="N71" s="1283"/>
    </row>
    <row r="72" spans="1:14">
      <c r="A72" s="1147"/>
      <c r="B72" s="1476"/>
      <c r="C72" s="1477"/>
      <c r="D72" s="1478"/>
      <c r="E72" s="1340"/>
      <c r="F72" s="1340"/>
      <c r="G72" s="1340"/>
      <c r="H72" s="1355"/>
      <c r="I72" s="1340"/>
      <c r="J72" s="1340"/>
      <c r="K72" s="1283"/>
      <c r="L72" s="1283"/>
      <c r="M72" s="1283"/>
      <c r="N72" s="1283"/>
    </row>
    <row r="73" spans="1:14">
      <c r="A73" s="1147"/>
      <c r="B73" s="1476"/>
      <c r="C73" s="1477"/>
      <c r="D73" s="1478"/>
      <c r="E73" s="1340"/>
      <c r="F73" s="1340"/>
      <c r="G73" s="1340"/>
      <c r="H73" s="1355"/>
      <c r="I73" s="1340"/>
      <c r="J73" s="1340"/>
      <c r="K73" s="1283"/>
      <c r="L73" s="1283"/>
      <c r="M73" s="1283"/>
      <c r="N73" s="1283"/>
    </row>
    <row r="74" spans="1:14">
      <c r="B74" s="1356"/>
      <c r="C74" s="1356"/>
      <c r="D74" s="1356"/>
      <c r="E74" s="1356"/>
      <c r="F74" s="1356"/>
      <c r="G74" s="1356"/>
      <c r="H74" s="1356"/>
      <c r="I74" s="1356"/>
      <c r="J74" s="1356"/>
      <c r="K74" s="1110"/>
      <c r="L74" s="1110"/>
    </row>
    <row r="75" spans="1:14" ht="13.8" thickBot="1">
      <c r="B75" s="1356"/>
      <c r="C75" s="1356"/>
      <c r="D75" s="1356"/>
      <c r="E75" s="1356"/>
      <c r="F75" s="1357" t="s">
        <v>181</v>
      </c>
      <c r="G75" s="1356"/>
      <c r="H75" s="1357" t="s">
        <v>182</v>
      </c>
      <c r="I75" s="1357" t="s">
        <v>183</v>
      </c>
      <c r="J75" s="1357" t="s">
        <v>184</v>
      </c>
      <c r="K75" s="1110"/>
      <c r="L75" s="1110"/>
    </row>
    <row r="76" spans="1:14">
      <c r="B76" s="1479" t="s">
        <v>432</v>
      </c>
      <c r="C76" s="1480" t="s">
        <v>433</v>
      </c>
      <c r="D76" s="1480" t="s">
        <v>543</v>
      </c>
      <c r="E76" s="1480" t="s">
        <v>435</v>
      </c>
      <c r="F76" s="1480" t="s">
        <v>722</v>
      </c>
      <c r="G76" s="1480"/>
      <c r="H76" s="1480" t="s">
        <v>728</v>
      </c>
      <c r="I76" s="1480" t="s">
        <v>544</v>
      </c>
      <c r="J76" s="1480" t="s">
        <v>545</v>
      </c>
      <c r="K76" s="1420" t="s">
        <v>347</v>
      </c>
      <c r="L76" s="1420"/>
      <c r="M76" s="1420"/>
      <c r="N76" s="1116"/>
    </row>
    <row r="77" spans="1:14" ht="39.6">
      <c r="B77" s="1481" t="s">
        <v>292</v>
      </c>
      <c r="C77" s="1482"/>
      <c r="D77" s="1483" t="s">
        <v>310</v>
      </c>
      <c r="E77" s="1483" t="s">
        <v>311</v>
      </c>
      <c r="F77" s="1483" t="s">
        <v>312</v>
      </c>
      <c r="G77" s="1483" t="s">
        <v>185</v>
      </c>
      <c r="H77" s="1483" t="s">
        <v>313</v>
      </c>
      <c r="I77" s="1483" t="s">
        <v>314</v>
      </c>
      <c r="J77" s="1483" t="s">
        <v>315</v>
      </c>
      <c r="K77" s="1421" t="s">
        <v>316</v>
      </c>
      <c r="L77" s="1421" t="s">
        <v>186</v>
      </c>
      <c r="M77" s="1421" t="s">
        <v>187</v>
      </c>
      <c r="N77" s="1143"/>
    </row>
    <row r="78" spans="1:14" ht="13.8" thickBot="1">
      <c r="B78" s="1484"/>
      <c r="C78" s="1485"/>
      <c r="D78" s="1486"/>
      <c r="E78" s="1486"/>
      <c r="F78" s="1486"/>
      <c r="G78" s="1486"/>
      <c r="H78" s="1486"/>
      <c r="I78" s="1486"/>
      <c r="J78" s="1486"/>
      <c r="K78" s="1422" t="s">
        <v>348</v>
      </c>
      <c r="L78" s="1422"/>
      <c r="M78" s="1422"/>
      <c r="N78" s="1143"/>
    </row>
    <row r="79" spans="1:14" ht="13.8" thickBot="1">
      <c r="B79" s="1479"/>
      <c r="C79" s="1480"/>
      <c r="D79" s="1487"/>
      <c r="E79" s="1487"/>
      <c r="F79" s="1487"/>
      <c r="G79" s="1487"/>
      <c r="H79" s="1487"/>
      <c r="I79" s="1487"/>
      <c r="J79" s="1487"/>
      <c r="K79" s="1423"/>
      <c r="L79" s="1423"/>
      <c r="M79" s="1423"/>
      <c r="N79" s="1112"/>
    </row>
    <row r="80" spans="1:14" ht="15">
      <c r="B80" s="1285" t="s">
        <v>317</v>
      </c>
      <c r="C80" s="1286" t="s">
        <v>525</v>
      </c>
      <c r="D80" s="1287" t="s">
        <v>525</v>
      </c>
      <c r="E80" s="1288"/>
      <c r="F80" s="1288"/>
      <c r="G80" s="1288"/>
      <c r="H80" s="1488"/>
      <c r="I80" s="1488"/>
      <c r="J80" s="1488"/>
      <c r="K80" s="1341"/>
      <c r="L80" s="1341"/>
      <c r="M80" s="1342"/>
      <c r="N80" s="1164"/>
    </row>
    <row r="81" spans="2:16" ht="15">
      <c r="B81" s="1289" t="s">
        <v>318</v>
      </c>
      <c r="C81" s="1290" t="s">
        <v>704</v>
      </c>
      <c r="D81" s="1291">
        <v>68183000</v>
      </c>
      <c r="E81" s="1292">
        <v>10000000</v>
      </c>
      <c r="F81" s="1292">
        <v>10000000</v>
      </c>
      <c r="G81" s="1294">
        <v>10000000</v>
      </c>
      <c r="H81" s="1489"/>
      <c r="I81" s="1362">
        <v>734955.02</v>
      </c>
      <c r="J81" s="1490"/>
      <c r="K81" s="1343">
        <f>E81-H81-I81-J81</f>
        <v>9265044.9800000004</v>
      </c>
      <c r="L81" s="1343">
        <v>0</v>
      </c>
      <c r="M81" s="1344">
        <f t="shared" ref="M81:M144" si="2">+L81-H81</f>
        <v>0</v>
      </c>
      <c r="N81" s="1146"/>
      <c r="O81" s="1293"/>
    </row>
    <row r="82" spans="2:16" ht="15">
      <c r="B82" s="1289" t="s">
        <v>358</v>
      </c>
      <c r="C82" s="1290" t="s">
        <v>701</v>
      </c>
      <c r="D82" s="1291"/>
      <c r="E82" s="1292"/>
      <c r="F82" s="1294">
        <f>SUM($E$81:E82)</f>
        <v>10000000</v>
      </c>
      <c r="G82" s="1294">
        <f>G81-I81-J81+M81</f>
        <v>9265044.9800000004</v>
      </c>
      <c r="H82" s="1489"/>
      <c r="I82" s="1362">
        <v>31013</v>
      </c>
      <c r="J82" s="1490"/>
      <c r="K82" s="1343">
        <f t="shared" ref="K82:K145" si="3">E82-H82-I82-J82</f>
        <v>-31013</v>
      </c>
      <c r="L82" s="1343">
        <f>G82*(POWER(1+$F$16,(B82-B81)/365)-1)</f>
        <v>46131.858890269752</v>
      </c>
      <c r="M82" s="1344">
        <f t="shared" si="2"/>
        <v>46131.858890269752</v>
      </c>
      <c r="N82" s="1146"/>
      <c r="O82" s="1293"/>
    </row>
    <row r="83" spans="2:16" ht="15">
      <c r="B83" s="1289" t="s">
        <v>359</v>
      </c>
      <c r="C83" s="1290" t="s">
        <v>701</v>
      </c>
      <c r="D83" s="1291"/>
      <c r="E83" s="1292"/>
      <c r="F83" s="1294">
        <f>SUM($E$81:E83)</f>
        <v>10000000</v>
      </c>
      <c r="G83" s="1294">
        <f t="shared" ref="G83:G156" si="4">G82+E82-I82-J82+M82</f>
        <v>9280163.8388902694</v>
      </c>
      <c r="H83" s="1489"/>
      <c r="I83" s="1362">
        <v>69578.45</v>
      </c>
      <c r="J83" s="1490"/>
      <c r="K83" s="1343">
        <f t="shared" si="3"/>
        <v>-69578.45</v>
      </c>
      <c r="L83" s="1343">
        <f t="shared" ref="L83:L146" si="5">G83*(POWER(1+$F$16,(B83-B82)/365)-1)</f>
        <v>4853.1087910929164</v>
      </c>
      <c r="M83" s="1344">
        <f t="shared" si="2"/>
        <v>4853.1087910929164</v>
      </c>
      <c r="N83" s="1146"/>
      <c r="O83" s="1293"/>
    </row>
    <row r="84" spans="2:16" ht="15">
      <c r="B84" s="1289" t="s">
        <v>360</v>
      </c>
      <c r="C84" s="1290" t="s">
        <v>701</v>
      </c>
      <c r="D84" s="1291"/>
      <c r="E84" s="1292"/>
      <c r="F84" s="1294">
        <f>SUM($E$81:E84)</f>
        <v>10000000</v>
      </c>
      <c r="G84" s="1294">
        <f t="shared" si="4"/>
        <v>9215438.4976813626</v>
      </c>
      <c r="H84" s="1489"/>
      <c r="I84" s="1362">
        <v>137.5</v>
      </c>
      <c r="J84" s="1490"/>
      <c r="K84" s="1343">
        <f t="shared" si="3"/>
        <v>-137.5</v>
      </c>
      <c r="L84" s="1343">
        <f t="shared" si="5"/>
        <v>2409.3152229258708</v>
      </c>
      <c r="M84" s="1344">
        <f t="shared" si="2"/>
        <v>2409.3152229258708</v>
      </c>
      <c r="N84" s="1146"/>
      <c r="O84" s="1293"/>
    </row>
    <row r="85" spans="2:16" ht="15">
      <c r="B85" s="1289" t="s">
        <v>361</v>
      </c>
      <c r="C85" s="1290" t="s">
        <v>701</v>
      </c>
      <c r="D85" s="1291"/>
      <c r="E85" s="1292"/>
      <c r="F85" s="1294">
        <f>SUM($E$81:E85)</f>
        <v>10000000</v>
      </c>
      <c r="G85" s="1294">
        <f t="shared" si="4"/>
        <v>9217710.312904289</v>
      </c>
      <c r="H85" s="1489"/>
      <c r="I85" s="1362">
        <v>2960</v>
      </c>
      <c r="J85" s="1490"/>
      <c r="K85" s="1343">
        <f t="shared" si="3"/>
        <v>-2960</v>
      </c>
      <c r="L85" s="1343">
        <f t="shared" si="5"/>
        <v>27752.026566786328</v>
      </c>
      <c r="M85" s="1344">
        <f t="shared" si="2"/>
        <v>27752.026566786328</v>
      </c>
      <c r="N85" s="1146"/>
      <c r="O85" s="1293"/>
    </row>
    <row r="86" spans="2:16" ht="15">
      <c r="B86" s="1289" t="s">
        <v>362</v>
      </c>
      <c r="C86" s="1290" t="s">
        <v>701</v>
      </c>
      <c r="D86" s="1291"/>
      <c r="E86" s="1292"/>
      <c r="F86" s="1294">
        <f>SUM($E$81:E86)</f>
        <v>10000000</v>
      </c>
      <c r="G86" s="1294">
        <f t="shared" si="4"/>
        <v>9242502.3394710757</v>
      </c>
      <c r="H86" s="1489"/>
      <c r="I86" s="1362">
        <v>125384.16</v>
      </c>
      <c r="J86" s="1490"/>
      <c r="K86" s="1343">
        <f t="shared" si="3"/>
        <v>-125384.16</v>
      </c>
      <c r="L86" s="1343">
        <f t="shared" si="5"/>
        <v>6042.1617934344094</v>
      </c>
      <c r="M86" s="1344">
        <f t="shared" si="2"/>
        <v>6042.1617934344094</v>
      </c>
      <c r="N86" s="1146"/>
      <c r="O86" s="1293"/>
    </row>
    <row r="87" spans="2:16" ht="15">
      <c r="B87" s="1289" t="s">
        <v>319</v>
      </c>
      <c r="C87" s="1290" t="s">
        <v>701</v>
      </c>
      <c r="D87" s="1291">
        <v>25543000</v>
      </c>
      <c r="E87" s="1295"/>
      <c r="F87" s="1294">
        <f>SUM($E$81:E87)</f>
        <v>10000000</v>
      </c>
      <c r="G87" s="1294">
        <f t="shared" si="4"/>
        <v>9123160.3412645105</v>
      </c>
      <c r="H87" s="1362">
        <v>155047.57</v>
      </c>
      <c r="I87" s="1362"/>
      <c r="J87" s="1489"/>
      <c r="K87" s="1343">
        <f t="shared" si="3"/>
        <v>-155047.57</v>
      </c>
      <c r="L87" s="1343">
        <f t="shared" si="5"/>
        <v>22684.496249943331</v>
      </c>
      <c r="M87" s="1344">
        <f t="shared" si="2"/>
        <v>-132363.07375005668</v>
      </c>
      <c r="N87" s="1146"/>
      <c r="O87" s="1293"/>
    </row>
    <row r="88" spans="2:16" ht="15">
      <c r="B88" s="1289" t="s">
        <v>363</v>
      </c>
      <c r="C88" s="1290" t="s">
        <v>701</v>
      </c>
      <c r="D88" s="1291"/>
      <c r="E88" s="1295"/>
      <c r="F88" s="1294">
        <f>SUM($E$81:E88)</f>
        <v>10000000</v>
      </c>
      <c r="G88" s="1294">
        <f t="shared" si="4"/>
        <v>8990797.2675144542</v>
      </c>
      <c r="H88" s="1362"/>
      <c r="I88" s="1362">
        <v>17011</v>
      </c>
      <c r="J88" s="1489"/>
      <c r="K88" s="1343">
        <f t="shared" si="3"/>
        <v>-17011</v>
      </c>
      <c r="L88" s="1343">
        <f t="shared" si="5"/>
        <v>8229.7339099825931</v>
      </c>
      <c r="M88" s="1344">
        <f t="shared" si="2"/>
        <v>8229.7339099825931</v>
      </c>
      <c r="N88" s="1146"/>
      <c r="O88" s="1293"/>
    </row>
    <row r="89" spans="2:16" ht="15">
      <c r="B89" s="1289" t="s">
        <v>364</v>
      </c>
      <c r="C89" s="1290" t="s">
        <v>702</v>
      </c>
      <c r="D89" s="1291"/>
      <c r="E89" s="1295"/>
      <c r="F89" s="1294">
        <f>SUM($E$81:E89)</f>
        <v>10000000</v>
      </c>
      <c r="G89" s="1294">
        <f t="shared" si="4"/>
        <v>8982016.0014244374</v>
      </c>
      <c r="H89" s="1362"/>
      <c r="I89" s="1362">
        <f>184863.58+12405.98</f>
        <v>197269.56</v>
      </c>
      <c r="J89" s="1489"/>
      <c r="K89" s="1343">
        <f t="shared" si="3"/>
        <v>-197269.56</v>
      </c>
      <c r="L89" s="1343">
        <f t="shared" si="5"/>
        <v>35288.864166445543</v>
      </c>
      <c r="M89" s="1344">
        <f t="shared" si="2"/>
        <v>35288.864166445543</v>
      </c>
      <c r="N89" s="1146"/>
      <c r="O89" s="1293"/>
    </row>
    <row r="90" spans="2:16" ht="15">
      <c r="B90" s="1289" t="s">
        <v>365</v>
      </c>
      <c r="C90" s="1290" t="s">
        <v>702</v>
      </c>
      <c r="D90" s="1291"/>
      <c r="E90" s="1295"/>
      <c r="F90" s="1294">
        <f>SUM($E$81:E90)</f>
        <v>10000000</v>
      </c>
      <c r="G90" s="1294">
        <f t="shared" si="4"/>
        <v>8820035.3055908829</v>
      </c>
      <c r="H90" s="1362"/>
      <c r="I90" s="1362">
        <v>109824.88</v>
      </c>
      <c r="J90" s="1489"/>
      <c r="K90" s="1343">
        <f t="shared" si="3"/>
        <v>-109824.88</v>
      </c>
      <c r="L90" s="1343">
        <f t="shared" si="5"/>
        <v>21930.783887364239</v>
      </c>
      <c r="M90" s="1344">
        <f t="shared" si="2"/>
        <v>21930.783887364239</v>
      </c>
      <c r="N90" s="1146"/>
      <c r="O90" s="1293"/>
    </row>
    <row r="91" spans="2:16" ht="15">
      <c r="B91" s="1289" t="s">
        <v>320</v>
      </c>
      <c r="C91" s="1290" t="s">
        <v>702</v>
      </c>
      <c r="D91" s="1291">
        <v>20509000</v>
      </c>
      <c r="E91" s="1295"/>
      <c r="F91" s="1294">
        <f>SUM($E$81:E91)</f>
        <v>10000000</v>
      </c>
      <c r="G91" s="1294">
        <f t="shared" si="4"/>
        <v>8732141.209478246</v>
      </c>
      <c r="H91" s="1362">
        <v>97477.43</v>
      </c>
      <c r="I91" s="1362"/>
      <c r="J91" s="1489"/>
      <c r="K91" s="1343">
        <f t="shared" si="3"/>
        <v>-97477.43</v>
      </c>
      <c r="L91" s="1343">
        <f t="shared" si="5"/>
        <v>40038.095084734094</v>
      </c>
      <c r="M91" s="1344">
        <f t="shared" si="2"/>
        <v>-57439.334915265899</v>
      </c>
      <c r="N91" s="1146"/>
      <c r="O91" s="1293"/>
    </row>
    <row r="92" spans="2:16" ht="15">
      <c r="B92" s="1289" t="s">
        <v>366</v>
      </c>
      <c r="C92" s="1290" t="s">
        <v>702</v>
      </c>
      <c r="D92" s="1291"/>
      <c r="E92" s="1295"/>
      <c r="F92" s="1294">
        <f>SUM($E$81:E92)</f>
        <v>10000000</v>
      </c>
      <c r="G92" s="1294">
        <f t="shared" si="4"/>
        <v>8674701.8745629806</v>
      </c>
      <c r="H92" s="1362"/>
      <c r="I92" s="1362">
        <v>43098.82</v>
      </c>
      <c r="J92" s="1489"/>
      <c r="K92" s="1343">
        <f t="shared" si="3"/>
        <v>-43098.82</v>
      </c>
      <c r="L92" s="1343">
        <f t="shared" si="5"/>
        <v>3402.1371756762965</v>
      </c>
      <c r="M92" s="1344">
        <f t="shared" si="2"/>
        <v>3402.1371756762965</v>
      </c>
      <c r="N92" s="1146"/>
      <c r="O92" s="1293"/>
    </row>
    <row r="93" spans="2:16" ht="15">
      <c r="B93" s="1289" t="s">
        <v>367</v>
      </c>
      <c r="C93" s="1290" t="s">
        <v>702</v>
      </c>
      <c r="D93" s="1291"/>
      <c r="E93" s="1295"/>
      <c r="F93" s="1294">
        <f>SUM($E$81:E93)</f>
        <v>10000000</v>
      </c>
      <c r="G93" s="1294">
        <f t="shared" si="4"/>
        <v>8635005.1917386558</v>
      </c>
      <c r="H93" s="1362"/>
      <c r="I93" s="1362">
        <v>13267.5</v>
      </c>
      <c r="J93" s="1489"/>
      <c r="K93" s="1343">
        <f t="shared" si="3"/>
        <v>-13267.5</v>
      </c>
      <c r="L93" s="1343">
        <f t="shared" si="5"/>
        <v>4515.7198013619418</v>
      </c>
      <c r="M93" s="1344">
        <f t="shared" si="2"/>
        <v>4515.7198013619418</v>
      </c>
      <c r="N93" s="1146"/>
      <c r="O93" s="1293"/>
    </row>
    <row r="94" spans="2:16" ht="15">
      <c r="B94" s="1289" t="s">
        <v>368</v>
      </c>
      <c r="C94" s="1290" t="s">
        <v>703</v>
      </c>
      <c r="D94" s="1291"/>
      <c r="E94" s="1295"/>
      <c r="F94" s="1294">
        <f>SUM($E$81:E94)</f>
        <v>10000000</v>
      </c>
      <c r="G94" s="1294">
        <f t="shared" si="4"/>
        <v>8626253.4115400184</v>
      </c>
      <c r="H94" s="1362"/>
      <c r="I94" s="1362">
        <f>1577.79</f>
        <v>1577.79</v>
      </c>
      <c r="J94" s="1489"/>
      <c r="K94" s="1343">
        <f t="shared" si="3"/>
        <v>-1577.79</v>
      </c>
      <c r="L94" s="1343">
        <f t="shared" si="5"/>
        <v>44084.411882982509</v>
      </c>
      <c r="M94" s="1344">
        <f t="shared" si="2"/>
        <v>44084.411882982509</v>
      </c>
      <c r="N94" s="1146"/>
      <c r="O94" s="1293"/>
    </row>
    <row r="95" spans="2:16" ht="15">
      <c r="B95" s="1289" t="s">
        <v>369</v>
      </c>
      <c r="C95" s="1290" t="s">
        <v>703</v>
      </c>
      <c r="D95" s="1291"/>
      <c r="E95" s="1295"/>
      <c r="F95" s="1294">
        <f>SUM($E$81:E95)</f>
        <v>10000000</v>
      </c>
      <c r="G95" s="1294">
        <f t="shared" si="4"/>
        <v>8668760.0334230009</v>
      </c>
      <c r="H95" s="1362"/>
      <c r="I95" s="1362">
        <f>3834+58942.98</f>
        <v>62776.98</v>
      </c>
      <c r="J95" s="1489"/>
      <c r="K95" s="1343">
        <f t="shared" si="3"/>
        <v>-62776.98</v>
      </c>
      <c r="L95" s="1343">
        <f t="shared" si="5"/>
        <v>5667.0854652331209</v>
      </c>
      <c r="M95" s="1344">
        <f t="shared" si="2"/>
        <v>5667.0854652331209</v>
      </c>
      <c r="N95" s="1146"/>
      <c r="O95" s="1293"/>
    </row>
    <row r="96" spans="2:16" ht="15">
      <c r="B96" s="1296">
        <v>39675</v>
      </c>
      <c r="C96" s="1290" t="s">
        <v>703</v>
      </c>
      <c r="D96" s="1291"/>
      <c r="E96" s="1291">
        <v>55000000</v>
      </c>
      <c r="F96" s="1294">
        <f>SUM($E$81:E96)</f>
        <v>65000000</v>
      </c>
      <c r="G96" s="1294">
        <f t="shared" si="4"/>
        <v>8611650.1388882343</v>
      </c>
      <c r="H96" s="1358">
        <v>59689.48</v>
      </c>
      <c r="I96" s="1491">
        <f>F27</f>
        <v>7780953.8499999996</v>
      </c>
      <c r="J96" s="1492"/>
      <c r="K96" s="1343">
        <f t="shared" si="3"/>
        <v>47159356.670000002</v>
      </c>
      <c r="L96" s="1343">
        <f t="shared" si="5"/>
        <v>2251.4587644804346</v>
      </c>
      <c r="M96" s="1344">
        <f t="shared" si="2"/>
        <v>-57438.021235519569</v>
      </c>
      <c r="N96" s="1146"/>
      <c r="O96" s="1293"/>
      <c r="P96" s="1144"/>
    </row>
    <row r="97" spans="1:18" ht="15">
      <c r="B97" s="1296">
        <v>39680</v>
      </c>
      <c r="C97" s="1290" t="s">
        <v>703</v>
      </c>
      <c r="D97" s="1291"/>
      <c r="E97" s="1291"/>
      <c r="F97" s="1294">
        <f>SUM($E$81:E97)</f>
        <v>65000000</v>
      </c>
      <c r="G97" s="1294">
        <f t="shared" si="4"/>
        <v>55773258.267652713</v>
      </c>
      <c r="H97" s="1358"/>
      <c r="I97" s="1491">
        <v>530</v>
      </c>
      <c r="J97" s="1492"/>
      <c r="K97" s="1343">
        <f t="shared" si="3"/>
        <v>-530</v>
      </c>
      <c r="L97" s="1343">
        <f t="shared" si="5"/>
        <v>36461.018653033534</v>
      </c>
      <c r="M97" s="1344">
        <f t="shared" si="2"/>
        <v>36461.018653033534</v>
      </c>
      <c r="N97" s="1146"/>
      <c r="O97" s="1293"/>
      <c r="P97" s="1144"/>
      <c r="Q97" s="1144"/>
    </row>
    <row r="98" spans="1:18" ht="15">
      <c r="B98" s="1296">
        <v>39685</v>
      </c>
      <c r="C98" s="1290" t="s">
        <v>703</v>
      </c>
      <c r="D98" s="1291"/>
      <c r="E98" s="1291"/>
      <c r="F98" s="1294">
        <f>SUM($E$81:E98)</f>
        <v>65000000</v>
      </c>
      <c r="G98" s="1294">
        <f t="shared" si="4"/>
        <v>55809189.286305748</v>
      </c>
      <c r="H98" s="1358"/>
      <c r="I98" s="1491">
        <f>F28</f>
        <v>15125</v>
      </c>
      <c r="J98" s="1492"/>
      <c r="K98" s="1343">
        <f t="shared" si="3"/>
        <v>-15125</v>
      </c>
      <c r="L98" s="1343">
        <f t="shared" si="5"/>
        <v>36484.508073985846</v>
      </c>
      <c r="M98" s="1344">
        <f t="shared" si="2"/>
        <v>36484.508073985846</v>
      </c>
      <c r="N98" s="1146"/>
      <c r="O98" s="1293"/>
      <c r="P98" s="1144"/>
      <c r="Q98" s="1144"/>
    </row>
    <row r="99" spans="1:18" ht="15">
      <c r="B99" s="1296">
        <v>39694</v>
      </c>
      <c r="C99" s="1290" t="s">
        <v>703</v>
      </c>
      <c r="D99" s="1291"/>
      <c r="E99" s="1291"/>
      <c r="F99" s="1294">
        <f>SUM($E$81:E99)</f>
        <v>65000000</v>
      </c>
      <c r="G99" s="1294">
        <f t="shared" si="4"/>
        <v>55830548.794379734</v>
      </c>
      <c r="H99" s="1358"/>
      <c r="I99" s="1491">
        <v>82654.66</v>
      </c>
      <c r="J99" s="1492"/>
      <c r="K99" s="1343">
        <f t="shared" si="3"/>
        <v>-82654.66</v>
      </c>
      <c r="L99" s="1343">
        <f t="shared" si="5"/>
        <v>65714.427547145257</v>
      </c>
      <c r="M99" s="1344">
        <f t="shared" si="2"/>
        <v>65714.427547145257</v>
      </c>
      <c r="N99" s="1146"/>
      <c r="O99" s="1293"/>
      <c r="P99" s="1144"/>
      <c r="Q99" s="1144"/>
    </row>
    <row r="100" spans="1:18" ht="15">
      <c r="B100" s="1296">
        <v>39699</v>
      </c>
      <c r="C100" s="1290" t="s">
        <v>703</v>
      </c>
      <c r="D100" s="1291"/>
      <c r="E100" s="1291"/>
      <c r="F100" s="1294">
        <f>SUM($E$81:E100)</f>
        <v>65000000</v>
      </c>
      <c r="G100" s="1294">
        <f t="shared" si="4"/>
        <v>55813608.561926879</v>
      </c>
      <c r="H100" s="1358"/>
      <c r="I100" s="1491">
        <v>1957.5</v>
      </c>
      <c r="J100" s="1492"/>
      <c r="K100" s="1343">
        <f t="shared" si="3"/>
        <v>-1957.5</v>
      </c>
      <c r="L100" s="1343">
        <f t="shared" si="5"/>
        <v>36487.397116079854</v>
      </c>
      <c r="M100" s="1344">
        <f t="shared" si="2"/>
        <v>36487.397116079854</v>
      </c>
      <c r="N100" s="1146"/>
      <c r="O100" s="1293"/>
      <c r="P100" s="1144"/>
    </row>
    <row r="101" spans="1:18" ht="15">
      <c r="B101" s="1296">
        <v>39702</v>
      </c>
      <c r="C101" s="1290" t="s">
        <v>703</v>
      </c>
      <c r="D101" s="1291"/>
      <c r="E101" s="1291"/>
      <c r="F101" s="1294">
        <f>SUM($E$81:E101)</f>
        <v>65000000</v>
      </c>
      <c r="G101" s="1294">
        <f t="shared" si="4"/>
        <v>55848138.459042959</v>
      </c>
      <c r="H101" s="1358"/>
      <c r="I101" s="1491">
        <f>11962+29883.84</f>
        <v>41845.839999999997</v>
      </c>
      <c r="J101" s="1492"/>
      <c r="K101" s="1343">
        <f t="shared" si="3"/>
        <v>-41845.839999999997</v>
      </c>
      <c r="L101" s="1343">
        <f t="shared" si="5"/>
        <v>21903.119068676842</v>
      </c>
      <c r="M101" s="1344">
        <f t="shared" si="2"/>
        <v>21903.119068676842</v>
      </c>
      <c r="N101" s="1146"/>
      <c r="O101" s="1293"/>
      <c r="P101" s="1144"/>
    </row>
    <row r="102" spans="1:18" ht="15">
      <c r="B102" s="1296">
        <v>39706</v>
      </c>
      <c r="C102" s="1290" t="s">
        <v>703</v>
      </c>
      <c r="D102" s="1291"/>
      <c r="E102" s="1291">
        <v>-20000000</v>
      </c>
      <c r="F102" s="1294">
        <f>SUM($E$81:E102)</f>
        <v>45000000</v>
      </c>
      <c r="G102" s="1294">
        <f t="shared" si="4"/>
        <v>55828195.73811163</v>
      </c>
      <c r="H102" s="1358">
        <f>243199.31</f>
        <v>243199.31</v>
      </c>
      <c r="I102" s="1491"/>
      <c r="J102" s="1492"/>
      <c r="K102" s="1343">
        <f t="shared" si="3"/>
        <v>-20243199.309999999</v>
      </c>
      <c r="L102" s="1343">
        <f t="shared" si="5"/>
        <v>29195.638377854862</v>
      </c>
      <c r="M102" s="1344">
        <f t="shared" si="2"/>
        <v>-214003.67162214514</v>
      </c>
      <c r="N102" s="1146"/>
      <c r="O102" s="1293"/>
      <c r="P102" s="1144"/>
    </row>
    <row r="103" spans="1:18" ht="15">
      <c r="B103" s="1296">
        <v>39716</v>
      </c>
      <c r="C103" s="1290" t="s">
        <v>703</v>
      </c>
      <c r="D103" s="1291"/>
      <c r="E103" s="1291"/>
      <c r="F103" s="1294">
        <f>SUM($E$81:E103)</f>
        <v>45000000</v>
      </c>
      <c r="G103" s="1294">
        <f t="shared" si="4"/>
        <v>35614192.066489488</v>
      </c>
      <c r="H103" s="1358"/>
      <c r="I103" s="1491">
        <v>7525.25</v>
      </c>
      <c r="J103" s="1492"/>
      <c r="K103" s="1343">
        <f t="shared" si="3"/>
        <v>-7525.25</v>
      </c>
      <c r="L103" s="1343">
        <f t="shared" si="5"/>
        <v>46579.820142463424</v>
      </c>
      <c r="M103" s="1344">
        <f t="shared" si="2"/>
        <v>46579.820142463424</v>
      </c>
      <c r="N103" s="1146"/>
      <c r="O103" s="1293"/>
      <c r="P103" s="1144"/>
    </row>
    <row r="104" spans="1:18" ht="15">
      <c r="B104" s="1296">
        <v>39720</v>
      </c>
      <c r="C104" s="1290" t="s">
        <v>703</v>
      </c>
      <c r="D104" s="1291"/>
      <c r="E104" s="1291"/>
      <c r="F104" s="1294">
        <f>SUM($E$81:E104)</f>
        <v>45000000</v>
      </c>
      <c r="G104" s="1294">
        <f t="shared" si="4"/>
        <v>35653246.636631951</v>
      </c>
      <c r="H104" s="1358"/>
      <c r="I104" s="1491">
        <f>1368.3+2398.49+94291.29</f>
        <v>98058.079999999987</v>
      </c>
      <c r="J104" s="1492"/>
      <c r="K104" s="1343">
        <f t="shared" si="3"/>
        <v>-98058.079999999987</v>
      </c>
      <c r="L104" s="1343">
        <f t="shared" si="5"/>
        <v>18645.046325381842</v>
      </c>
      <c r="M104" s="1344">
        <f t="shared" si="2"/>
        <v>18645.046325381842</v>
      </c>
      <c r="N104" s="1146"/>
      <c r="O104" s="1293"/>
      <c r="P104" s="1144"/>
    </row>
    <row r="105" spans="1:18" ht="15">
      <c r="B105" s="1296">
        <v>39721</v>
      </c>
      <c r="C105" s="1290" t="s">
        <v>703</v>
      </c>
      <c r="D105" s="1291">
        <v>24995000</v>
      </c>
      <c r="E105" s="1291"/>
      <c r="F105" s="1294">
        <f>SUM($E$81:E105)</f>
        <v>45000000</v>
      </c>
      <c r="G105" s="1294">
        <f t="shared" si="4"/>
        <v>35573833.602957331</v>
      </c>
      <c r="H105" s="1358"/>
      <c r="I105" s="1491">
        <f>3199.15+12807.75+2130</f>
        <v>18136.900000000001</v>
      </c>
      <c r="J105" s="1492">
        <v>235520.83</v>
      </c>
      <c r="K105" s="1343">
        <f t="shared" si="3"/>
        <v>-253657.72999999998</v>
      </c>
      <c r="L105" s="1343">
        <f t="shared" si="5"/>
        <v>4649.9674218705741</v>
      </c>
      <c r="M105" s="1344">
        <f t="shared" si="2"/>
        <v>4649.9674218705741</v>
      </c>
      <c r="N105" s="1146"/>
      <c r="O105" s="1293"/>
      <c r="P105" s="1144"/>
      <c r="Q105" s="1144"/>
      <c r="R105" s="1144"/>
    </row>
    <row r="106" spans="1:18" ht="15">
      <c r="B106" s="1296">
        <v>39723</v>
      </c>
      <c r="C106" s="1290" t="s">
        <v>704</v>
      </c>
      <c r="D106" s="1291"/>
      <c r="E106" s="1291">
        <v>20000000</v>
      </c>
      <c r="F106" s="1294">
        <f>SUM($E$81:E106)</f>
        <v>65000000</v>
      </c>
      <c r="G106" s="1294">
        <f t="shared" si="4"/>
        <v>35324825.840379201</v>
      </c>
      <c r="H106" s="1358"/>
      <c r="I106" s="1491"/>
      <c r="J106" s="1492">
        <f>77465.29+1041.67</f>
        <v>78506.959999999992</v>
      </c>
      <c r="K106" s="1343">
        <f t="shared" si="3"/>
        <v>19921493.039999999</v>
      </c>
      <c r="L106" s="1343">
        <f t="shared" si="5"/>
        <v>9235.441228959904</v>
      </c>
      <c r="M106" s="1344">
        <f t="shared" si="2"/>
        <v>9235.441228959904</v>
      </c>
      <c r="N106" s="1146"/>
      <c r="O106" s="1293"/>
      <c r="P106" s="1144"/>
      <c r="Q106" s="1144"/>
      <c r="R106" s="1144"/>
    </row>
    <row r="107" spans="1:18" ht="15">
      <c r="B107" s="1296">
        <v>39738</v>
      </c>
      <c r="C107" s="1290" t="s">
        <v>704</v>
      </c>
      <c r="D107" s="1291"/>
      <c r="E107" s="1291"/>
      <c r="F107" s="1294">
        <f>SUM($E$81:E107)</f>
        <v>65000000</v>
      </c>
      <c r="G107" s="1294">
        <f t="shared" si="4"/>
        <v>55255554.321608163</v>
      </c>
      <c r="H107" s="1358"/>
      <c r="I107" s="1491">
        <v>2030.03</v>
      </c>
      <c r="J107" s="1493"/>
      <c r="K107" s="1343">
        <f t="shared" si="3"/>
        <v>-2030.03</v>
      </c>
      <c r="L107" s="1343">
        <f t="shared" si="5"/>
        <v>108438.58933658976</v>
      </c>
      <c r="M107" s="1344">
        <f t="shared" si="2"/>
        <v>108438.58933658976</v>
      </c>
      <c r="N107" s="1146"/>
      <c r="O107" s="1293"/>
      <c r="P107" s="1144"/>
      <c r="Q107" s="1144"/>
      <c r="R107" s="1144"/>
    </row>
    <row r="108" spans="1:18" ht="15">
      <c r="B108" s="1296">
        <v>39750</v>
      </c>
      <c r="C108" s="1290" t="s">
        <v>704</v>
      </c>
      <c r="D108" s="1291"/>
      <c r="E108" s="1291"/>
      <c r="F108" s="1294">
        <f>SUM($E$81:E108)</f>
        <v>65000000</v>
      </c>
      <c r="G108" s="1294">
        <f t="shared" si="4"/>
        <v>55361962.880944751</v>
      </c>
      <c r="H108" s="1358"/>
      <c r="I108" s="1491">
        <v>266.89999999999998</v>
      </c>
      <c r="J108" s="1493"/>
      <c r="K108" s="1343">
        <f t="shared" si="3"/>
        <v>-266.89999999999998</v>
      </c>
      <c r="L108" s="1343">
        <f t="shared" si="5"/>
        <v>86900.888035797179</v>
      </c>
      <c r="M108" s="1344">
        <f t="shared" si="2"/>
        <v>86900.888035797179</v>
      </c>
      <c r="N108" s="1146"/>
      <c r="O108" s="1293"/>
      <c r="P108" s="1144"/>
    </row>
    <row r="109" spans="1:18" ht="15">
      <c r="B109" s="1296">
        <v>39771</v>
      </c>
      <c r="C109" s="1290" t="s">
        <v>704</v>
      </c>
      <c r="D109" s="1291"/>
      <c r="E109" s="1291"/>
      <c r="F109" s="1294">
        <f>SUM($E$81:E109)</f>
        <v>65000000</v>
      </c>
      <c r="G109" s="1294">
        <f t="shared" si="4"/>
        <v>55448596.868980549</v>
      </c>
      <c r="H109" s="1358"/>
      <c r="I109" s="1491">
        <v>96048.71</v>
      </c>
      <c r="J109" s="1493"/>
      <c r="K109" s="1343">
        <f t="shared" si="3"/>
        <v>-96048.71</v>
      </c>
      <c r="L109" s="1343">
        <f t="shared" si="5"/>
        <v>152404.17882596393</v>
      </c>
      <c r="M109" s="1344">
        <f t="shared" si="2"/>
        <v>152404.17882596393</v>
      </c>
      <c r="N109" s="1146"/>
      <c r="O109" s="1293"/>
      <c r="P109" s="1144"/>
    </row>
    <row r="110" spans="1:18" ht="15">
      <c r="B110" s="1296">
        <v>39773</v>
      </c>
      <c r="C110" s="1290" t="s">
        <v>704</v>
      </c>
      <c r="D110" s="1291"/>
      <c r="E110" s="1291"/>
      <c r="F110" s="1294">
        <f>SUM($E$81:E110)</f>
        <v>65000000</v>
      </c>
      <c r="G110" s="1294">
        <f t="shared" si="4"/>
        <v>55504952.337806515</v>
      </c>
      <c r="H110" s="1358"/>
      <c r="I110" s="1491">
        <v>730</v>
      </c>
      <c r="J110" s="1493"/>
      <c r="K110" s="1343">
        <f t="shared" si="3"/>
        <v>-730</v>
      </c>
      <c r="L110" s="1343">
        <f t="shared" si="5"/>
        <v>14511.401345567963</v>
      </c>
      <c r="M110" s="1344">
        <f t="shared" si="2"/>
        <v>14511.401345567963</v>
      </c>
      <c r="N110" s="1146"/>
      <c r="O110" s="1293"/>
      <c r="P110" s="1144"/>
    </row>
    <row r="111" spans="1:18" ht="15">
      <c r="B111" s="1296">
        <v>39797</v>
      </c>
      <c r="C111" s="1290" t="s">
        <v>704</v>
      </c>
      <c r="D111" s="1291"/>
      <c r="E111" s="1291">
        <v>25000000</v>
      </c>
      <c r="F111" s="1294">
        <f>SUM($E$81:E111)</f>
        <v>90000000</v>
      </c>
      <c r="G111" s="1294">
        <f t="shared" si="4"/>
        <v>55518733.739152081</v>
      </c>
      <c r="H111" s="1358">
        <f>496518.75+222480.56</f>
        <v>718999.31</v>
      </c>
      <c r="I111" s="1494"/>
      <c r="J111" s="1492"/>
      <c r="K111" s="1343">
        <f t="shared" si="3"/>
        <v>24281000.690000001</v>
      </c>
      <c r="L111" s="1343">
        <f t="shared" si="5"/>
        <v>174430.73141888416</v>
      </c>
      <c r="M111" s="1344">
        <f t="shared" si="2"/>
        <v>-544568.57858111593</v>
      </c>
      <c r="N111" s="1146"/>
      <c r="O111" s="1293"/>
      <c r="P111" s="1144"/>
      <c r="Q111" s="1293"/>
      <c r="R111" s="1144"/>
    </row>
    <row r="112" spans="1:18" ht="15">
      <c r="A112" s="1359" t="s">
        <v>79</v>
      </c>
      <c r="B112" s="1296">
        <v>39819</v>
      </c>
      <c r="C112" s="1290" t="s">
        <v>701</v>
      </c>
      <c r="D112" s="1291">
        <v>42068000</v>
      </c>
      <c r="E112" s="1291">
        <v>0</v>
      </c>
      <c r="F112" s="1294">
        <f>SUM($E$81:E112)</f>
        <v>90000000</v>
      </c>
      <c r="G112" s="1294">
        <f t="shared" si="4"/>
        <v>79974165.160570964</v>
      </c>
      <c r="H112" s="1358">
        <v>0</v>
      </c>
      <c r="I112" s="1358"/>
      <c r="J112" s="1358">
        <f>614166.86+4166.67</f>
        <v>618333.53</v>
      </c>
      <c r="K112" s="1343">
        <f t="shared" si="3"/>
        <v>-618333.53</v>
      </c>
      <c r="L112" s="1343">
        <f t="shared" si="5"/>
        <v>230296.75111072449</v>
      </c>
      <c r="M112" s="1344">
        <f t="shared" si="2"/>
        <v>230296.75111072449</v>
      </c>
      <c r="N112" s="1146"/>
      <c r="O112" s="1293"/>
      <c r="P112" s="1144"/>
      <c r="R112" s="1144"/>
    </row>
    <row r="113" spans="1:47" ht="15">
      <c r="A113" s="1145"/>
      <c r="B113" s="1296">
        <v>39861</v>
      </c>
      <c r="C113" s="1290" t="s">
        <v>701</v>
      </c>
      <c r="D113" s="1291"/>
      <c r="E113" s="1291">
        <v>30000000</v>
      </c>
      <c r="F113" s="1294">
        <f>SUM($E$81:E113)</f>
        <v>120000000</v>
      </c>
      <c r="G113" s="1294">
        <f t="shared" si="4"/>
        <v>79586128.381681681</v>
      </c>
      <c r="H113" s="1358">
        <v>0</v>
      </c>
      <c r="I113" s="1358"/>
      <c r="J113" s="1492">
        <v>0</v>
      </c>
      <c r="K113" s="1343">
        <f t="shared" si="3"/>
        <v>30000000</v>
      </c>
      <c r="L113" s="1343">
        <f t="shared" si="5"/>
        <v>438096.84165724221</v>
      </c>
      <c r="M113" s="1344">
        <f t="shared" si="2"/>
        <v>438096.84165724221</v>
      </c>
      <c r="N113" s="1146"/>
      <c r="O113" s="1293"/>
      <c r="P113" s="1144"/>
      <c r="Q113" s="1424"/>
      <c r="R113" s="1144"/>
    </row>
    <row r="114" spans="1:47" ht="15">
      <c r="B114" s="1296">
        <v>39888</v>
      </c>
      <c r="C114" s="1290" t="s">
        <v>701</v>
      </c>
      <c r="D114" s="1291">
        <v>75475000</v>
      </c>
      <c r="E114" s="1291">
        <v>40000000</v>
      </c>
      <c r="F114" s="1294">
        <f>SUM($E$81:E114)</f>
        <v>160000000</v>
      </c>
      <c r="G114" s="1294">
        <f>G113+E113-I113-J113+M113</f>
        <v>110024225.22333892</v>
      </c>
      <c r="H114" s="1358">
        <f>738084.72+195902.78</f>
        <v>933987.5</v>
      </c>
      <c r="I114" s="1358"/>
      <c r="J114" s="1362"/>
      <c r="K114" s="1343">
        <f t="shared" si="3"/>
        <v>39066012.5</v>
      </c>
      <c r="L114" s="1343">
        <f>G114*(POWER(1+$F$16,(B114-B113)/365)-1)</f>
        <v>388964.06905181671</v>
      </c>
      <c r="M114" s="1344">
        <f t="shared" si="2"/>
        <v>-545023.43094818329</v>
      </c>
      <c r="N114" s="1146"/>
      <c r="O114" s="1027"/>
      <c r="P114" s="1144"/>
    </row>
    <row r="115" spans="1:47" ht="15">
      <c r="B115" s="1296">
        <v>39897</v>
      </c>
      <c r="C115" s="1290" t="s">
        <v>701</v>
      </c>
      <c r="D115" s="1291"/>
      <c r="E115" s="1291">
        <v>0</v>
      </c>
      <c r="F115" s="1294">
        <f>SUM($E$81:E115)</f>
        <v>160000000</v>
      </c>
      <c r="G115" s="1294">
        <f t="shared" si="4"/>
        <v>149479201.7923907</v>
      </c>
      <c r="H115" s="1358"/>
      <c r="I115" s="1358"/>
      <c r="J115" s="1362">
        <v>1100000</v>
      </c>
      <c r="K115" s="1343">
        <f t="shared" si="3"/>
        <v>-1100000</v>
      </c>
      <c r="L115" s="1343">
        <f t="shared" si="5"/>
        <v>175942.03152414659</v>
      </c>
      <c r="M115" s="1344">
        <f t="shared" si="2"/>
        <v>175942.03152414659</v>
      </c>
      <c r="N115" s="1146"/>
      <c r="O115" s="1027"/>
      <c r="P115" s="1144"/>
    </row>
    <row r="116" spans="1:47" ht="15">
      <c r="B116" s="1296">
        <v>39911</v>
      </c>
      <c r="C116" s="1290" t="s">
        <v>702</v>
      </c>
      <c r="D116" s="1291"/>
      <c r="E116" s="1291">
        <v>0</v>
      </c>
      <c r="F116" s="1294">
        <f>SUM($E$81:E116)</f>
        <v>160000000</v>
      </c>
      <c r="G116" s="1294">
        <f t="shared" si="4"/>
        <v>148555143.82391486</v>
      </c>
      <c r="H116" s="1358"/>
      <c r="I116" s="1358"/>
      <c r="J116" s="1492">
        <v>549166.67000000004</v>
      </c>
      <c r="K116" s="1343">
        <f t="shared" si="3"/>
        <v>-549166.67000000004</v>
      </c>
      <c r="L116" s="1343">
        <f t="shared" si="5"/>
        <v>272084.62345711631</v>
      </c>
      <c r="M116" s="1344">
        <f t="shared" si="2"/>
        <v>272084.62345711631</v>
      </c>
      <c r="N116" s="1146"/>
      <c r="O116" s="1027"/>
      <c r="P116" s="1144"/>
    </row>
    <row r="117" spans="1:47" ht="15">
      <c r="B117" s="1296">
        <v>39948</v>
      </c>
      <c r="C117" s="1290" t="s">
        <v>702</v>
      </c>
      <c r="D117" s="1291"/>
      <c r="E117" s="1291">
        <v>50000000</v>
      </c>
      <c r="F117" s="1294">
        <f>SUM($E$81:E117)</f>
        <v>210000000</v>
      </c>
      <c r="G117" s="1294">
        <f t="shared" si="4"/>
        <v>148278061.77737197</v>
      </c>
      <c r="H117" s="1358"/>
      <c r="I117" s="1358"/>
      <c r="J117" s="1358"/>
      <c r="K117" s="1343">
        <f t="shared" si="3"/>
        <v>50000000</v>
      </c>
      <c r="L117" s="1343">
        <f t="shared" si="5"/>
        <v>718819.82343323762</v>
      </c>
      <c r="M117" s="1344">
        <f t="shared" si="2"/>
        <v>718819.82343323762</v>
      </c>
      <c r="N117" s="1146"/>
      <c r="O117" s="1027"/>
      <c r="P117" s="1144"/>
      <c r="Q117" s="1293"/>
    </row>
    <row r="118" spans="1:47" ht="15">
      <c r="B118" s="1296">
        <f>DATE(YEAR(B114),MONTH(B114)+3,DAY(B114))</f>
        <v>39980</v>
      </c>
      <c r="C118" s="1290" t="s">
        <v>702</v>
      </c>
      <c r="D118" s="1291"/>
      <c r="E118" s="1291">
        <v>40000000</v>
      </c>
      <c r="F118" s="1294">
        <f>SUM($E$81:E118)</f>
        <v>250000000</v>
      </c>
      <c r="G118" s="1294">
        <f t="shared" si="4"/>
        <v>198996881.60080522</v>
      </c>
      <c r="H118" s="1358">
        <f>326600+816500+98639.11+163300</f>
        <v>1405039.11</v>
      </c>
      <c r="I118" s="1358"/>
      <c r="J118" s="1492"/>
      <c r="K118" s="1343">
        <f t="shared" si="3"/>
        <v>38594960.890000001</v>
      </c>
      <c r="L118" s="1343">
        <f t="shared" si="5"/>
        <v>834056.8483739075</v>
      </c>
      <c r="M118" s="1344">
        <f t="shared" si="2"/>
        <v>-570982.2616260926</v>
      </c>
      <c r="N118" s="1146"/>
      <c r="O118" s="1027"/>
    </row>
    <row r="119" spans="1:47" ht="15">
      <c r="B119" s="1296">
        <v>39994</v>
      </c>
      <c r="C119" s="1290" t="s">
        <v>702</v>
      </c>
      <c r="D119" s="1291"/>
      <c r="E119" s="1291">
        <v>0</v>
      </c>
      <c r="F119" s="1294">
        <f>SUM($E$81:E119)</f>
        <v>250000000</v>
      </c>
      <c r="G119" s="1294">
        <f t="shared" si="4"/>
        <v>238425899.33917913</v>
      </c>
      <c r="H119" s="1358"/>
      <c r="I119" s="1358"/>
      <c r="J119" s="1492"/>
      <c r="K119" s="1343">
        <f t="shared" si="3"/>
        <v>0</v>
      </c>
      <c r="L119" s="1343">
        <f t="shared" si="5"/>
        <v>436686.46789517341</v>
      </c>
      <c r="M119" s="1344">
        <f t="shared" si="2"/>
        <v>436686.46789517341</v>
      </c>
      <c r="N119" s="1146"/>
      <c r="O119" s="1027"/>
    </row>
    <row r="120" spans="1:47" ht="15">
      <c r="B120" s="1296">
        <v>40025</v>
      </c>
      <c r="C120" s="1290" t="s">
        <v>703</v>
      </c>
      <c r="D120" s="1291"/>
      <c r="E120" s="1291">
        <v>0</v>
      </c>
      <c r="F120" s="1294">
        <f>SUM($E$81:E120)</f>
        <v>250000000</v>
      </c>
      <c r="G120" s="1294">
        <f t="shared" si="4"/>
        <v>238862585.80707431</v>
      </c>
      <c r="H120" s="1358"/>
      <c r="I120" s="1358"/>
      <c r="J120" s="1492">
        <v>453194.44</v>
      </c>
      <c r="K120" s="1343">
        <f t="shared" si="3"/>
        <v>-453194.44</v>
      </c>
      <c r="L120" s="1343">
        <f t="shared" si="5"/>
        <v>969796.97517008381</v>
      </c>
      <c r="M120" s="1344">
        <f t="shared" si="2"/>
        <v>969796.97517008381</v>
      </c>
      <c r="N120" s="1146"/>
      <c r="O120" s="1027"/>
      <c r="S120" s="1284"/>
      <c r="T120" s="1284"/>
      <c r="U120" s="1284"/>
      <c r="V120" s="1284"/>
      <c r="W120" s="1284"/>
      <c r="X120" s="1284"/>
      <c r="Y120" s="1284"/>
      <c r="Z120" s="1284"/>
      <c r="AA120" s="1284"/>
      <c r="AB120" s="1284"/>
      <c r="AC120" s="1284"/>
      <c r="AD120" s="1284"/>
      <c r="AE120" s="1284"/>
      <c r="AF120" s="1284"/>
      <c r="AG120" s="1284"/>
      <c r="AH120" s="1284"/>
      <c r="AI120" s="1284"/>
      <c r="AJ120" s="1284"/>
      <c r="AK120" s="1284"/>
      <c r="AL120" s="1284"/>
      <c r="AM120" s="1284"/>
      <c r="AN120" s="1284"/>
      <c r="AO120" s="1284"/>
      <c r="AP120" s="1284"/>
      <c r="AQ120" s="1284"/>
      <c r="AR120" s="1284"/>
      <c r="AS120" s="1284"/>
      <c r="AT120" s="1284"/>
      <c r="AU120" s="1284"/>
    </row>
    <row r="121" spans="1:47" ht="15">
      <c r="B121" s="1296">
        <v>40028</v>
      </c>
      <c r="C121" s="1290" t="s">
        <v>703</v>
      </c>
      <c r="D121" s="1291"/>
      <c r="E121" s="1291">
        <v>30000000</v>
      </c>
      <c r="F121" s="1294">
        <f>SUM($E$81:E121)</f>
        <v>280000000</v>
      </c>
      <c r="G121" s="1294">
        <f t="shared" si="4"/>
        <v>239379188.34224439</v>
      </c>
      <c r="H121" s="1358"/>
      <c r="I121" s="1358"/>
      <c r="J121" s="1492"/>
      <c r="K121" s="1343">
        <f t="shared" si="3"/>
        <v>30000000</v>
      </c>
      <c r="L121" s="1343">
        <f t="shared" si="5"/>
        <v>93882.285238003751</v>
      </c>
      <c r="M121" s="1344">
        <f t="shared" si="2"/>
        <v>93882.285238003751</v>
      </c>
      <c r="N121" s="1146"/>
      <c r="O121" s="1027"/>
      <c r="S121" s="1284"/>
      <c r="T121" s="1297"/>
      <c r="U121" s="1284"/>
      <c r="V121" s="1284"/>
      <c r="W121" s="1284"/>
      <c r="X121" s="1284"/>
      <c r="Y121" s="1284"/>
      <c r="Z121" s="1284"/>
      <c r="AA121" s="1284"/>
      <c r="AB121" s="1284"/>
      <c r="AC121" s="1284"/>
      <c r="AD121" s="1284"/>
      <c r="AE121" s="1284"/>
      <c r="AF121" s="1284"/>
      <c r="AG121" s="1284"/>
      <c r="AH121" s="1284"/>
      <c r="AI121" s="1284"/>
      <c r="AJ121" s="1284"/>
      <c r="AK121" s="1284"/>
      <c r="AL121" s="1284"/>
      <c r="AM121" s="1284"/>
      <c r="AN121" s="1284"/>
      <c r="AO121" s="1284"/>
      <c r="AP121" s="1284"/>
      <c r="AQ121" s="1284"/>
      <c r="AR121" s="1284"/>
      <c r="AS121" s="1284"/>
      <c r="AT121" s="1284"/>
      <c r="AU121" s="1284"/>
    </row>
    <row r="122" spans="1:47" ht="15">
      <c r="B122" s="1296">
        <v>40060</v>
      </c>
      <c r="C122" s="1290" t="s">
        <v>703</v>
      </c>
      <c r="D122" s="1291"/>
      <c r="E122" s="1291">
        <v>50000000</v>
      </c>
      <c r="F122" s="1294">
        <f>SUM($E$81:E122)</f>
        <v>330000000</v>
      </c>
      <c r="G122" s="1294">
        <f t="shared" si="4"/>
        <v>269473070.62748241</v>
      </c>
      <c r="H122" s="1358"/>
      <c r="I122" s="1358"/>
      <c r="J122" s="1492"/>
      <c r="K122" s="1343">
        <f t="shared" si="3"/>
        <v>50000000</v>
      </c>
      <c r="L122" s="1343">
        <f t="shared" si="5"/>
        <v>1129444.1309892763</v>
      </c>
      <c r="M122" s="1344">
        <f t="shared" si="2"/>
        <v>1129444.1309892763</v>
      </c>
      <c r="N122" s="1146"/>
      <c r="O122" s="1027"/>
      <c r="S122" s="1284"/>
      <c r="T122" s="1284"/>
      <c r="U122" s="1284"/>
      <c r="V122" s="1284"/>
      <c r="W122" s="1284"/>
      <c r="X122" s="1284"/>
      <c r="Y122" s="1284"/>
      <c r="Z122" s="1284"/>
      <c r="AA122" s="1284"/>
      <c r="AB122" s="1284"/>
      <c r="AC122" s="1284"/>
      <c r="AD122" s="1284"/>
      <c r="AE122" s="1284"/>
      <c r="AF122" s="1284"/>
      <c r="AG122" s="1284"/>
      <c r="AH122" s="1284"/>
      <c r="AI122" s="1284"/>
      <c r="AJ122" s="1284"/>
      <c r="AK122" s="1284"/>
      <c r="AL122" s="1284"/>
      <c r="AM122" s="1284"/>
      <c r="AN122" s="1284"/>
      <c r="AO122" s="1284"/>
      <c r="AP122" s="1284"/>
      <c r="AQ122" s="1284"/>
      <c r="AR122" s="1284"/>
      <c r="AS122" s="1284"/>
      <c r="AT122" s="1284"/>
      <c r="AU122" s="1284"/>
    </row>
    <row r="123" spans="1:47" ht="15">
      <c r="B123" s="1296">
        <f>DATE(YEAR(B118),MONTH(B118)+3,DAY(B118))</f>
        <v>40072</v>
      </c>
      <c r="C123" s="1290" t="s">
        <v>703</v>
      </c>
      <c r="D123" s="1291"/>
      <c r="E123" s="1291">
        <v>0</v>
      </c>
      <c r="F123" s="1294">
        <f>SUM($E$81:E123)</f>
        <v>330000000</v>
      </c>
      <c r="G123" s="1294">
        <f>G122+E122-I122-J122+M122</f>
        <v>320602514.75847167</v>
      </c>
      <c r="H123" s="1358">
        <f>1469080.02+127746.09</f>
        <v>1596826.11</v>
      </c>
      <c r="I123" s="1358"/>
      <c r="J123" s="1492"/>
      <c r="K123" s="1343">
        <f t="shared" si="3"/>
        <v>-1596826.11</v>
      </c>
      <c r="L123" s="1343">
        <f>G123*(POWER(1+$F$16,(B123-B122)/365)-1)</f>
        <v>503245.2208917329</v>
      </c>
      <c r="M123" s="1344">
        <f t="shared" si="2"/>
        <v>-1093580.8891082671</v>
      </c>
      <c r="N123" s="1146"/>
      <c r="O123" s="1027"/>
      <c r="S123" s="1284"/>
      <c r="T123" s="1297"/>
      <c r="U123" s="1284"/>
      <c r="V123" s="1284"/>
      <c r="W123" s="1297"/>
      <c r="X123" s="1284"/>
      <c r="Y123" s="1284"/>
      <c r="Z123" s="1297"/>
      <c r="AA123" s="1284"/>
      <c r="AB123" s="1284"/>
      <c r="AC123" s="1297"/>
      <c r="AD123" s="1284"/>
      <c r="AE123" s="1284"/>
      <c r="AF123" s="1297"/>
      <c r="AG123" s="1284"/>
      <c r="AH123" s="1284"/>
      <c r="AI123" s="1297"/>
      <c r="AJ123" s="1284"/>
      <c r="AK123" s="1284"/>
      <c r="AL123" s="1297"/>
      <c r="AM123" s="1284"/>
      <c r="AN123" s="1284"/>
      <c r="AO123" s="1297"/>
      <c r="AP123" s="1284"/>
      <c r="AQ123" s="1284"/>
      <c r="AR123" s="1284"/>
      <c r="AS123" s="1284"/>
      <c r="AT123" s="1284"/>
      <c r="AU123" s="1284"/>
    </row>
    <row r="124" spans="1:47" s="1110" customFormat="1" ht="15">
      <c r="B124" s="1296">
        <v>40091</v>
      </c>
      <c r="C124" s="1290" t="s">
        <v>704</v>
      </c>
      <c r="D124" s="1291"/>
      <c r="E124" s="1291">
        <v>45000000</v>
      </c>
      <c r="F124" s="1294">
        <f>SUM($E$81:E124)</f>
        <v>375000000</v>
      </c>
      <c r="G124" s="1294">
        <f t="shared" si="4"/>
        <v>319508933.86936343</v>
      </c>
      <c r="H124" s="1358">
        <f>115992.45+91923.61</f>
        <v>207916.06</v>
      </c>
      <c r="I124" s="1358"/>
      <c r="J124" s="1492"/>
      <c r="K124" s="1343">
        <f t="shared" si="3"/>
        <v>44792083.939999998</v>
      </c>
      <c r="L124" s="1343">
        <f t="shared" si="5"/>
        <v>794450.49095545942</v>
      </c>
      <c r="M124" s="1344">
        <f t="shared" si="2"/>
        <v>586534.43095545936</v>
      </c>
      <c r="N124" s="1146"/>
      <c r="O124" s="1425"/>
      <c r="S124" s="1112"/>
      <c r="T124" s="1298"/>
      <c r="U124" s="1298"/>
      <c r="V124" s="1112"/>
      <c r="W124" s="1298"/>
      <c r="X124" s="1298"/>
      <c r="Y124" s="1112"/>
      <c r="Z124" s="1298"/>
      <c r="AA124" s="1298"/>
      <c r="AB124" s="1112"/>
      <c r="AC124" s="1298"/>
      <c r="AD124" s="1298"/>
      <c r="AE124" s="1112"/>
      <c r="AF124" s="1298"/>
      <c r="AG124" s="1298"/>
      <c r="AH124" s="1112"/>
      <c r="AI124" s="1298"/>
      <c r="AJ124" s="1298"/>
      <c r="AK124" s="1112"/>
      <c r="AL124" s="1298"/>
      <c r="AM124" s="1298"/>
      <c r="AN124" s="1112"/>
      <c r="AO124" s="1298"/>
      <c r="AP124" s="1298"/>
      <c r="AQ124" s="1112"/>
      <c r="AR124" s="1112"/>
      <c r="AS124" s="1112"/>
      <c r="AT124" s="1112"/>
      <c r="AU124" s="1112"/>
    </row>
    <row r="125" spans="1:47" s="1110" customFormat="1" ht="15">
      <c r="B125" s="1296">
        <v>40102</v>
      </c>
      <c r="C125" s="1290" t="s">
        <v>704</v>
      </c>
      <c r="D125" s="1291"/>
      <c r="E125" s="1291"/>
      <c r="F125" s="1294">
        <f>SUM($E$81:E125)</f>
        <v>375000000</v>
      </c>
      <c r="G125" s="1294">
        <f t="shared" si="4"/>
        <v>365095468.3003189</v>
      </c>
      <c r="H125" s="1358"/>
      <c r="I125" s="1358"/>
      <c r="J125" s="1492">
        <f>321250</f>
        <v>321250</v>
      </c>
      <c r="K125" s="1343">
        <f t="shared" si="3"/>
        <v>-321250</v>
      </c>
      <c r="L125" s="1343">
        <f t="shared" si="5"/>
        <v>525293.74196931173</v>
      </c>
      <c r="M125" s="1344">
        <f t="shared" si="2"/>
        <v>525293.74196931173</v>
      </c>
      <c r="N125" s="1146"/>
      <c r="O125" s="1425"/>
      <c r="S125" s="1112"/>
      <c r="T125" s="1298"/>
      <c r="U125" s="1112"/>
      <c r="V125" s="1112"/>
      <c r="W125" s="1298"/>
      <c r="X125" s="1112"/>
      <c r="Y125" s="1112"/>
      <c r="Z125" s="1298"/>
      <c r="AA125" s="1112"/>
      <c r="AB125" s="1112"/>
      <c r="AC125" s="1298"/>
      <c r="AD125" s="1112"/>
      <c r="AE125" s="1112"/>
      <c r="AF125" s="1298"/>
      <c r="AG125" s="1112"/>
      <c r="AH125" s="1112"/>
      <c r="AI125" s="1298"/>
      <c r="AJ125" s="1112"/>
      <c r="AK125" s="1112"/>
      <c r="AL125" s="1298"/>
      <c r="AM125" s="1112"/>
      <c r="AN125" s="1112"/>
      <c r="AO125" s="1298"/>
      <c r="AP125" s="1112"/>
      <c r="AQ125" s="1112"/>
      <c r="AR125" s="1112"/>
      <c r="AS125" s="1112"/>
      <c r="AT125" s="1112"/>
      <c r="AU125" s="1112"/>
    </row>
    <row r="126" spans="1:47" s="1110" customFormat="1" ht="15">
      <c r="B126" s="1296">
        <v>40122</v>
      </c>
      <c r="C126" s="1290" t="s">
        <v>704</v>
      </c>
      <c r="D126" s="1291"/>
      <c r="E126" s="1291">
        <v>30000000</v>
      </c>
      <c r="F126" s="1294">
        <f>SUM($E$81:E126)</f>
        <v>405000000</v>
      </c>
      <c r="G126" s="1294">
        <f t="shared" si="4"/>
        <v>365299512.04228818</v>
      </c>
      <c r="H126" s="1358">
        <v>0</v>
      </c>
      <c r="I126" s="1358"/>
      <c r="J126" s="1492"/>
      <c r="K126" s="1343">
        <f t="shared" si="3"/>
        <v>30000000</v>
      </c>
      <c r="L126" s="1343">
        <f t="shared" si="5"/>
        <v>956175.72252299427</v>
      </c>
      <c r="M126" s="1344">
        <f t="shared" si="2"/>
        <v>956175.72252299427</v>
      </c>
      <c r="N126" s="1146"/>
      <c r="O126" s="1425"/>
      <c r="S126" s="1112"/>
      <c r="T126" s="1298"/>
      <c r="U126" s="1112"/>
      <c r="V126" s="1112"/>
      <c r="W126" s="1298"/>
      <c r="X126" s="1112"/>
      <c r="Y126" s="1112"/>
      <c r="Z126" s="1298"/>
      <c r="AA126" s="1112"/>
      <c r="AB126" s="1112"/>
      <c r="AC126" s="1298"/>
      <c r="AD126" s="1112"/>
      <c r="AE126" s="1112"/>
      <c r="AF126" s="1298"/>
      <c r="AG126" s="1112"/>
      <c r="AH126" s="1112"/>
      <c r="AI126" s="1298"/>
      <c r="AJ126" s="1112"/>
      <c r="AK126" s="1112"/>
      <c r="AL126" s="1298"/>
      <c r="AM126" s="1112"/>
      <c r="AN126" s="1112"/>
      <c r="AO126" s="1298"/>
      <c r="AP126" s="1112"/>
      <c r="AQ126" s="1112"/>
      <c r="AR126" s="1112"/>
      <c r="AS126" s="1112"/>
      <c r="AT126" s="1112"/>
      <c r="AU126" s="1112"/>
    </row>
    <row r="127" spans="1:47" s="1110" customFormat="1" ht="15">
      <c r="B127" s="1296">
        <v>40151</v>
      </c>
      <c r="C127" s="1290" t="s">
        <v>704</v>
      </c>
      <c r="D127" s="1291"/>
      <c r="E127" s="1291">
        <v>50000000</v>
      </c>
      <c r="F127" s="1294">
        <f>SUM($E$81:E127)</f>
        <v>455000000</v>
      </c>
      <c r="G127" s="1294">
        <f t="shared" si="4"/>
        <v>396255687.76481116</v>
      </c>
      <c r="H127" s="1358"/>
      <c r="I127" s="1358"/>
      <c r="J127" s="1492"/>
      <c r="K127" s="1343">
        <f t="shared" si="3"/>
        <v>50000000</v>
      </c>
      <c r="L127" s="1343">
        <f t="shared" si="5"/>
        <v>1504830.9245773456</v>
      </c>
      <c r="M127" s="1344">
        <f t="shared" si="2"/>
        <v>1504830.9245773456</v>
      </c>
      <c r="N127" s="1146"/>
      <c r="O127" s="1425"/>
      <c r="S127" s="1112"/>
      <c r="T127" s="1298"/>
      <c r="U127" s="1112"/>
      <c r="V127" s="1112"/>
      <c r="W127" s="1298"/>
      <c r="X127" s="1112"/>
      <c r="Y127" s="1112"/>
      <c r="Z127" s="1297"/>
      <c r="AA127" s="1112"/>
      <c r="AB127" s="1112"/>
      <c r="AC127" s="1297"/>
      <c r="AD127" s="1112"/>
      <c r="AE127" s="1112"/>
      <c r="AF127" s="1297"/>
      <c r="AG127" s="1112"/>
      <c r="AH127" s="1112"/>
      <c r="AI127" s="1297"/>
      <c r="AJ127" s="1112"/>
      <c r="AK127" s="1112"/>
      <c r="AL127" s="1297"/>
      <c r="AM127" s="1112"/>
      <c r="AN127" s="1112"/>
      <c r="AO127" s="1297"/>
      <c r="AP127" s="1112"/>
      <c r="AQ127" s="1112"/>
      <c r="AR127" s="1112"/>
      <c r="AS127" s="1112"/>
      <c r="AT127" s="1112"/>
      <c r="AU127" s="1112"/>
    </row>
    <row r="128" spans="1:47" ht="15">
      <c r="B128" s="1296">
        <f>DATE(YEAR(B123),MONTH(B123)+3,DAY(B123))</f>
        <v>40163</v>
      </c>
      <c r="C128" s="1290" t="s">
        <v>704</v>
      </c>
      <c r="D128" s="1291">
        <v>73715000</v>
      </c>
      <c r="E128" s="1291">
        <f>54288000-45000000-9288000</f>
        <v>0</v>
      </c>
      <c r="F128" s="1294">
        <f>SUM($E$81:E128)</f>
        <v>455000000</v>
      </c>
      <c r="G128" s="1294">
        <f t="shared" si="4"/>
        <v>447760518.68938851</v>
      </c>
      <c r="H128" s="1358">
        <f>1264520.83+109958.33</f>
        <v>1374479.1600000001</v>
      </c>
      <c r="I128" s="1358"/>
      <c r="J128" s="1492"/>
      <c r="K128" s="1343">
        <f t="shared" si="3"/>
        <v>-1374479.1600000001</v>
      </c>
      <c r="L128" s="1343">
        <f t="shared" si="5"/>
        <v>702843.33641049196</v>
      </c>
      <c r="M128" s="1344">
        <f t="shared" si="2"/>
        <v>-671635.82358950819</v>
      </c>
      <c r="N128" s="1146"/>
      <c r="O128" s="713"/>
      <c r="P128" s="1426"/>
      <c r="Q128" s="1426"/>
      <c r="S128" s="1284"/>
      <c r="T128" s="1297"/>
      <c r="U128" s="1284"/>
      <c r="V128" s="1284"/>
      <c r="W128" s="1297"/>
      <c r="X128" s="1284"/>
      <c r="Y128" s="1284"/>
      <c r="Z128" s="1297"/>
      <c r="AA128" s="1284"/>
      <c r="AB128" s="1284"/>
      <c r="AC128" s="1297"/>
      <c r="AD128" s="1284"/>
      <c r="AE128" s="1284"/>
      <c r="AF128" s="1297"/>
      <c r="AG128" s="1284"/>
      <c r="AH128" s="1284"/>
      <c r="AI128" s="1297"/>
      <c r="AJ128" s="1284"/>
      <c r="AK128" s="1284"/>
      <c r="AL128" s="1297"/>
      <c r="AM128" s="1284"/>
      <c r="AN128" s="1284"/>
      <c r="AO128" s="1297"/>
      <c r="AP128" s="1284"/>
      <c r="AQ128" s="1284"/>
      <c r="AR128" s="1284"/>
      <c r="AS128" s="1284"/>
      <c r="AT128" s="1284"/>
      <c r="AU128" s="1284"/>
    </row>
    <row r="129" spans="1:47" ht="15">
      <c r="B129" s="1296">
        <v>40182</v>
      </c>
      <c r="C129" s="1290" t="s">
        <v>701</v>
      </c>
      <c r="D129" s="1291"/>
      <c r="E129" s="1291"/>
      <c r="F129" s="1294">
        <f>SUM($E$81:E129)</f>
        <v>455000000</v>
      </c>
      <c r="G129" s="1294">
        <f t="shared" si="4"/>
        <v>447088882.86579901</v>
      </c>
      <c r="H129" s="1358"/>
      <c r="I129" s="1358"/>
      <c r="J129" s="1492">
        <v>138489.57999999999</v>
      </c>
      <c r="K129" s="1343">
        <f t="shared" si="3"/>
        <v>-138489.57999999999</v>
      </c>
      <c r="L129" s="1343">
        <f t="shared" si="5"/>
        <v>1111674.6508211482</v>
      </c>
      <c r="M129" s="1344">
        <f t="shared" si="2"/>
        <v>1111674.6508211482</v>
      </c>
      <c r="N129" s="1146"/>
      <c r="O129" s="1425"/>
      <c r="P129" s="1427"/>
      <c r="R129" s="1424"/>
      <c r="S129" s="1284"/>
      <c r="T129" s="1299"/>
      <c r="U129" s="1297"/>
      <c r="V129" s="1284"/>
      <c r="W129" s="1284"/>
      <c r="X129" s="1297"/>
      <c r="Y129" s="1284"/>
      <c r="Z129" s="1284"/>
      <c r="AA129" s="1297"/>
      <c r="AB129" s="1284"/>
      <c r="AC129" s="1284"/>
      <c r="AD129" s="1297"/>
      <c r="AE129" s="1284"/>
      <c r="AF129" s="1284"/>
      <c r="AG129" s="1297"/>
      <c r="AH129" s="1284"/>
      <c r="AI129" s="1284"/>
      <c r="AJ129" s="1297"/>
      <c r="AK129" s="1284"/>
      <c r="AL129" s="1284"/>
      <c r="AM129" s="1297"/>
      <c r="AN129" s="1284"/>
      <c r="AO129" s="1284"/>
      <c r="AP129" s="1297"/>
      <c r="AQ129" s="1284"/>
      <c r="AR129" s="1284"/>
      <c r="AS129" s="1284"/>
      <c r="AT129" s="1284"/>
      <c r="AU129" s="1284"/>
    </row>
    <row r="130" spans="1:47" ht="15">
      <c r="B130" s="1296">
        <v>40183</v>
      </c>
      <c r="C130" s="1290" t="s">
        <v>701</v>
      </c>
      <c r="D130" s="1291"/>
      <c r="E130" s="1291">
        <v>30000000</v>
      </c>
      <c r="F130" s="1294">
        <f>SUM($E$81:E130)</f>
        <v>485000000</v>
      </c>
      <c r="G130" s="1294">
        <f>G129+E129-I129-J129+M129</f>
        <v>448062067.93662018</v>
      </c>
      <c r="H130" s="1358">
        <f>689801.94+108529.17+94000</f>
        <v>892331.11</v>
      </c>
      <c r="I130" s="1358"/>
      <c r="J130" s="1492"/>
      <c r="K130" s="1343">
        <f t="shared" si="3"/>
        <v>29107668.890000001</v>
      </c>
      <c r="L130" s="1343">
        <f t="shared" si="5"/>
        <v>58567.598930581386</v>
      </c>
      <c r="M130" s="1344">
        <f t="shared" si="2"/>
        <v>-833763.51106941863</v>
      </c>
      <c r="N130" s="1146"/>
      <c r="O130" s="1428"/>
      <c r="P130" s="1429"/>
      <c r="R130" s="1430"/>
      <c r="S130" s="1297"/>
      <c r="T130" s="1299"/>
      <c r="U130" s="1284"/>
      <c r="V130" s="1284"/>
      <c r="W130" s="1284"/>
      <c r="X130" s="1284"/>
      <c r="Y130" s="1284"/>
      <c r="Z130" s="1284"/>
      <c r="AA130" s="1284"/>
      <c r="AB130" s="1284"/>
      <c r="AC130" s="1284"/>
      <c r="AD130" s="1284"/>
      <c r="AE130" s="1284"/>
      <c r="AF130" s="1284"/>
      <c r="AG130" s="1284"/>
      <c r="AH130" s="1284"/>
      <c r="AI130" s="1284"/>
      <c r="AJ130" s="1284"/>
      <c r="AK130" s="1284"/>
      <c r="AL130" s="1284"/>
      <c r="AM130" s="1284"/>
      <c r="AN130" s="1284"/>
      <c r="AO130" s="1284"/>
      <c r="AP130" s="1284"/>
      <c r="AQ130" s="1284"/>
      <c r="AR130" s="1284"/>
      <c r="AS130" s="1284"/>
      <c r="AT130" s="1284"/>
      <c r="AU130" s="1284"/>
    </row>
    <row r="131" spans="1:47" ht="15">
      <c r="B131" s="1296">
        <v>40193</v>
      </c>
      <c r="C131" s="1290" t="s">
        <v>701</v>
      </c>
      <c r="D131" s="1291"/>
      <c r="E131" s="1291">
        <v>0</v>
      </c>
      <c r="F131" s="1294">
        <f>SUM($E$81:E131)</f>
        <v>485000000</v>
      </c>
      <c r="G131" s="1294">
        <f t="shared" si="4"/>
        <v>477228304.42555076</v>
      </c>
      <c r="H131" s="1358">
        <f>405375+35250</f>
        <v>440625</v>
      </c>
      <c r="I131" s="1358"/>
      <c r="J131" s="1492"/>
      <c r="K131" s="1343">
        <f t="shared" si="3"/>
        <v>-440625</v>
      </c>
      <c r="L131" s="1343">
        <f t="shared" si="5"/>
        <v>624167.14509581972</v>
      </c>
      <c r="M131" s="1344">
        <f t="shared" si="2"/>
        <v>183542.14509581972</v>
      </c>
      <c r="N131" s="1146"/>
      <c r="O131" s="1431"/>
      <c r="P131" s="1027"/>
      <c r="Q131" s="1293"/>
      <c r="R131" s="1432"/>
      <c r="S131" s="1284"/>
      <c r="T131" s="1300"/>
      <c r="U131" s="1284"/>
      <c r="V131" s="1284"/>
      <c r="W131" s="1284"/>
      <c r="X131" s="1284"/>
      <c r="Y131" s="1301"/>
      <c r="Z131" s="1284"/>
      <c r="AA131" s="1284"/>
      <c r="AB131" s="1301"/>
      <c r="AC131" s="1284"/>
      <c r="AD131" s="1284"/>
      <c r="AE131" s="1301"/>
      <c r="AF131" s="1302"/>
      <c r="AG131" s="1284"/>
      <c r="AH131" s="1301"/>
      <c r="AI131" s="1302"/>
      <c r="AJ131" s="1284"/>
      <c r="AK131" s="1301"/>
      <c r="AL131" s="1302"/>
      <c r="AM131" s="1284"/>
      <c r="AN131" s="1301"/>
      <c r="AO131" s="1302"/>
      <c r="AP131" s="1284"/>
      <c r="AQ131" s="1301"/>
      <c r="AR131" s="1301"/>
      <c r="AS131" s="1284"/>
      <c r="AT131" s="1284"/>
      <c r="AU131" s="1284"/>
    </row>
    <row r="132" spans="1:47" ht="15">
      <c r="A132" s="1147"/>
      <c r="B132" s="1296">
        <v>40203</v>
      </c>
      <c r="C132" s="1290" t="s">
        <v>701</v>
      </c>
      <c r="D132" s="1291"/>
      <c r="E132" s="1291">
        <v>-485000000</v>
      </c>
      <c r="F132" s="1294">
        <f>SUM($E$81:E132)</f>
        <v>0</v>
      </c>
      <c r="G132" s="1294">
        <f t="shared" si="4"/>
        <v>477411846.57064658</v>
      </c>
      <c r="H132" s="1358">
        <f>135125+276125+11750</f>
        <v>423000</v>
      </c>
      <c r="I132" s="1358"/>
      <c r="J132" s="1492">
        <f>18489.58</f>
        <v>18489.580000000002</v>
      </c>
      <c r="K132" s="1343">
        <f>E132-H132-I132-J132</f>
        <v>-485441489.57999998</v>
      </c>
      <c r="L132" s="1343">
        <f t="shared" si="5"/>
        <v>624407.19996190141</v>
      </c>
      <c r="M132" s="1344">
        <f t="shared" si="2"/>
        <v>201407.19996190141</v>
      </c>
      <c r="N132" s="1146"/>
      <c r="O132" s="1433"/>
      <c r="P132" s="1293"/>
      <c r="Q132" s="1293"/>
      <c r="R132" s="1432"/>
      <c r="S132" s="1284"/>
      <c r="T132" s="1300"/>
      <c r="U132" s="1284"/>
      <c r="V132" s="1284"/>
      <c r="W132" s="1284"/>
      <c r="X132" s="1284"/>
      <c r="Y132" s="1284"/>
      <c r="Z132" s="1284"/>
      <c r="AA132" s="1284"/>
      <c r="AB132" s="1284"/>
      <c r="AC132" s="1284"/>
      <c r="AD132" s="1284"/>
      <c r="AE132" s="1284"/>
      <c r="AF132" s="1284"/>
      <c r="AG132" s="1284"/>
      <c r="AH132" s="1284"/>
      <c r="AI132" s="1284"/>
      <c r="AJ132" s="1284"/>
      <c r="AK132" s="1284"/>
      <c r="AL132" s="1284"/>
      <c r="AM132" s="1284"/>
      <c r="AN132" s="1284"/>
      <c r="AO132" s="1284"/>
      <c r="AP132" s="1284"/>
      <c r="AQ132" s="1284"/>
      <c r="AR132" s="1284"/>
      <c r="AS132" s="1284"/>
      <c r="AT132" s="1284"/>
      <c r="AU132" s="1284"/>
    </row>
    <row r="133" spans="1:47" ht="15">
      <c r="A133" s="1277"/>
      <c r="B133" s="1296">
        <v>40203</v>
      </c>
      <c r="C133" s="1290" t="s">
        <v>701</v>
      </c>
      <c r="D133" s="1291"/>
      <c r="E133" s="1291">
        <v>450000000</v>
      </c>
      <c r="F133" s="1294">
        <f>SUM($E$81:E133)</f>
        <v>450000000</v>
      </c>
      <c r="G133" s="1294">
        <f t="shared" si="4"/>
        <v>-7405235.8093915144</v>
      </c>
      <c r="H133" s="1358"/>
      <c r="I133" s="1358">
        <f>(0.006*C44)+150000+1683000</f>
        <v>4533000</v>
      </c>
      <c r="J133" s="1492"/>
      <c r="K133" s="1343">
        <f t="shared" si="3"/>
        <v>445467000</v>
      </c>
      <c r="L133" s="1343">
        <f t="shared" si="5"/>
        <v>0</v>
      </c>
      <c r="M133" s="1344">
        <f t="shared" si="2"/>
        <v>0</v>
      </c>
      <c r="N133" s="1146"/>
      <c r="O133" s="1433"/>
      <c r="P133" s="1293"/>
      <c r="Q133" s="1293"/>
      <c r="R133" s="1432"/>
      <c r="S133" s="1284"/>
      <c r="T133" s="1300"/>
      <c r="U133" s="1284"/>
      <c r="V133" s="1284"/>
      <c r="W133" s="1284"/>
      <c r="X133" s="1284"/>
      <c r="Y133" s="1284"/>
      <c r="Z133" s="1284"/>
      <c r="AA133" s="1284"/>
      <c r="AB133" s="1284"/>
      <c r="AC133" s="1284"/>
      <c r="AD133" s="1284"/>
      <c r="AE133" s="1284"/>
      <c r="AF133" s="1284"/>
      <c r="AG133" s="1284"/>
      <c r="AH133" s="1284"/>
      <c r="AI133" s="1284"/>
      <c r="AJ133" s="1284"/>
      <c r="AK133" s="1284"/>
      <c r="AL133" s="1284"/>
      <c r="AM133" s="1284"/>
      <c r="AN133" s="1284"/>
      <c r="AO133" s="1284"/>
      <c r="AP133" s="1284"/>
      <c r="AQ133" s="1284"/>
      <c r="AR133" s="1284"/>
      <c r="AS133" s="1284"/>
      <c r="AT133" s="1284"/>
      <c r="AU133" s="1284"/>
    </row>
    <row r="134" spans="1:47" ht="15">
      <c r="A134" s="1277"/>
      <c r="B134" s="1296">
        <v>40203</v>
      </c>
      <c r="C134" s="1290" t="s">
        <v>701</v>
      </c>
      <c r="D134" s="1291"/>
      <c r="E134" s="1291">
        <v>45000000</v>
      </c>
      <c r="F134" s="1294">
        <f>F133+E134</f>
        <v>495000000</v>
      </c>
      <c r="G134" s="1294">
        <f>G133+E133-I133-J133+M133</f>
        <v>438061764.1906085</v>
      </c>
      <c r="H134" s="1358"/>
      <c r="I134" s="1358">
        <v>5852578.6699999999</v>
      </c>
      <c r="J134" s="1492"/>
      <c r="K134" s="1343">
        <f t="shared" si="3"/>
        <v>39147421.329999998</v>
      </c>
      <c r="L134" s="1343">
        <f t="shared" si="5"/>
        <v>0</v>
      </c>
      <c r="M134" s="1344">
        <f t="shared" si="2"/>
        <v>0</v>
      </c>
      <c r="N134" s="1146"/>
      <c r="O134" s="1433"/>
      <c r="P134" s="1293"/>
      <c r="Q134" s="1293"/>
      <c r="R134" s="1432"/>
      <c r="S134" s="1284"/>
      <c r="T134" s="1299"/>
      <c r="U134" s="1284"/>
      <c r="V134" s="1284"/>
      <c r="W134" s="1284"/>
      <c r="X134" s="1284"/>
      <c r="Y134" s="1284"/>
      <c r="Z134" s="1284"/>
      <c r="AA134" s="1284"/>
      <c r="AB134" s="1284"/>
      <c r="AC134" s="1284"/>
      <c r="AD134" s="1284"/>
      <c r="AE134" s="1284"/>
      <c r="AF134" s="1284"/>
      <c r="AG134" s="1284"/>
      <c r="AH134" s="1284"/>
      <c r="AI134" s="1284"/>
      <c r="AJ134" s="1284"/>
      <c r="AK134" s="1284"/>
      <c r="AL134" s="1284"/>
      <c r="AM134" s="1284"/>
      <c r="AN134" s="1284"/>
      <c r="AO134" s="1284"/>
      <c r="AP134" s="1284"/>
      <c r="AQ134" s="1284"/>
      <c r="AR134" s="1284"/>
      <c r="AS134" s="1284"/>
      <c r="AT134" s="1284"/>
      <c r="AU134" s="1284"/>
    </row>
    <row r="135" spans="1:47" ht="15">
      <c r="A135" s="1277"/>
      <c r="B135" s="1296">
        <v>40205</v>
      </c>
      <c r="C135" s="1290" t="s">
        <v>701</v>
      </c>
      <c r="D135" s="1291"/>
      <c r="E135" s="1291"/>
      <c r="F135" s="1294">
        <f>F134+E135</f>
        <v>495000000</v>
      </c>
      <c r="G135" s="1294">
        <f>G134+E134-I134-J134+M134</f>
        <v>477209185.52060848</v>
      </c>
      <c r="H135" s="1358"/>
      <c r="I135" s="1358">
        <v>6979.59</v>
      </c>
      <c r="J135" s="1492"/>
      <c r="K135" s="1343">
        <f t="shared" si="3"/>
        <v>-6979.59</v>
      </c>
      <c r="L135" s="1343">
        <f t="shared" si="5"/>
        <v>124763.17382880246</v>
      </c>
      <c r="M135" s="1344">
        <f t="shared" si="2"/>
        <v>124763.17382880246</v>
      </c>
      <c r="N135" s="1146"/>
      <c r="O135" s="1433"/>
      <c r="P135" s="1293"/>
      <c r="Q135" s="1293"/>
      <c r="R135" s="1432"/>
      <c r="S135" s="1284"/>
      <c r="T135" s="1299"/>
      <c r="U135" s="1284"/>
      <c r="V135" s="1284"/>
      <c r="W135" s="1284"/>
      <c r="X135" s="1284"/>
      <c r="Y135" s="1284"/>
      <c r="Z135" s="1284"/>
      <c r="AA135" s="1284"/>
      <c r="AB135" s="1284"/>
      <c r="AC135" s="1284"/>
      <c r="AD135" s="1284"/>
      <c r="AE135" s="1284"/>
      <c r="AF135" s="1284"/>
      <c r="AG135" s="1284"/>
      <c r="AH135" s="1284"/>
      <c r="AI135" s="1284"/>
      <c r="AJ135" s="1284"/>
      <c r="AK135" s="1284"/>
      <c r="AL135" s="1284"/>
      <c r="AM135" s="1284"/>
      <c r="AN135" s="1284"/>
      <c r="AO135" s="1284"/>
      <c r="AP135" s="1284"/>
      <c r="AQ135" s="1284"/>
      <c r="AR135" s="1284"/>
      <c r="AS135" s="1284"/>
      <c r="AT135" s="1284"/>
      <c r="AU135" s="1284"/>
    </row>
    <row r="136" spans="1:47" ht="12.75" customHeight="1">
      <c r="A136" s="1277"/>
      <c r="B136" s="1296">
        <v>40212</v>
      </c>
      <c r="C136" s="1290" t="s">
        <v>701</v>
      </c>
      <c r="D136" s="1291"/>
      <c r="E136" s="1291"/>
      <c r="F136" s="1294">
        <f>F134+E136</f>
        <v>495000000</v>
      </c>
      <c r="G136" s="1294">
        <f>G135+E135-I135-J135+M135</f>
        <v>477326969.10443729</v>
      </c>
      <c r="H136" s="1358"/>
      <c r="I136" s="1358">
        <v>58000</v>
      </c>
      <c r="J136" s="1492"/>
      <c r="K136" s="1343">
        <f t="shared" si="3"/>
        <v>-58000</v>
      </c>
      <c r="L136" s="1343">
        <f t="shared" si="5"/>
        <v>436921.64631290699</v>
      </c>
      <c r="M136" s="1344">
        <f t="shared" si="2"/>
        <v>436921.64631290699</v>
      </c>
      <c r="N136" s="1146"/>
      <c r="O136" s="1433"/>
      <c r="P136" s="1293"/>
      <c r="Q136" s="1293"/>
      <c r="R136" s="1434"/>
      <c r="S136" s="1299"/>
      <c r="T136" s="1303"/>
      <c r="U136" s="1298"/>
      <c r="V136" s="1112"/>
      <c r="W136" s="1298"/>
      <c r="X136" s="1298"/>
      <c r="Y136" s="1112"/>
      <c r="Z136" s="1298"/>
      <c r="AA136" s="1298"/>
      <c r="AB136" s="1112"/>
      <c r="AC136" s="1298"/>
      <c r="AD136" s="1298"/>
      <c r="AE136" s="1284"/>
      <c r="AF136" s="1298"/>
      <c r="AG136" s="1298"/>
      <c r="AH136" s="1112"/>
      <c r="AI136" s="1298"/>
      <c r="AJ136" s="1298"/>
      <c r="AK136" s="1112"/>
      <c r="AL136" s="1298"/>
      <c r="AM136" s="1298"/>
      <c r="AN136" s="1112"/>
      <c r="AO136" s="1298"/>
      <c r="AP136" s="1298"/>
      <c r="AQ136" s="1112"/>
      <c r="AR136" s="1284"/>
      <c r="AS136" s="1284"/>
      <c r="AT136" s="1284"/>
      <c r="AU136" s="1284"/>
    </row>
    <row r="137" spans="1:47" ht="15">
      <c r="A137" s="1277"/>
      <c r="B137" s="1296">
        <v>40212</v>
      </c>
      <c r="C137" s="1290" t="s">
        <v>701</v>
      </c>
      <c r="D137" s="1291"/>
      <c r="E137" s="1291"/>
      <c r="F137" s="1294">
        <f>F136+E137</f>
        <v>495000000</v>
      </c>
      <c r="G137" s="1294">
        <f t="shared" si="4"/>
        <v>477705890.75075018</v>
      </c>
      <c r="H137" s="1358"/>
      <c r="I137" s="1358">
        <v>5500</v>
      </c>
      <c r="J137" s="1492"/>
      <c r="K137" s="1343">
        <f t="shared" si="3"/>
        <v>-5500</v>
      </c>
      <c r="L137" s="1343">
        <f t="shared" si="5"/>
        <v>0</v>
      </c>
      <c r="M137" s="1344">
        <f t="shared" si="2"/>
        <v>0</v>
      </c>
      <c r="N137" s="1146"/>
      <c r="O137" s="1433"/>
      <c r="P137" s="1293"/>
      <c r="Q137" s="1293"/>
      <c r="R137" s="1432"/>
      <c r="S137" s="1284"/>
      <c r="T137" s="1304"/>
      <c r="U137" s="1284"/>
      <c r="V137" s="1284"/>
      <c r="W137" s="1302"/>
      <c r="X137" s="1284"/>
      <c r="Y137" s="1284"/>
      <c r="Z137" s="1302"/>
      <c r="AA137" s="1284"/>
      <c r="AB137" s="1284"/>
      <c r="AC137" s="1302"/>
      <c r="AD137" s="1284"/>
      <c r="AE137" s="1284"/>
      <c r="AF137" s="1302"/>
      <c r="AG137" s="1284"/>
      <c r="AH137" s="1284"/>
      <c r="AI137" s="1302"/>
      <c r="AJ137" s="1284"/>
      <c r="AK137" s="1284"/>
      <c r="AL137" s="1302"/>
      <c r="AM137" s="1284"/>
      <c r="AN137" s="1284"/>
      <c r="AO137" s="1302"/>
      <c r="AP137" s="1284"/>
      <c r="AQ137" s="1284"/>
      <c r="AR137" s="1284"/>
      <c r="AS137" s="1284"/>
      <c r="AT137" s="1284"/>
      <c r="AU137" s="1284"/>
    </row>
    <row r="138" spans="1:47" ht="15">
      <c r="A138" s="1277"/>
      <c r="B138" s="1296">
        <v>40214</v>
      </c>
      <c r="C138" s="1290" t="s">
        <v>701</v>
      </c>
      <c r="D138" s="1291"/>
      <c r="E138" s="1291"/>
      <c r="F138" s="1294">
        <f>F137+E138</f>
        <v>495000000</v>
      </c>
      <c r="G138" s="1294">
        <f t="shared" si="4"/>
        <v>477700390.75075018</v>
      </c>
      <c r="H138" s="1358"/>
      <c r="I138" s="1358">
        <v>82116.73</v>
      </c>
      <c r="J138" s="1492">
        <v>2934.74</v>
      </c>
      <c r="K138" s="1343">
        <f t="shared" si="3"/>
        <v>-85051.47</v>
      </c>
      <c r="L138" s="1343">
        <f t="shared" si="5"/>
        <v>124891.59617559139</v>
      </c>
      <c r="M138" s="1344">
        <f t="shared" si="2"/>
        <v>124891.59617559139</v>
      </c>
      <c r="N138" s="1146"/>
      <c r="O138" s="1433"/>
      <c r="P138" s="1293"/>
      <c r="Q138" s="1293"/>
      <c r="R138" s="1432"/>
      <c r="S138" s="1284"/>
      <c r="T138" s="1304"/>
      <c r="U138" s="1305"/>
      <c r="V138" s="1284"/>
      <c r="W138" s="1305"/>
      <c r="X138" s="1305"/>
      <c r="Y138" s="1284"/>
      <c r="Z138" s="1305"/>
      <c r="AA138" s="1305"/>
      <c r="AB138" s="1284"/>
      <c r="AC138" s="1305"/>
      <c r="AD138" s="1305"/>
      <c r="AE138" s="1284"/>
      <c r="AF138" s="1305"/>
      <c r="AG138" s="1305"/>
      <c r="AH138" s="1284"/>
      <c r="AI138" s="1305"/>
      <c r="AJ138" s="1305"/>
      <c r="AK138" s="1284"/>
      <c r="AL138" s="1305"/>
      <c r="AM138" s="1305"/>
      <c r="AN138" s="1284"/>
      <c r="AO138" s="1305"/>
      <c r="AP138" s="1305"/>
      <c r="AQ138" s="1284"/>
      <c r="AR138" s="1284"/>
      <c r="AS138" s="1284"/>
      <c r="AT138" s="1284"/>
      <c r="AU138" s="1284"/>
    </row>
    <row r="139" spans="1:47" ht="15">
      <c r="A139" s="1277"/>
      <c r="B139" s="1296">
        <v>40221</v>
      </c>
      <c r="C139" s="1290" t="s">
        <v>701</v>
      </c>
      <c r="D139" s="1291"/>
      <c r="E139" s="1291">
        <v>20000000</v>
      </c>
      <c r="F139" s="1294">
        <f>F137+E139</f>
        <v>515000000</v>
      </c>
      <c r="G139" s="1294">
        <f t="shared" si="4"/>
        <v>477740230.87692577</v>
      </c>
      <c r="H139" s="1358"/>
      <c r="I139" s="1358"/>
      <c r="J139" s="1492"/>
      <c r="K139" s="1343">
        <f>E139-H139-I139-J139</f>
        <v>20000000</v>
      </c>
      <c r="L139" s="1343">
        <f t="shared" si="5"/>
        <v>437299.92582712055</v>
      </c>
      <c r="M139" s="1344">
        <f t="shared" si="2"/>
        <v>437299.92582712055</v>
      </c>
      <c r="N139" s="1146"/>
      <c r="O139" s="1433"/>
      <c r="P139" s="1293"/>
      <c r="Q139" s="1293"/>
      <c r="S139" s="1297"/>
      <c r="T139" s="1345"/>
      <c r="U139" s="1284"/>
      <c r="V139" s="1284"/>
      <c r="W139" s="1284"/>
      <c r="X139" s="1284"/>
      <c r="Y139" s="1284"/>
      <c r="Z139" s="1284"/>
      <c r="AA139" s="1284"/>
      <c r="AB139" s="1284"/>
      <c r="AC139" s="1284"/>
      <c r="AD139" s="1284"/>
      <c r="AE139" s="1284"/>
      <c r="AF139" s="1284"/>
      <c r="AG139" s="1284"/>
      <c r="AH139" s="1284"/>
      <c r="AI139" s="1284"/>
      <c r="AJ139" s="1284"/>
      <c r="AK139" s="1284"/>
      <c r="AL139" s="1284"/>
      <c r="AM139" s="1284"/>
      <c r="AN139" s="1284"/>
      <c r="AO139" s="1284"/>
      <c r="AP139" s="1284"/>
      <c r="AQ139" s="1284"/>
      <c r="AR139" s="1284"/>
      <c r="AS139" s="1284"/>
      <c r="AT139" s="1284"/>
      <c r="AU139" s="1284"/>
    </row>
    <row r="140" spans="1:47" ht="15">
      <c r="A140" s="1277"/>
      <c r="B140" s="1296">
        <v>40233</v>
      </c>
      <c r="C140" s="1290" t="s">
        <v>701</v>
      </c>
      <c r="D140" s="1291"/>
      <c r="E140" s="1291"/>
      <c r="F140" s="1294">
        <f>F139+E140</f>
        <v>515000000</v>
      </c>
      <c r="G140" s="1294">
        <f t="shared" si="4"/>
        <v>498177530.80275291</v>
      </c>
      <c r="H140" s="1358"/>
      <c r="I140" s="1358">
        <v>23770</v>
      </c>
      <c r="J140" s="1492"/>
      <c r="K140" s="1343">
        <f>E140-H140-I140-J140</f>
        <v>-23770</v>
      </c>
      <c r="L140" s="1343">
        <f t="shared" si="5"/>
        <v>781982.20535169635</v>
      </c>
      <c r="M140" s="1344">
        <f t="shared" si="2"/>
        <v>781982.20535169635</v>
      </c>
      <c r="N140" s="1146"/>
      <c r="O140" s="1433"/>
      <c r="P140" s="1293"/>
      <c r="Q140" s="1293"/>
      <c r="R140" s="1432"/>
      <c r="S140" s="1284"/>
      <c r="T140" s="1304"/>
      <c r="U140" s="1284"/>
      <c r="V140" s="1284"/>
      <c r="W140" s="1284"/>
      <c r="X140" s="1284"/>
      <c r="Y140" s="1284"/>
      <c r="Z140" s="1284"/>
      <c r="AA140" s="1284"/>
      <c r="AB140" s="1284"/>
      <c r="AC140" s="1284"/>
      <c r="AD140" s="1284"/>
      <c r="AE140" s="1284"/>
      <c r="AF140" s="1284"/>
      <c r="AG140" s="1284"/>
      <c r="AH140" s="1284"/>
      <c r="AI140" s="1284"/>
      <c r="AJ140" s="1284"/>
      <c r="AK140" s="1284"/>
      <c r="AL140" s="1284"/>
      <c r="AM140" s="1284"/>
      <c r="AN140" s="1284"/>
      <c r="AO140" s="1284"/>
      <c r="AP140" s="1284"/>
      <c r="AQ140" s="1284"/>
      <c r="AR140" s="1284"/>
      <c r="AS140" s="1284"/>
      <c r="AT140" s="1284"/>
      <c r="AU140" s="1284"/>
    </row>
    <row r="141" spans="1:47" ht="15">
      <c r="A141" s="1277"/>
      <c r="B141" s="1296">
        <v>40247</v>
      </c>
      <c r="C141" s="1290" t="s">
        <v>701</v>
      </c>
      <c r="D141" s="1291"/>
      <c r="E141" s="1291">
        <v>30000000</v>
      </c>
      <c r="F141" s="1294">
        <f>SUM($E$81:E141)</f>
        <v>545000000</v>
      </c>
      <c r="G141" s="1294">
        <f t="shared" si="4"/>
        <v>498935743.00810462</v>
      </c>
      <c r="H141" s="1358"/>
      <c r="I141" s="1492">
        <v>90000</v>
      </c>
      <c r="J141" s="1492"/>
      <c r="K141" s="1343">
        <f>E141-H141-I141-J141</f>
        <v>29910000</v>
      </c>
      <c r="L141" s="1343">
        <f t="shared" si="5"/>
        <v>913820.55357549188</v>
      </c>
      <c r="M141" s="1344">
        <f t="shared" si="2"/>
        <v>913820.55357549188</v>
      </c>
      <c r="N141" s="1146"/>
      <c r="O141" s="1433"/>
      <c r="P141" s="1293"/>
      <c r="Q141" s="1293"/>
      <c r="R141" s="1432"/>
      <c r="S141" s="1284"/>
      <c r="T141" s="1304"/>
      <c r="U141" s="1284"/>
      <c r="V141" s="1284"/>
      <c r="W141" s="1284"/>
      <c r="X141" s="1284"/>
      <c r="Y141" s="1284"/>
      <c r="Z141" s="1284"/>
      <c r="AA141" s="1284"/>
      <c r="AB141" s="1284"/>
      <c r="AC141" s="1284"/>
      <c r="AD141" s="1284"/>
      <c r="AE141" s="1284"/>
      <c r="AF141" s="1284"/>
      <c r="AG141" s="1284"/>
      <c r="AH141" s="1284"/>
      <c r="AI141" s="1284"/>
      <c r="AJ141" s="1284"/>
      <c r="AK141" s="1284"/>
      <c r="AL141" s="1284"/>
      <c r="AM141" s="1284"/>
      <c r="AN141" s="1284"/>
      <c r="AO141" s="1284"/>
      <c r="AP141" s="1284"/>
      <c r="AQ141" s="1284"/>
      <c r="AR141" s="1284"/>
      <c r="AS141" s="1284"/>
      <c r="AT141" s="1284"/>
      <c r="AU141" s="1284"/>
    </row>
    <row r="142" spans="1:47" ht="15">
      <c r="A142" s="1277"/>
      <c r="B142" s="1296">
        <v>40254</v>
      </c>
      <c r="C142" s="1290" t="s">
        <v>701</v>
      </c>
      <c r="D142" s="1291"/>
      <c r="E142" s="1291">
        <v>0</v>
      </c>
      <c r="F142" s="1294">
        <f>SUM($E$81:E142)</f>
        <v>545000000</v>
      </c>
      <c r="G142" s="1294">
        <f t="shared" si="4"/>
        <v>529759563.56168014</v>
      </c>
      <c r="H142" s="1358"/>
      <c r="I142" s="1492">
        <f>117000+67500+11220.2</f>
        <v>195720.2</v>
      </c>
      <c r="J142" s="1492"/>
      <c r="K142" s="1343">
        <f>E142-H142-I142-J142</f>
        <v>-195720.2</v>
      </c>
      <c r="L142" s="1343">
        <f t="shared" si="5"/>
        <v>484915.86615281546</v>
      </c>
      <c r="M142" s="1344">
        <f t="shared" si="2"/>
        <v>484915.86615281546</v>
      </c>
      <c r="N142" s="1146"/>
      <c r="O142" s="1433"/>
      <c r="P142" s="1027"/>
      <c r="Q142" s="1293"/>
      <c r="R142" s="1432"/>
      <c r="S142" s="1284"/>
      <c r="T142" s="1304"/>
      <c r="U142" s="1284"/>
      <c r="V142" s="1284"/>
      <c r="W142" s="1284"/>
      <c r="X142" s="1284"/>
      <c r="Y142" s="1284"/>
      <c r="Z142" s="1284"/>
      <c r="AA142" s="1284"/>
      <c r="AB142" s="1284"/>
      <c r="AC142" s="1284"/>
      <c r="AD142" s="1284"/>
      <c r="AE142" s="1284"/>
      <c r="AF142" s="1284"/>
      <c r="AG142" s="1284"/>
      <c r="AH142" s="1284"/>
      <c r="AI142" s="1284"/>
      <c r="AJ142" s="1284"/>
      <c r="AK142" s="1284"/>
      <c r="AL142" s="1284"/>
      <c r="AM142" s="1284"/>
      <c r="AN142" s="1284"/>
      <c r="AO142" s="1284"/>
      <c r="AP142" s="1284"/>
      <c r="AQ142" s="1284"/>
      <c r="AR142" s="1284"/>
      <c r="AS142" s="1284"/>
      <c r="AT142" s="1284"/>
      <c r="AU142" s="1284"/>
    </row>
    <row r="143" spans="1:47" ht="15">
      <c r="A143" s="1277"/>
      <c r="B143" s="1296">
        <v>40263</v>
      </c>
      <c r="C143" s="1290" t="s">
        <v>701</v>
      </c>
      <c r="D143" s="1291"/>
      <c r="E143" s="1291">
        <v>20000000</v>
      </c>
      <c r="F143" s="1294">
        <f>SUM($E$81:E143)</f>
        <v>565000000</v>
      </c>
      <c r="G143" s="1294">
        <f t="shared" si="4"/>
        <v>530048759.22783297</v>
      </c>
      <c r="H143" s="1358"/>
      <c r="I143" s="1358">
        <v>17821.04</v>
      </c>
      <c r="J143" s="1492"/>
      <c r="K143" s="1343">
        <f t="shared" si="3"/>
        <v>19982178.960000001</v>
      </c>
      <c r="L143" s="1343">
        <f t="shared" si="5"/>
        <v>623885.15851805615</v>
      </c>
      <c r="M143" s="1344">
        <f t="shared" si="2"/>
        <v>623885.15851805615</v>
      </c>
      <c r="N143" s="1146"/>
      <c r="O143" s="1433"/>
      <c r="P143" s="1027"/>
      <c r="Q143" s="1293"/>
      <c r="R143" s="1432"/>
      <c r="T143" s="1304"/>
      <c r="U143" s="1284"/>
      <c r="V143" s="1284"/>
      <c r="W143" s="1284"/>
      <c r="X143" s="1284"/>
      <c r="Y143" s="1284"/>
      <c r="Z143" s="1284"/>
      <c r="AA143" s="1284"/>
      <c r="AB143" s="1284"/>
      <c r="AC143" s="1284"/>
      <c r="AD143" s="1284"/>
      <c r="AE143" s="1284"/>
      <c r="AF143" s="1284"/>
      <c r="AG143" s="1284"/>
      <c r="AH143" s="1284"/>
      <c r="AI143" s="1284"/>
      <c r="AJ143" s="1284"/>
      <c r="AK143" s="1284"/>
      <c r="AL143" s="1284"/>
      <c r="AM143" s="1284"/>
      <c r="AN143" s="1284"/>
      <c r="AO143" s="1284"/>
      <c r="AP143" s="1284"/>
      <c r="AQ143" s="1284"/>
      <c r="AR143" s="1284"/>
      <c r="AS143" s="1284"/>
      <c r="AT143" s="1284"/>
      <c r="AU143" s="1284"/>
    </row>
    <row r="144" spans="1:47" ht="15">
      <c r="A144" s="1277"/>
      <c r="B144" s="1296">
        <v>40269</v>
      </c>
      <c r="C144" s="1290" t="s">
        <v>702</v>
      </c>
      <c r="D144" s="1291"/>
      <c r="E144" s="1291"/>
      <c r="F144" s="1294">
        <f>SUM($E$81:E144)</f>
        <v>565000000</v>
      </c>
      <c r="G144" s="1294">
        <f t="shared" si="4"/>
        <v>550654823.34635115</v>
      </c>
      <c r="H144" s="1358"/>
      <c r="I144" s="1358"/>
      <c r="J144" s="1492">
        <v>255416.67</v>
      </c>
      <c r="K144" s="1343">
        <f t="shared" si="3"/>
        <v>-255416.67</v>
      </c>
      <c r="L144" s="1343">
        <f t="shared" si="5"/>
        <v>432008.07087257039</v>
      </c>
      <c r="M144" s="1344">
        <f t="shared" si="2"/>
        <v>432008.07087257039</v>
      </c>
      <c r="N144" s="1146"/>
      <c r="O144" s="1433"/>
      <c r="P144" s="1027"/>
      <c r="Q144" s="1293"/>
      <c r="R144" s="1432"/>
      <c r="U144" s="1284"/>
      <c r="V144" s="1284"/>
      <c r="W144" s="1284"/>
      <c r="X144" s="1284"/>
      <c r="Y144" s="1284"/>
      <c r="Z144" s="1284"/>
      <c r="AA144" s="1284"/>
      <c r="AB144" s="1284"/>
      <c r="AC144" s="1284"/>
      <c r="AD144" s="1284"/>
      <c r="AE144" s="1284"/>
      <c r="AF144" s="1284"/>
      <c r="AG144" s="1284"/>
      <c r="AH144" s="1284"/>
      <c r="AI144" s="1284"/>
      <c r="AJ144" s="1284"/>
      <c r="AK144" s="1284"/>
      <c r="AL144" s="1284"/>
      <c r="AM144" s="1284"/>
      <c r="AN144" s="1284"/>
      <c r="AO144" s="1284"/>
      <c r="AP144" s="1284"/>
      <c r="AQ144" s="1284"/>
      <c r="AR144" s="1284"/>
      <c r="AS144" s="1284"/>
      <c r="AT144" s="1284"/>
      <c r="AU144" s="1284"/>
    </row>
    <row r="145" spans="1:47" ht="15">
      <c r="A145" s="1277"/>
      <c r="B145" s="1296">
        <v>40273</v>
      </c>
      <c r="C145" s="1290" t="s">
        <v>702</v>
      </c>
      <c r="D145" s="1291"/>
      <c r="E145" s="1291"/>
      <c r="F145" s="1294">
        <f>SUM($E$81:E145)</f>
        <v>565000000</v>
      </c>
      <c r="G145" s="1294">
        <f t="shared" si="4"/>
        <v>550831414.74722373</v>
      </c>
      <c r="H145" s="1358"/>
      <c r="I145" s="1358">
        <v>123660.9</v>
      </c>
      <c r="J145" s="1291"/>
      <c r="K145" s="1343">
        <f t="shared" si="3"/>
        <v>-123660.9</v>
      </c>
      <c r="L145" s="1343">
        <f t="shared" si="5"/>
        <v>288060.08468483773</v>
      </c>
      <c r="M145" s="1344">
        <f t="shared" ref="M145:M208" si="6">+L145-H145</f>
        <v>288060.08468483773</v>
      </c>
      <c r="N145" s="1146"/>
      <c r="O145" s="1433"/>
      <c r="P145" s="1027"/>
      <c r="Q145" s="1293"/>
      <c r="R145" s="1432"/>
      <c r="S145" s="1147"/>
      <c r="U145" s="1284"/>
      <c r="V145" s="1284"/>
      <c r="W145" s="1284"/>
      <c r="X145" s="1284"/>
      <c r="Y145" s="1284"/>
      <c r="Z145" s="1284"/>
      <c r="AA145" s="1284"/>
      <c r="AB145" s="1284"/>
      <c r="AC145" s="1284"/>
      <c r="AD145" s="1284"/>
      <c r="AE145" s="1284"/>
      <c r="AF145" s="1284"/>
      <c r="AG145" s="1284"/>
      <c r="AH145" s="1284"/>
      <c r="AI145" s="1284"/>
      <c r="AJ145" s="1284"/>
      <c r="AK145" s="1284"/>
      <c r="AL145" s="1284"/>
      <c r="AM145" s="1284"/>
      <c r="AN145" s="1284"/>
      <c r="AO145" s="1284"/>
      <c r="AP145" s="1284"/>
      <c r="AQ145" s="1284"/>
      <c r="AR145" s="1284"/>
      <c r="AS145" s="1284"/>
      <c r="AT145" s="1284"/>
      <c r="AU145" s="1284"/>
    </row>
    <row r="146" spans="1:47" ht="15">
      <c r="A146" s="1277"/>
      <c r="B146" s="1296">
        <v>40275</v>
      </c>
      <c r="C146" s="1290" t="s">
        <v>702</v>
      </c>
      <c r="D146" s="1291"/>
      <c r="E146" s="1291"/>
      <c r="F146" s="1294">
        <f>SUM($E$81:E146)</f>
        <v>565000000</v>
      </c>
      <c r="G146" s="1294">
        <f t="shared" si="4"/>
        <v>550995813.93190861</v>
      </c>
      <c r="H146" s="1358"/>
      <c r="I146" s="1358">
        <f>50000+146250+5000</f>
        <v>201250</v>
      </c>
      <c r="J146" s="1291"/>
      <c r="K146" s="1343">
        <f t="shared" ref="K146:K206" si="7">E146-H146-I146-J146</f>
        <v>-201250</v>
      </c>
      <c r="L146" s="1343">
        <f t="shared" si="5"/>
        <v>144054.19802959863</v>
      </c>
      <c r="M146" s="1344">
        <f t="shared" si="6"/>
        <v>144054.19802959863</v>
      </c>
      <c r="N146" s="1146"/>
      <c r="O146" s="1433"/>
      <c r="P146" s="1027"/>
      <c r="Q146" s="1293"/>
      <c r="R146" s="1432"/>
      <c r="U146" s="1284"/>
      <c r="V146" s="1284"/>
      <c r="W146" s="1284"/>
      <c r="X146" s="1284"/>
      <c r="Y146" s="1284"/>
      <c r="Z146" s="1284"/>
      <c r="AA146" s="1284"/>
      <c r="AB146" s="1284"/>
      <c r="AC146" s="1284"/>
      <c r="AD146" s="1284"/>
      <c r="AE146" s="1284"/>
      <c r="AF146" s="1284"/>
      <c r="AG146" s="1284"/>
      <c r="AH146" s="1284"/>
      <c r="AI146" s="1284"/>
      <c r="AJ146" s="1284"/>
      <c r="AK146" s="1284"/>
      <c r="AL146" s="1284"/>
      <c r="AM146" s="1284"/>
      <c r="AN146" s="1284"/>
      <c r="AO146" s="1284"/>
      <c r="AP146" s="1284"/>
      <c r="AQ146" s="1284"/>
      <c r="AR146" s="1284"/>
      <c r="AS146" s="1284"/>
      <c r="AT146" s="1284"/>
      <c r="AU146" s="1284"/>
    </row>
    <row r="147" spans="1:47" ht="15">
      <c r="A147" s="1277"/>
      <c r="B147" s="1296">
        <v>40276</v>
      </c>
      <c r="C147" s="1290" t="s">
        <v>702</v>
      </c>
      <c r="D147" s="1291"/>
      <c r="E147" s="1291"/>
      <c r="F147" s="1294">
        <f>SUM($E$81:E147)</f>
        <v>565000000</v>
      </c>
      <c r="G147" s="1294">
        <f t="shared" si="4"/>
        <v>550938618.12993824</v>
      </c>
      <c r="H147" s="1358"/>
      <c r="I147" s="1358">
        <v>224587.75</v>
      </c>
      <c r="J147" s="1291"/>
      <c r="K147" s="1343">
        <f t="shared" si="7"/>
        <v>-224587.75</v>
      </c>
      <c r="L147" s="1343">
        <f t="shared" ref="L147:L210" si="8">G147*(POWER(1+$F$16,(B147-B146)/365)-1)</f>
        <v>72014.915635677622</v>
      </c>
      <c r="M147" s="1344">
        <f t="shared" si="6"/>
        <v>72014.915635677622</v>
      </c>
      <c r="N147" s="1146"/>
      <c r="O147" s="1433"/>
      <c r="P147" s="1027"/>
      <c r="Q147" s="1293"/>
      <c r="R147" s="1435"/>
      <c r="T147" s="1147"/>
      <c r="U147" s="1284"/>
      <c r="V147" s="1284"/>
      <c r="W147" s="1284"/>
      <c r="X147" s="1284"/>
      <c r="Y147" s="1284"/>
      <c r="Z147" s="1284"/>
      <c r="AA147" s="1284"/>
      <c r="AB147" s="1284"/>
      <c r="AC147" s="1284"/>
      <c r="AD147" s="1284"/>
      <c r="AE147" s="1284"/>
      <c r="AF147" s="1284"/>
      <c r="AG147" s="1284"/>
      <c r="AH147" s="1284"/>
      <c r="AI147" s="1284"/>
      <c r="AJ147" s="1284"/>
      <c r="AK147" s="1284"/>
      <c r="AL147" s="1284"/>
      <c r="AM147" s="1284"/>
      <c r="AN147" s="1284"/>
      <c r="AO147" s="1284"/>
      <c r="AP147" s="1284"/>
      <c r="AQ147" s="1284"/>
      <c r="AR147" s="1284"/>
      <c r="AS147" s="1284"/>
      <c r="AT147" s="1284"/>
      <c r="AU147" s="1284"/>
    </row>
    <row r="148" spans="1:47" ht="15">
      <c r="A148" s="1277"/>
      <c r="B148" s="1296">
        <v>40280</v>
      </c>
      <c r="C148" s="1290" t="s">
        <v>701</v>
      </c>
      <c r="D148" s="1291"/>
      <c r="E148" s="1291">
        <v>30000000</v>
      </c>
      <c r="F148" s="1294">
        <f>SUM($E$81:E148)</f>
        <v>595000000</v>
      </c>
      <c r="G148" s="1294">
        <f>G147+E147-I147-J147+M147</f>
        <v>550786045.29557395</v>
      </c>
      <c r="H148" s="1358"/>
      <c r="I148" s="1358"/>
      <c r="J148" s="1291"/>
      <c r="K148" s="1343">
        <f t="shared" si="7"/>
        <v>30000000</v>
      </c>
      <c r="L148" s="1343">
        <f t="shared" si="8"/>
        <v>288036.35849977558</v>
      </c>
      <c r="M148" s="1344">
        <f t="shared" si="6"/>
        <v>288036.35849977558</v>
      </c>
      <c r="N148" s="1146"/>
      <c r="O148" s="1433"/>
      <c r="P148" s="1027"/>
      <c r="Q148" s="1293"/>
      <c r="R148" s="1432"/>
      <c r="T148" s="1147"/>
      <c r="U148" s="1284"/>
      <c r="V148" s="1284"/>
      <c r="W148" s="1284"/>
      <c r="X148" s="1284"/>
      <c r="Y148" s="1284"/>
      <c r="Z148" s="1284"/>
      <c r="AA148" s="1284"/>
      <c r="AB148" s="1284"/>
      <c r="AC148" s="1284"/>
      <c r="AD148" s="1284"/>
      <c r="AE148" s="1284"/>
      <c r="AF148" s="1284"/>
      <c r="AG148" s="1284"/>
      <c r="AH148" s="1284"/>
      <c r="AI148" s="1284"/>
      <c r="AJ148" s="1284"/>
      <c r="AK148" s="1284"/>
      <c r="AL148" s="1284"/>
      <c r="AM148" s="1284"/>
      <c r="AN148" s="1284"/>
      <c r="AO148" s="1284"/>
      <c r="AP148" s="1284"/>
      <c r="AQ148" s="1284"/>
      <c r="AR148" s="1284"/>
      <c r="AS148" s="1284"/>
      <c r="AT148" s="1284"/>
      <c r="AU148" s="1284"/>
    </row>
    <row r="149" spans="1:47" ht="15">
      <c r="A149" s="1277"/>
      <c r="B149" s="1296">
        <v>40282</v>
      </c>
      <c r="C149" s="1290" t="s">
        <v>702</v>
      </c>
      <c r="D149" s="1291"/>
      <c r="E149" s="1291"/>
      <c r="F149" s="1294">
        <f>SUM($E$81:E149)</f>
        <v>595000000</v>
      </c>
      <c r="G149" s="1294">
        <f>G148+E148-I148-J148+M148</f>
        <v>581074081.65407372</v>
      </c>
      <c r="H149" s="1358"/>
      <c r="I149" s="1358">
        <f>190310.74+3824</f>
        <v>194134.74</v>
      </c>
      <c r="J149" s="1291"/>
      <c r="K149" s="1343">
        <f t="shared" si="7"/>
        <v>-194134.74</v>
      </c>
      <c r="L149" s="1343">
        <f t="shared" si="8"/>
        <v>151917.96146532506</v>
      </c>
      <c r="M149" s="1344">
        <f t="shared" si="6"/>
        <v>151917.96146532506</v>
      </c>
      <c r="N149" s="1146"/>
      <c r="O149" s="1433"/>
      <c r="P149" s="1027"/>
      <c r="Q149" s="1293"/>
      <c r="R149" s="1432"/>
      <c r="T149" s="1147"/>
      <c r="U149" s="1284"/>
      <c r="V149" s="1284"/>
      <c r="W149" s="1284"/>
      <c r="X149" s="1284"/>
      <c r="Y149" s="1284"/>
      <c r="Z149" s="1284"/>
      <c r="AA149" s="1284"/>
      <c r="AB149" s="1284"/>
      <c r="AC149" s="1284"/>
      <c r="AD149" s="1284"/>
      <c r="AE149" s="1284"/>
      <c r="AF149" s="1284"/>
      <c r="AG149" s="1284"/>
      <c r="AH149" s="1284"/>
      <c r="AI149" s="1284"/>
      <c r="AJ149" s="1284"/>
      <c r="AK149" s="1284"/>
      <c r="AL149" s="1284"/>
      <c r="AM149" s="1284"/>
      <c r="AN149" s="1284"/>
      <c r="AO149" s="1284"/>
      <c r="AP149" s="1284"/>
      <c r="AQ149" s="1284"/>
      <c r="AR149" s="1284"/>
      <c r="AS149" s="1284"/>
      <c r="AT149" s="1284"/>
      <c r="AU149" s="1284"/>
    </row>
    <row r="150" spans="1:47" ht="15">
      <c r="A150" s="1277"/>
      <c r="B150" s="1296">
        <v>40289</v>
      </c>
      <c r="C150" s="1290" t="s">
        <v>702</v>
      </c>
      <c r="D150" s="1291"/>
      <c r="E150" s="1291"/>
      <c r="F150" s="1294">
        <f>SUM($E$81:E150)</f>
        <v>595000000</v>
      </c>
      <c r="G150" s="1294">
        <f>G149+E149-I149-J149+M149</f>
        <v>581031864.87553906</v>
      </c>
      <c r="H150" s="1358"/>
      <c r="I150" s="1358">
        <v>18977.41</v>
      </c>
      <c r="J150" s="1291"/>
      <c r="K150" s="1343">
        <f t="shared" si="7"/>
        <v>-18977.41</v>
      </c>
      <c r="L150" s="1343">
        <f t="shared" si="8"/>
        <v>531848.01067909971</v>
      </c>
      <c r="M150" s="1344">
        <f t="shared" si="6"/>
        <v>531848.01067909971</v>
      </c>
      <c r="N150" s="1146"/>
      <c r="O150" s="1433"/>
      <c r="P150" s="1027"/>
      <c r="Q150" s="1293"/>
      <c r="R150" s="1435"/>
      <c r="T150" s="1147"/>
      <c r="U150" s="1284"/>
      <c r="V150" s="1284"/>
      <c r="W150" s="1284"/>
      <c r="X150" s="1284"/>
      <c r="Y150" s="1284"/>
      <c r="Z150" s="1284"/>
      <c r="AA150" s="1284"/>
      <c r="AB150" s="1284"/>
      <c r="AC150" s="1284"/>
      <c r="AD150" s="1284"/>
      <c r="AE150" s="1284"/>
      <c r="AF150" s="1284"/>
      <c r="AG150" s="1284"/>
      <c r="AH150" s="1284"/>
      <c r="AI150" s="1284"/>
      <c r="AJ150" s="1284"/>
      <c r="AK150" s="1284"/>
      <c r="AL150" s="1284"/>
      <c r="AM150" s="1284"/>
      <c r="AN150" s="1284"/>
      <c r="AO150" s="1284"/>
      <c r="AP150" s="1284"/>
      <c r="AQ150" s="1284"/>
      <c r="AR150" s="1284"/>
      <c r="AS150" s="1284"/>
      <c r="AT150" s="1284"/>
      <c r="AU150" s="1284"/>
    </row>
    <row r="151" spans="1:47" ht="15">
      <c r="A151" s="1277"/>
      <c r="B151" s="1296">
        <v>40294</v>
      </c>
      <c r="C151" s="1290" t="s">
        <v>702</v>
      </c>
      <c r="D151" s="1291"/>
      <c r="E151" s="1291">
        <v>-65000000</v>
      </c>
      <c r="F151" s="1294">
        <f>SUM($E$81:E151)</f>
        <v>530000000</v>
      </c>
      <c r="G151" s="1294">
        <f>G150+E150-I150-J150+M150</f>
        <v>581544735.47621822</v>
      </c>
      <c r="H151" s="1358">
        <v>369573.75</v>
      </c>
      <c r="I151" s="1358"/>
      <c r="J151" s="1291"/>
      <c r="K151" s="1343">
        <f t="shared" si="7"/>
        <v>-65369573.75</v>
      </c>
      <c r="L151" s="1343">
        <f t="shared" si="8"/>
        <v>380177.06166665797</v>
      </c>
      <c r="M151" s="1344">
        <f t="shared" si="6"/>
        <v>10603.311666657974</v>
      </c>
      <c r="N151" s="1146"/>
      <c r="O151" s="1431"/>
      <c r="P151" s="1436"/>
      <c r="Q151" s="1293"/>
      <c r="R151" s="1435"/>
      <c r="S151" s="1284"/>
      <c r="T151" s="1346"/>
      <c r="U151" s="1284"/>
      <c r="V151" s="1284"/>
      <c r="W151" s="1284"/>
      <c r="X151" s="1284"/>
      <c r="Y151" s="1284"/>
      <c r="Z151" s="1284"/>
      <c r="AA151" s="1284"/>
      <c r="AB151" s="1284"/>
      <c r="AC151" s="1284"/>
      <c r="AD151" s="1284"/>
      <c r="AE151" s="1284"/>
      <c r="AF151" s="1284"/>
      <c r="AG151" s="1284"/>
      <c r="AH151" s="1284"/>
      <c r="AI151" s="1284"/>
      <c r="AJ151" s="1284"/>
      <c r="AK151" s="1284"/>
      <c r="AL151" s="1284"/>
      <c r="AM151" s="1284"/>
      <c r="AN151" s="1284"/>
      <c r="AO151" s="1284"/>
      <c r="AP151" s="1284"/>
      <c r="AQ151" s="1284"/>
      <c r="AR151" s="1284"/>
      <c r="AS151" s="1284"/>
      <c r="AT151" s="1284"/>
      <c r="AU151" s="1284"/>
    </row>
    <row r="152" spans="1:47" ht="15">
      <c r="A152" s="1277"/>
      <c r="B152" s="1296">
        <v>40294</v>
      </c>
      <c r="C152" s="1290" t="s">
        <v>702</v>
      </c>
      <c r="D152" s="1291"/>
      <c r="E152" s="1291">
        <v>65000000</v>
      </c>
      <c r="F152" s="1294">
        <f>SUM($E$81:E152)</f>
        <v>595000000</v>
      </c>
      <c r="G152" s="1294">
        <f t="shared" si="4"/>
        <v>516555338.78788489</v>
      </c>
      <c r="H152" s="1358">
        <v>55920.56</v>
      </c>
      <c r="I152" s="1358"/>
      <c r="J152" s="1291"/>
      <c r="K152" s="1343">
        <f t="shared" si="7"/>
        <v>64944079.439999998</v>
      </c>
      <c r="L152" s="1343">
        <f t="shared" si="8"/>
        <v>0</v>
      </c>
      <c r="M152" s="1344">
        <f t="shared" si="6"/>
        <v>-55920.56</v>
      </c>
      <c r="N152" s="1146"/>
      <c r="O152" s="1431"/>
      <c r="P152" s="1436"/>
      <c r="Q152" s="1293"/>
      <c r="R152" s="1435"/>
      <c r="S152" s="1284"/>
      <c r="T152" s="1346"/>
      <c r="U152" s="1284"/>
      <c r="V152" s="1284"/>
      <c r="W152" s="1284"/>
      <c r="X152" s="1284"/>
      <c r="Y152" s="1284"/>
      <c r="Z152" s="1284"/>
      <c r="AA152" s="1284"/>
      <c r="AB152" s="1284"/>
      <c r="AC152" s="1284"/>
      <c r="AD152" s="1284"/>
      <c r="AE152" s="1284"/>
      <c r="AF152" s="1284"/>
      <c r="AG152" s="1284"/>
      <c r="AH152" s="1284"/>
      <c r="AI152" s="1284"/>
      <c r="AJ152" s="1284"/>
      <c r="AK152" s="1284"/>
      <c r="AL152" s="1284"/>
      <c r="AM152" s="1284"/>
      <c r="AN152" s="1284"/>
      <c r="AO152" s="1284"/>
      <c r="AP152" s="1284"/>
      <c r="AQ152" s="1284"/>
      <c r="AR152" s="1284"/>
      <c r="AS152" s="1284"/>
      <c r="AT152" s="1284"/>
      <c r="AU152" s="1284"/>
    </row>
    <row r="153" spans="1:47" ht="15">
      <c r="A153" s="1277"/>
      <c r="B153" s="1296">
        <v>40296</v>
      </c>
      <c r="C153" s="1290" t="s">
        <v>702</v>
      </c>
      <c r="D153" s="1291"/>
      <c r="E153" s="1291"/>
      <c r="F153" s="1294">
        <f>SUM($E$81:E153)</f>
        <v>595000000</v>
      </c>
      <c r="G153" s="1294">
        <f t="shared" si="4"/>
        <v>581499418.22788501</v>
      </c>
      <c r="H153" s="1358">
        <v>0</v>
      </c>
      <c r="I153" s="1358">
        <v>2300.79</v>
      </c>
      <c r="J153" s="1291"/>
      <c r="K153" s="1343">
        <f>E153-H153-I153-J153</f>
        <v>-2300.79</v>
      </c>
      <c r="L153" s="1343">
        <f t="shared" si="8"/>
        <v>152029.16288915405</v>
      </c>
      <c r="M153" s="1344">
        <f t="shared" si="6"/>
        <v>152029.16288915405</v>
      </c>
      <c r="N153" s="1146"/>
      <c r="O153" s="1431"/>
      <c r="P153" s="1436"/>
      <c r="Q153" s="1293"/>
      <c r="R153" s="1435"/>
      <c r="S153" s="1284"/>
      <c r="T153" s="1346"/>
      <c r="U153" s="1284"/>
      <c r="V153" s="1284"/>
      <c r="W153" s="1284"/>
      <c r="X153" s="1284"/>
      <c r="Y153" s="1284"/>
      <c r="Z153" s="1284"/>
      <c r="AA153" s="1284"/>
      <c r="AB153" s="1284"/>
      <c r="AC153" s="1284"/>
      <c r="AD153" s="1284"/>
      <c r="AE153" s="1284"/>
      <c r="AF153" s="1284"/>
      <c r="AG153" s="1284"/>
      <c r="AH153" s="1284"/>
      <c r="AI153" s="1284"/>
      <c r="AJ153" s="1284"/>
      <c r="AK153" s="1284"/>
      <c r="AL153" s="1284"/>
      <c r="AM153" s="1284"/>
      <c r="AN153" s="1284"/>
      <c r="AO153" s="1284"/>
      <c r="AP153" s="1284"/>
      <c r="AQ153" s="1284"/>
      <c r="AR153" s="1284"/>
      <c r="AS153" s="1284"/>
      <c r="AT153" s="1284"/>
      <c r="AU153" s="1284"/>
    </row>
    <row r="154" spans="1:47" ht="15">
      <c r="A154" s="1277"/>
      <c r="B154" s="1296">
        <v>40298</v>
      </c>
      <c r="C154" s="1290" t="s">
        <v>702</v>
      </c>
      <c r="D154" s="1291"/>
      <c r="E154" s="1291"/>
      <c r="F154" s="1294">
        <f>SUM($E$81:E154)</f>
        <v>595000000</v>
      </c>
      <c r="G154" s="1294">
        <f t="shared" si="4"/>
        <v>581649146.60077417</v>
      </c>
      <c r="H154" s="1358"/>
      <c r="I154" s="1358">
        <v>2156.6999999999998</v>
      </c>
      <c r="J154" s="1291"/>
      <c r="K154" s="1343">
        <f t="shared" si="7"/>
        <v>-2156.6999999999998</v>
      </c>
      <c r="L154" s="1343">
        <f t="shared" si="8"/>
        <v>152068.30837834554</v>
      </c>
      <c r="M154" s="1344">
        <f t="shared" si="6"/>
        <v>152068.30837834554</v>
      </c>
      <c r="N154" s="1146"/>
      <c r="O154" s="1431"/>
      <c r="P154" s="1436"/>
      <c r="Q154" s="1293"/>
      <c r="R154" s="1435"/>
      <c r="S154" s="1284"/>
      <c r="T154" s="1346"/>
      <c r="U154" s="1284"/>
      <c r="V154" s="1284"/>
      <c r="W154" s="1284"/>
      <c r="X154" s="1284"/>
      <c r="Y154" s="1284"/>
      <c r="Z154" s="1284"/>
      <c r="AA154" s="1284"/>
      <c r="AB154" s="1284"/>
      <c r="AC154" s="1284"/>
      <c r="AD154" s="1284"/>
      <c r="AE154" s="1284"/>
      <c r="AF154" s="1284"/>
      <c r="AG154" s="1284"/>
      <c r="AH154" s="1284"/>
      <c r="AI154" s="1284"/>
      <c r="AJ154" s="1284"/>
      <c r="AK154" s="1284"/>
      <c r="AL154" s="1284"/>
      <c r="AM154" s="1284"/>
      <c r="AN154" s="1284"/>
      <c r="AO154" s="1284"/>
      <c r="AP154" s="1284"/>
      <c r="AQ154" s="1284"/>
      <c r="AR154" s="1284"/>
      <c r="AS154" s="1284"/>
      <c r="AT154" s="1284"/>
      <c r="AU154" s="1284"/>
    </row>
    <row r="155" spans="1:47" ht="15">
      <c r="A155" s="1277"/>
      <c r="B155" s="1296">
        <v>40305</v>
      </c>
      <c r="C155" s="1290" t="s">
        <v>702</v>
      </c>
      <c r="D155" s="1291"/>
      <c r="E155" s="1292">
        <v>30000000</v>
      </c>
      <c r="F155" s="1294">
        <f>SUM($E$81:E155)</f>
        <v>625000000</v>
      </c>
      <c r="G155" s="1294">
        <f t="shared" si="4"/>
        <v>581799058.20915246</v>
      </c>
      <c r="H155" s="1358"/>
      <c r="I155" s="1358"/>
      <c r="J155" s="1291"/>
      <c r="K155" s="1343">
        <f t="shared" si="7"/>
        <v>30000000</v>
      </c>
      <c r="L155" s="1343">
        <f t="shared" si="8"/>
        <v>532550.26174819714</v>
      </c>
      <c r="M155" s="1344">
        <f t="shared" si="6"/>
        <v>532550.26174819714</v>
      </c>
      <c r="N155" s="1146"/>
      <c r="O155" s="1431"/>
      <c r="P155" s="1436"/>
      <c r="Q155" s="1293"/>
      <c r="R155" s="1435"/>
      <c r="S155" s="1284"/>
      <c r="T155" s="1346"/>
      <c r="U155" s="1284"/>
      <c r="V155" s="1284"/>
      <c r="W155" s="1284"/>
      <c r="X155" s="1284"/>
      <c r="Y155" s="1284"/>
      <c r="Z155" s="1284"/>
      <c r="AA155" s="1284"/>
      <c r="AB155" s="1284"/>
      <c r="AC155" s="1284"/>
      <c r="AD155" s="1284"/>
      <c r="AE155" s="1284"/>
      <c r="AF155" s="1284"/>
      <c r="AG155" s="1284"/>
      <c r="AH155" s="1284"/>
      <c r="AI155" s="1284"/>
      <c r="AJ155" s="1284"/>
      <c r="AK155" s="1284"/>
      <c r="AL155" s="1284"/>
      <c r="AM155" s="1284"/>
      <c r="AN155" s="1284"/>
      <c r="AO155" s="1284"/>
      <c r="AP155" s="1284"/>
      <c r="AQ155" s="1284"/>
      <c r="AR155" s="1284"/>
      <c r="AS155" s="1284"/>
      <c r="AT155" s="1284"/>
      <c r="AU155" s="1284"/>
    </row>
    <row r="156" spans="1:47" ht="15">
      <c r="A156" s="1277"/>
      <c r="B156" s="1296">
        <v>40310</v>
      </c>
      <c r="C156" s="1290" t="s">
        <v>702</v>
      </c>
      <c r="D156" s="1291"/>
      <c r="E156" s="1291">
        <v>-80000000</v>
      </c>
      <c r="F156" s="1294">
        <f>SUM($E$81:E156)</f>
        <v>545000000</v>
      </c>
      <c r="G156" s="1294">
        <f t="shared" si="4"/>
        <v>612331608.47090065</v>
      </c>
      <c r="H156" s="1358"/>
      <c r="I156" s="1358"/>
      <c r="J156" s="1291"/>
      <c r="K156" s="1343">
        <f t="shared" si="7"/>
        <v>-80000000</v>
      </c>
      <c r="L156" s="1343">
        <f t="shared" si="8"/>
        <v>400303.56647189596</v>
      </c>
      <c r="M156" s="1344">
        <f t="shared" si="6"/>
        <v>400303.56647189596</v>
      </c>
      <c r="N156" s="1146"/>
      <c r="O156" s="1431"/>
      <c r="P156" s="1436"/>
      <c r="Q156" s="1293"/>
      <c r="R156" s="1435"/>
      <c r="S156" s="1284"/>
      <c r="T156" s="1346"/>
      <c r="U156" s="1284"/>
      <c r="V156" s="1284"/>
      <c r="W156" s="1284"/>
      <c r="X156" s="1284"/>
      <c r="Y156" s="1284"/>
      <c r="Z156" s="1284"/>
      <c r="AA156" s="1284"/>
      <c r="AB156" s="1284"/>
      <c r="AC156" s="1284"/>
      <c r="AD156" s="1284"/>
      <c r="AE156" s="1284"/>
      <c r="AF156" s="1284"/>
      <c r="AG156" s="1284"/>
      <c r="AH156" s="1284"/>
      <c r="AI156" s="1284"/>
      <c r="AJ156" s="1284"/>
      <c r="AK156" s="1284"/>
      <c r="AL156" s="1284"/>
      <c r="AM156" s="1284"/>
      <c r="AN156" s="1284"/>
      <c r="AO156" s="1284"/>
      <c r="AP156" s="1284"/>
      <c r="AQ156" s="1284"/>
      <c r="AR156" s="1284"/>
      <c r="AS156" s="1284"/>
      <c r="AT156" s="1284"/>
      <c r="AU156" s="1284"/>
    </row>
    <row r="157" spans="1:47" ht="15">
      <c r="A157" s="1277"/>
      <c r="B157" s="1296">
        <v>40310</v>
      </c>
      <c r="C157" s="1290" t="s">
        <v>702</v>
      </c>
      <c r="D157" s="1291"/>
      <c r="E157" s="1292">
        <v>80000000</v>
      </c>
      <c r="F157" s="1294">
        <f>SUM($E$81:E157)</f>
        <v>625000000</v>
      </c>
      <c r="G157" s="1294">
        <f t="shared" ref="G157:G213" si="9">G156+E156-I156-J156+M156</f>
        <v>532731912.03737253</v>
      </c>
      <c r="H157" s="1358">
        <v>160694.44</v>
      </c>
      <c r="I157" s="1358"/>
      <c r="J157" s="1291"/>
      <c r="K157" s="1343">
        <f t="shared" si="7"/>
        <v>79839305.560000002</v>
      </c>
      <c r="L157" s="1343">
        <f t="shared" si="8"/>
        <v>0</v>
      </c>
      <c r="M157" s="1344">
        <f t="shared" si="6"/>
        <v>-160694.44</v>
      </c>
      <c r="N157" s="1146"/>
      <c r="O157" s="1431"/>
      <c r="P157" s="1436"/>
      <c r="Q157" s="1293"/>
      <c r="R157" s="1435"/>
      <c r="S157" s="1284"/>
      <c r="T157" s="1346"/>
      <c r="U157" s="1284"/>
      <c r="V157" s="1284"/>
      <c r="W157" s="1284"/>
      <c r="X157" s="1284"/>
      <c r="Y157" s="1284"/>
      <c r="Z157" s="1284"/>
      <c r="AA157" s="1284"/>
      <c r="AB157" s="1284"/>
      <c r="AC157" s="1284"/>
      <c r="AD157" s="1284"/>
      <c r="AE157" s="1284"/>
      <c r="AF157" s="1284"/>
      <c r="AG157" s="1284"/>
      <c r="AH157" s="1284"/>
      <c r="AI157" s="1284"/>
      <c r="AJ157" s="1284"/>
      <c r="AK157" s="1284"/>
      <c r="AL157" s="1284"/>
      <c r="AM157" s="1284"/>
      <c r="AN157" s="1284"/>
      <c r="AO157" s="1284"/>
      <c r="AP157" s="1284"/>
      <c r="AQ157" s="1284"/>
      <c r="AR157" s="1284"/>
      <c r="AS157" s="1284"/>
      <c r="AT157" s="1284"/>
      <c r="AU157" s="1284"/>
    </row>
    <row r="158" spans="1:47" ht="15">
      <c r="A158" s="1277"/>
      <c r="B158" s="1296">
        <v>40310</v>
      </c>
      <c r="C158" s="1290" t="s">
        <v>702</v>
      </c>
      <c r="D158" s="1291"/>
      <c r="E158" s="1291"/>
      <c r="F158" s="1294">
        <f>SUM($E$81:E158)</f>
        <v>625000000</v>
      </c>
      <c r="G158" s="1294">
        <f t="shared" si="9"/>
        <v>612571217.59737253</v>
      </c>
      <c r="H158" s="1358">
        <v>81275</v>
      </c>
      <c r="I158" s="1358"/>
      <c r="J158" s="1291"/>
      <c r="K158" s="1343">
        <f t="shared" si="7"/>
        <v>-81275</v>
      </c>
      <c r="L158" s="1343">
        <f t="shared" si="8"/>
        <v>0</v>
      </c>
      <c r="M158" s="1344">
        <f t="shared" si="6"/>
        <v>-81275</v>
      </c>
      <c r="N158" s="1146"/>
      <c r="O158" s="1431"/>
      <c r="P158" s="1436"/>
      <c r="Q158" s="1293"/>
      <c r="R158" s="1435"/>
      <c r="T158" s="1346"/>
      <c r="U158" s="1284"/>
      <c r="V158" s="1284"/>
      <c r="W158" s="1284"/>
      <c r="X158" s="1284"/>
      <c r="Y158" s="1284"/>
      <c r="Z158" s="1284"/>
      <c r="AA158" s="1284"/>
      <c r="AB158" s="1284"/>
      <c r="AC158" s="1284"/>
      <c r="AD158" s="1284"/>
      <c r="AE158" s="1284"/>
      <c r="AF158" s="1284"/>
      <c r="AG158" s="1284"/>
      <c r="AH158" s="1284"/>
      <c r="AI158" s="1284"/>
      <c r="AJ158" s="1284"/>
      <c r="AK158" s="1284"/>
      <c r="AL158" s="1284"/>
      <c r="AM158" s="1284"/>
      <c r="AN158" s="1284"/>
      <c r="AO158" s="1284"/>
      <c r="AP158" s="1284"/>
      <c r="AQ158" s="1284"/>
      <c r="AR158" s="1284"/>
      <c r="AS158" s="1284"/>
      <c r="AT158" s="1284"/>
      <c r="AU158" s="1284"/>
    </row>
    <row r="159" spans="1:47" ht="15">
      <c r="A159" s="1277"/>
      <c r="B159" s="1296">
        <v>40310</v>
      </c>
      <c r="C159" s="1290" t="s">
        <v>702</v>
      </c>
      <c r="D159" s="1291"/>
      <c r="E159" s="1291"/>
      <c r="F159" s="1294">
        <f>SUM($E$81:E159)</f>
        <v>625000000</v>
      </c>
      <c r="G159" s="1294">
        <f t="shared" si="9"/>
        <v>612489942.59737253</v>
      </c>
      <c r="H159" s="1358">
        <v>170100</v>
      </c>
      <c r="I159" s="1358"/>
      <c r="J159" s="1291"/>
      <c r="K159" s="1343">
        <f t="shared" si="7"/>
        <v>-170100</v>
      </c>
      <c r="L159" s="1343">
        <f t="shared" si="8"/>
        <v>0</v>
      </c>
      <c r="M159" s="1344">
        <f t="shared" si="6"/>
        <v>-170100</v>
      </c>
      <c r="N159" s="1146"/>
      <c r="O159" s="1431"/>
      <c r="P159" s="1436"/>
      <c r="Q159" s="1293"/>
      <c r="R159" s="1435"/>
      <c r="T159" s="1346"/>
      <c r="U159" s="1284"/>
      <c r="V159" s="1284"/>
      <c r="W159" s="1284"/>
      <c r="X159" s="1284"/>
      <c r="Y159" s="1284"/>
      <c r="Z159" s="1284"/>
      <c r="AA159" s="1284"/>
      <c r="AB159" s="1284"/>
      <c r="AC159" s="1284"/>
      <c r="AD159" s="1284"/>
      <c r="AE159" s="1284"/>
      <c r="AF159" s="1284"/>
      <c r="AG159" s="1284"/>
      <c r="AH159" s="1284"/>
      <c r="AI159" s="1284"/>
      <c r="AJ159" s="1284"/>
      <c r="AK159" s="1284"/>
      <c r="AL159" s="1284"/>
      <c r="AM159" s="1284"/>
      <c r="AN159" s="1284"/>
      <c r="AO159" s="1284"/>
      <c r="AP159" s="1284"/>
      <c r="AQ159" s="1284"/>
      <c r="AR159" s="1284"/>
      <c r="AS159" s="1284"/>
      <c r="AT159" s="1284"/>
      <c r="AU159" s="1284"/>
    </row>
    <row r="160" spans="1:47" ht="15">
      <c r="A160" s="1277"/>
      <c r="B160" s="1296">
        <v>40318</v>
      </c>
      <c r="C160" s="1290" t="s">
        <v>702</v>
      </c>
      <c r="D160" s="1291"/>
      <c r="E160" s="1291"/>
      <c r="F160" s="1294">
        <f>SUM($E$81:E160)</f>
        <v>625000000</v>
      </c>
      <c r="G160" s="1294">
        <f t="shared" si="9"/>
        <v>612319842.59737253</v>
      </c>
      <c r="H160" s="1358"/>
      <c r="I160" s="1358">
        <v>182500</v>
      </c>
      <c r="J160" s="1291"/>
      <c r="K160" s="1343">
        <f t="shared" si="7"/>
        <v>-182500</v>
      </c>
      <c r="L160" s="1343">
        <f t="shared" si="8"/>
        <v>640598.99882330082</v>
      </c>
      <c r="M160" s="1344">
        <f t="shared" si="6"/>
        <v>640598.99882330082</v>
      </c>
      <c r="N160" s="1146"/>
      <c r="O160" s="1431"/>
      <c r="P160" s="1436"/>
      <c r="Q160" s="1293"/>
      <c r="R160" s="1435"/>
      <c r="T160" s="1346"/>
      <c r="U160" s="1284"/>
      <c r="V160" s="1284"/>
      <c r="W160" s="1284"/>
      <c r="X160" s="1284"/>
      <c r="Y160" s="1284"/>
      <c r="Z160" s="1284"/>
      <c r="AA160" s="1284"/>
      <c r="AB160" s="1284"/>
      <c r="AC160" s="1284"/>
      <c r="AD160" s="1284"/>
      <c r="AE160" s="1284"/>
      <c r="AF160" s="1284"/>
      <c r="AG160" s="1284"/>
      <c r="AH160" s="1284"/>
      <c r="AI160" s="1284"/>
      <c r="AJ160" s="1284"/>
      <c r="AK160" s="1284"/>
      <c r="AL160" s="1284"/>
      <c r="AM160" s="1284"/>
      <c r="AN160" s="1284"/>
      <c r="AO160" s="1284"/>
      <c r="AP160" s="1284"/>
      <c r="AQ160" s="1284"/>
      <c r="AR160" s="1284"/>
      <c r="AS160" s="1284"/>
      <c r="AT160" s="1284"/>
      <c r="AU160" s="1284"/>
    </row>
    <row r="161" spans="1:47" ht="15">
      <c r="A161" s="1277"/>
      <c r="B161" s="1296">
        <v>40324</v>
      </c>
      <c r="C161" s="1290" t="s">
        <v>702</v>
      </c>
      <c r="D161" s="1291"/>
      <c r="E161" s="1291">
        <v>20000000</v>
      </c>
      <c r="F161" s="1294">
        <f>SUM($E$81:E161)</f>
        <v>645000000</v>
      </c>
      <c r="G161" s="1294">
        <f t="shared" si="9"/>
        <v>612777941.59619582</v>
      </c>
      <c r="H161" s="1358"/>
      <c r="I161" s="1358"/>
      <c r="J161" s="1291"/>
      <c r="K161" s="1343">
        <f t="shared" si="7"/>
        <v>20000000</v>
      </c>
      <c r="L161" s="1343">
        <f t="shared" si="8"/>
        <v>480745.84149375604</v>
      </c>
      <c r="M161" s="1344">
        <f t="shared" si="6"/>
        <v>480745.84149375604</v>
      </c>
      <c r="N161" s="1146"/>
      <c r="O161" s="1431"/>
      <c r="P161" s="1436"/>
      <c r="Q161" s="1293"/>
      <c r="R161" s="1435"/>
      <c r="S161" s="1284"/>
      <c r="T161" s="1346"/>
      <c r="U161" s="1284"/>
      <c r="V161" s="1284"/>
      <c r="W161" s="1284"/>
      <c r="X161" s="1284"/>
      <c r="Y161" s="1284"/>
      <c r="Z161" s="1284"/>
      <c r="AA161" s="1284"/>
      <c r="AB161" s="1284"/>
      <c r="AC161" s="1284"/>
      <c r="AD161" s="1284"/>
      <c r="AE161" s="1284"/>
      <c r="AF161" s="1284"/>
      <c r="AG161" s="1284"/>
      <c r="AH161" s="1284"/>
      <c r="AI161" s="1284"/>
      <c r="AJ161" s="1284"/>
      <c r="AK161" s="1284"/>
      <c r="AL161" s="1284"/>
      <c r="AM161" s="1284"/>
      <c r="AN161" s="1284"/>
      <c r="AO161" s="1284"/>
      <c r="AP161" s="1284"/>
      <c r="AQ161" s="1284"/>
      <c r="AR161" s="1284"/>
      <c r="AS161" s="1284"/>
      <c r="AT161" s="1284"/>
      <c r="AU161" s="1284"/>
    </row>
    <row r="162" spans="1:47" ht="15">
      <c r="A162" s="1277"/>
      <c r="B162" s="1296">
        <v>40343</v>
      </c>
      <c r="C162" s="1290" t="s">
        <v>702</v>
      </c>
      <c r="D162" s="1291"/>
      <c r="E162" s="1291"/>
      <c r="F162" s="1294">
        <f>SUM($E$81:E162)</f>
        <v>645000000</v>
      </c>
      <c r="G162" s="1294">
        <f t="shared" si="9"/>
        <v>633258687.43768954</v>
      </c>
      <c r="H162" s="1358"/>
      <c r="I162" s="1358">
        <f>71.58+150000</f>
        <v>150071.57999999999</v>
      </c>
      <c r="J162" s="1291"/>
      <c r="K162" s="1343">
        <f t="shared" si="7"/>
        <v>-150071.57999999999</v>
      </c>
      <c r="L162" s="1343">
        <f t="shared" si="8"/>
        <v>1574580.9328210526</v>
      </c>
      <c r="M162" s="1344">
        <f t="shared" si="6"/>
        <v>1574580.9328210526</v>
      </c>
      <c r="N162" s="1146"/>
      <c r="O162" s="1431"/>
      <c r="P162" s="1436"/>
      <c r="Q162" s="1293"/>
      <c r="R162" s="1435"/>
      <c r="S162" s="1284"/>
      <c r="T162" s="1346"/>
      <c r="U162" s="1284"/>
      <c r="V162" s="1284"/>
      <c r="W162" s="1284"/>
      <c r="X162" s="1284"/>
      <c r="Y162" s="1284"/>
      <c r="Z162" s="1284"/>
      <c r="AA162" s="1284"/>
      <c r="AB162" s="1284"/>
      <c r="AC162" s="1284"/>
      <c r="AD162" s="1284"/>
      <c r="AE162" s="1284"/>
      <c r="AF162" s="1284"/>
      <c r="AG162" s="1284"/>
      <c r="AH162" s="1284"/>
      <c r="AI162" s="1284"/>
      <c r="AJ162" s="1284"/>
      <c r="AK162" s="1284"/>
      <c r="AL162" s="1284"/>
      <c r="AM162" s="1284"/>
      <c r="AN162" s="1284"/>
      <c r="AO162" s="1284"/>
      <c r="AP162" s="1284"/>
      <c r="AQ162" s="1284"/>
      <c r="AR162" s="1284"/>
      <c r="AS162" s="1284"/>
      <c r="AT162" s="1284"/>
      <c r="AU162" s="1284"/>
    </row>
    <row r="163" spans="1:47" ht="15">
      <c r="A163" s="1277"/>
      <c r="B163" s="1296">
        <v>40360</v>
      </c>
      <c r="C163" s="1290" t="s">
        <v>703</v>
      </c>
      <c r="D163" s="1291"/>
      <c r="E163" s="1291"/>
      <c r="F163" s="1294">
        <f>SUM($E$81:E163)</f>
        <v>645000000</v>
      </c>
      <c r="G163" s="1294">
        <f t="shared" si="9"/>
        <v>634683196.79051054</v>
      </c>
      <c r="H163" s="1358"/>
      <c r="I163" s="1358"/>
      <c r="J163" s="1291">
        <v>230763.89</v>
      </c>
      <c r="K163" s="1343">
        <f t="shared" si="7"/>
        <v>-230763.89</v>
      </c>
      <c r="L163" s="1343">
        <f t="shared" si="8"/>
        <v>1411820.1177927291</v>
      </c>
      <c r="M163" s="1344">
        <f t="shared" si="6"/>
        <v>1411820.1177927291</v>
      </c>
      <c r="N163" s="1146"/>
      <c r="O163" s="1431"/>
      <c r="P163" s="1436"/>
      <c r="Q163" s="1293"/>
      <c r="R163" s="1435"/>
      <c r="S163" s="1284"/>
      <c r="T163" s="1346"/>
      <c r="U163" s="1284"/>
      <c r="V163" s="1284"/>
      <c r="W163" s="1284"/>
      <c r="X163" s="1284"/>
      <c r="Y163" s="1284"/>
      <c r="Z163" s="1284"/>
      <c r="AA163" s="1284"/>
      <c r="AB163" s="1284"/>
      <c r="AC163" s="1284"/>
      <c r="AD163" s="1284"/>
      <c r="AE163" s="1284"/>
      <c r="AF163" s="1284"/>
      <c r="AG163" s="1284"/>
      <c r="AH163" s="1284"/>
      <c r="AI163" s="1284"/>
      <c r="AJ163" s="1284"/>
      <c r="AK163" s="1284"/>
      <c r="AL163" s="1284"/>
      <c r="AM163" s="1284"/>
      <c r="AN163" s="1284"/>
      <c r="AO163" s="1284"/>
      <c r="AP163" s="1284"/>
      <c r="AQ163" s="1284"/>
      <c r="AR163" s="1284"/>
      <c r="AS163" s="1284"/>
      <c r="AT163" s="1284"/>
      <c r="AU163" s="1284"/>
    </row>
    <row r="164" spans="1:47" ht="15">
      <c r="A164" s="1277"/>
      <c r="B164" s="1296">
        <v>40361</v>
      </c>
      <c r="C164" s="1290" t="s">
        <v>703</v>
      </c>
      <c r="D164" s="1291"/>
      <c r="E164" s="1291"/>
      <c r="F164" s="1294">
        <f>SUM($E$81:E164)</f>
        <v>645000000</v>
      </c>
      <c r="G164" s="1294">
        <f t="shared" si="9"/>
        <v>635864253.01830328</v>
      </c>
      <c r="H164" s="1358"/>
      <c r="I164" s="1358">
        <v>1168.5</v>
      </c>
      <c r="J164" s="1291">
        <v>0</v>
      </c>
      <c r="K164" s="1343">
        <f t="shared" si="7"/>
        <v>-1168.5</v>
      </c>
      <c r="L164" s="1343">
        <f t="shared" si="8"/>
        <v>83115.811870817808</v>
      </c>
      <c r="M164" s="1344">
        <f t="shared" si="6"/>
        <v>83115.811870817808</v>
      </c>
      <c r="N164" s="1146"/>
      <c r="O164" s="1433"/>
      <c r="P164" s="1436"/>
      <c r="Q164" s="1293"/>
      <c r="R164" s="1437"/>
      <c r="S164" s="1284"/>
      <c r="T164" s="1346"/>
      <c r="U164" s="1284"/>
      <c r="V164" s="1284"/>
      <c r="W164" s="1284"/>
      <c r="X164" s="1284"/>
      <c r="Y164" s="1284"/>
      <c r="Z164" s="1284"/>
      <c r="AA164" s="1284"/>
      <c r="AB164" s="1284"/>
      <c r="AC164" s="1284"/>
      <c r="AD164" s="1284"/>
      <c r="AE164" s="1284"/>
      <c r="AF164" s="1284"/>
      <c r="AG164" s="1284"/>
      <c r="AH164" s="1284"/>
      <c r="AI164" s="1284"/>
      <c r="AJ164" s="1284"/>
      <c r="AK164" s="1284"/>
      <c r="AL164" s="1284"/>
      <c r="AM164" s="1284"/>
      <c r="AN164" s="1284"/>
      <c r="AO164" s="1284"/>
      <c r="AP164" s="1284"/>
      <c r="AQ164" s="1284"/>
      <c r="AR164" s="1284"/>
      <c r="AS164" s="1284"/>
      <c r="AT164" s="1284"/>
      <c r="AU164" s="1284"/>
    </row>
    <row r="165" spans="1:47" ht="15">
      <c r="A165" s="1277"/>
      <c r="B165" s="1296">
        <v>40366</v>
      </c>
      <c r="C165" s="1290" t="s">
        <v>703</v>
      </c>
      <c r="D165" s="1291"/>
      <c r="E165" s="1292">
        <v>35000000</v>
      </c>
      <c r="F165" s="1294">
        <f>SUM($E$81:E165)</f>
        <v>680000000</v>
      </c>
      <c r="G165" s="1294">
        <f t="shared" si="9"/>
        <v>635946200.33017409</v>
      </c>
      <c r="H165" s="1358"/>
      <c r="I165" s="1358"/>
      <c r="J165" s="1495"/>
      <c r="K165" s="1343">
        <f t="shared" si="7"/>
        <v>35000000</v>
      </c>
      <c r="L165" s="1343">
        <f t="shared" si="8"/>
        <v>415741.28879632597</v>
      </c>
      <c r="M165" s="1344">
        <f t="shared" si="6"/>
        <v>415741.28879632597</v>
      </c>
      <c r="N165" s="1146"/>
      <c r="O165" s="1431"/>
      <c r="P165" s="1436"/>
      <c r="Q165" s="1293"/>
      <c r="R165" s="1435"/>
      <c r="S165" s="1284"/>
      <c r="U165" s="1284"/>
      <c r="V165" s="1284"/>
      <c r="W165" s="1284"/>
      <c r="X165" s="1284"/>
      <c r="Y165" s="1284"/>
      <c r="Z165" s="1284"/>
      <c r="AA165" s="1284"/>
      <c r="AB165" s="1284"/>
      <c r="AC165" s="1284"/>
      <c r="AD165" s="1284"/>
      <c r="AE165" s="1284"/>
      <c r="AF165" s="1284"/>
      <c r="AG165" s="1284"/>
      <c r="AH165" s="1284"/>
      <c r="AI165" s="1284"/>
      <c r="AJ165" s="1284"/>
      <c r="AK165" s="1284"/>
      <c r="AL165" s="1284"/>
      <c r="AM165" s="1284"/>
      <c r="AN165" s="1284"/>
      <c r="AO165" s="1284"/>
      <c r="AP165" s="1284"/>
      <c r="AQ165" s="1284"/>
      <c r="AR165" s="1284"/>
      <c r="AS165" s="1284"/>
      <c r="AT165" s="1284"/>
      <c r="AU165" s="1284"/>
    </row>
    <row r="166" spans="1:47" ht="15">
      <c r="A166" s="1277"/>
      <c r="B166" s="1296">
        <v>40374</v>
      </c>
      <c r="C166" s="1290" t="s">
        <v>703</v>
      </c>
      <c r="D166" s="1291"/>
      <c r="E166" s="1291"/>
      <c r="F166" s="1294">
        <f>SUM($E$81:E166)</f>
        <v>680000000</v>
      </c>
      <c r="G166" s="1294">
        <f t="shared" si="9"/>
        <v>671361941.61897039</v>
      </c>
      <c r="H166" s="1358">
        <v>8500000</v>
      </c>
      <c r="I166" s="1358"/>
      <c r="J166" s="1291"/>
      <c r="K166" s="1343">
        <f t="shared" si="7"/>
        <v>-8500000</v>
      </c>
      <c r="L166" s="1343">
        <f t="shared" si="8"/>
        <v>702367.87660656031</v>
      </c>
      <c r="M166" s="1344">
        <f t="shared" si="6"/>
        <v>-7797632.1233934397</v>
      </c>
      <c r="N166" s="1146"/>
      <c r="O166" s="1431"/>
      <c r="P166" s="1436"/>
      <c r="Q166" s="1293"/>
      <c r="R166" s="1435"/>
      <c r="S166" s="1284"/>
      <c r="U166" s="1284"/>
      <c r="V166" s="1284"/>
      <c r="W166" s="1284"/>
      <c r="X166" s="1284"/>
      <c r="Y166" s="1284"/>
      <c r="Z166" s="1284"/>
      <c r="AA166" s="1284"/>
      <c r="AB166" s="1284"/>
      <c r="AC166" s="1284"/>
      <c r="AD166" s="1284"/>
      <c r="AE166" s="1284"/>
      <c r="AF166" s="1284"/>
      <c r="AG166" s="1284"/>
      <c r="AH166" s="1284"/>
      <c r="AI166" s="1284"/>
      <c r="AJ166" s="1284"/>
      <c r="AK166" s="1284"/>
      <c r="AL166" s="1284"/>
      <c r="AM166" s="1284"/>
      <c r="AN166" s="1284"/>
      <c r="AO166" s="1284"/>
      <c r="AP166" s="1284"/>
      <c r="AQ166" s="1284"/>
      <c r="AR166" s="1284"/>
      <c r="AS166" s="1284"/>
      <c r="AT166" s="1284"/>
      <c r="AU166" s="1284"/>
    </row>
    <row r="167" spans="1:47" ht="15">
      <c r="A167" s="1277"/>
      <c r="B167" s="1296">
        <v>40385</v>
      </c>
      <c r="C167" s="1290" t="s">
        <v>703</v>
      </c>
      <c r="D167" s="1291"/>
      <c r="E167" s="1291">
        <v>-65000000</v>
      </c>
      <c r="F167" s="1294">
        <f>SUM($E$81:E167)</f>
        <v>615000000</v>
      </c>
      <c r="G167" s="1294">
        <f t="shared" si="9"/>
        <v>663564309.49557698</v>
      </c>
      <c r="H167" s="1358"/>
      <c r="I167" s="1358"/>
      <c r="J167" s="1495"/>
      <c r="K167" s="1343">
        <f t="shared" si="7"/>
        <v>-65000000</v>
      </c>
      <c r="L167" s="1343">
        <f t="shared" si="8"/>
        <v>954726.11806151434</v>
      </c>
      <c r="M167" s="1344">
        <f t="shared" si="6"/>
        <v>954726.11806151434</v>
      </c>
      <c r="N167" s="1146"/>
      <c r="O167" s="1431"/>
      <c r="P167" s="1438"/>
      <c r="Q167" s="1293"/>
      <c r="R167" s="1437"/>
      <c r="S167" s="1284"/>
      <c r="U167" s="1284"/>
      <c r="V167" s="1284"/>
      <c r="W167" s="1284"/>
      <c r="X167" s="1284"/>
      <c r="Y167" s="1284"/>
      <c r="Z167" s="1284"/>
      <c r="AA167" s="1284"/>
      <c r="AB167" s="1284"/>
      <c r="AC167" s="1284"/>
      <c r="AD167" s="1284"/>
      <c r="AE167" s="1284"/>
      <c r="AF167" s="1284"/>
      <c r="AG167" s="1284"/>
      <c r="AH167" s="1284"/>
      <c r="AI167" s="1284"/>
      <c r="AJ167" s="1284"/>
      <c r="AK167" s="1284"/>
      <c r="AL167" s="1284"/>
      <c r="AM167" s="1284"/>
      <c r="AN167" s="1284"/>
      <c r="AO167" s="1284"/>
      <c r="AP167" s="1284"/>
      <c r="AQ167" s="1284"/>
      <c r="AR167" s="1284"/>
      <c r="AS167" s="1284"/>
      <c r="AT167" s="1284"/>
      <c r="AU167" s="1284"/>
    </row>
    <row r="168" spans="1:47" ht="15">
      <c r="A168" s="1277"/>
      <c r="B168" s="1296">
        <v>40385</v>
      </c>
      <c r="C168" s="1290" t="s">
        <v>703</v>
      </c>
      <c r="D168" s="1291"/>
      <c r="E168" s="1291">
        <v>-20000000</v>
      </c>
      <c r="F168" s="1294">
        <f>SUM($E$81:E168)</f>
        <v>595000000</v>
      </c>
      <c r="G168" s="1294">
        <f t="shared" si="9"/>
        <v>599519035.61363852</v>
      </c>
      <c r="H168" s="1358"/>
      <c r="I168" s="1358"/>
      <c r="J168" s="1495"/>
      <c r="K168" s="1343">
        <f t="shared" si="7"/>
        <v>-20000000</v>
      </c>
      <c r="L168" s="1343">
        <f t="shared" si="8"/>
        <v>0</v>
      </c>
      <c r="M168" s="1344">
        <f t="shared" si="6"/>
        <v>0</v>
      </c>
      <c r="N168" s="1146"/>
      <c r="O168" s="1431"/>
      <c r="P168" s="1438"/>
      <c r="Q168" s="1293"/>
      <c r="R168" s="1435"/>
      <c r="S168" s="1284"/>
      <c r="U168" s="1284"/>
      <c r="V168" s="1284"/>
      <c r="W168" s="1284"/>
      <c r="X168" s="1284"/>
      <c r="Y168" s="1284"/>
      <c r="Z168" s="1284"/>
      <c r="AA168" s="1284"/>
      <c r="AB168" s="1284"/>
      <c r="AC168" s="1284"/>
      <c r="AD168" s="1284"/>
      <c r="AE168" s="1284"/>
      <c r="AF168" s="1284"/>
      <c r="AG168" s="1284"/>
      <c r="AH168" s="1284"/>
      <c r="AI168" s="1284"/>
      <c r="AJ168" s="1284"/>
      <c r="AK168" s="1284"/>
      <c r="AL168" s="1284"/>
      <c r="AM168" s="1284"/>
      <c r="AN168" s="1284"/>
      <c r="AO168" s="1284"/>
      <c r="AP168" s="1284"/>
      <c r="AQ168" s="1284"/>
      <c r="AR168" s="1284"/>
      <c r="AS168" s="1284"/>
      <c r="AT168" s="1284"/>
      <c r="AU168" s="1284"/>
    </row>
    <row r="169" spans="1:47" ht="15">
      <c r="A169" s="1277"/>
      <c r="B169" s="1296">
        <v>40385</v>
      </c>
      <c r="C169" s="1290" t="s">
        <v>703</v>
      </c>
      <c r="D169" s="1291"/>
      <c r="E169" s="1292">
        <v>115000000</v>
      </c>
      <c r="F169" s="1294">
        <f>SUM($E$81:E169)</f>
        <v>710000000</v>
      </c>
      <c r="G169" s="1294">
        <f t="shared" si="9"/>
        <v>579519035.61363852</v>
      </c>
      <c r="H169" s="1358"/>
      <c r="I169" s="1358"/>
      <c r="J169" s="1495"/>
      <c r="K169" s="1343">
        <f t="shared" si="7"/>
        <v>115000000</v>
      </c>
      <c r="L169" s="1343">
        <f t="shared" si="8"/>
        <v>0</v>
      </c>
      <c r="M169" s="1344">
        <f t="shared" si="6"/>
        <v>0</v>
      </c>
      <c r="N169" s="1146"/>
      <c r="O169" s="1431"/>
      <c r="P169" s="1438"/>
      <c r="Q169" s="1293"/>
      <c r="R169" s="1435"/>
      <c r="S169" s="1284"/>
      <c r="U169" s="1284"/>
      <c r="V169" s="1284"/>
      <c r="W169" s="1284"/>
      <c r="X169" s="1284"/>
      <c r="Y169" s="1284"/>
      <c r="Z169" s="1284"/>
      <c r="AA169" s="1284"/>
      <c r="AB169" s="1284"/>
      <c r="AC169" s="1284"/>
      <c r="AD169" s="1284"/>
      <c r="AE169" s="1284"/>
      <c r="AF169" s="1284"/>
      <c r="AG169" s="1284"/>
      <c r="AH169" s="1284"/>
      <c r="AI169" s="1284"/>
      <c r="AJ169" s="1284"/>
      <c r="AK169" s="1284"/>
      <c r="AL169" s="1284"/>
      <c r="AM169" s="1284"/>
      <c r="AN169" s="1284"/>
      <c r="AO169" s="1284"/>
      <c r="AP169" s="1284"/>
      <c r="AQ169" s="1284"/>
      <c r="AR169" s="1284"/>
      <c r="AS169" s="1284"/>
      <c r="AT169" s="1284"/>
      <c r="AU169" s="1284"/>
    </row>
    <row r="170" spans="1:47" ht="15">
      <c r="A170" s="1277"/>
      <c r="B170" s="1296">
        <v>40385</v>
      </c>
      <c r="C170" s="1290" t="s">
        <v>703</v>
      </c>
      <c r="D170" s="1291"/>
      <c r="E170" s="1291"/>
      <c r="F170" s="1294">
        <f>SUM($E$81:E170)</f>
        <v>710000000</v>
      </c>
      <c r="G170" s="1294">
        <f t="shared" si="9"/>
        <v>694519035.61363852</v>
      </c>
      <c r="H170" s="1358">
        <v>115798.33</v>
      </c>
      <c r="I170" s="1358"/>
      <c r="J170" s="1495"/>
      <c r="K170" s="1343">
        <f t="shared" si="7"/>
        <v>-115798.33</v>
      </c>
      <c r="L170" s="1343">
        <f t="shared" si="8"/>
        <v>0</v>
      </c>
      <c r="M170" s="1344">
        <f t="shared" si="6"/>
        <v>-115798.33</v>
      </c>
      <c r="N170" s="1146"/>
      <c r="O170" s="1431"/>
      <c r="P170" s="1438"/>
      <c r="Q170" s="1293"/>
      <c r="R170" s="1435"/>
    </row>
    <row r="171" spans="1:47" ht="15">
      <c r="A171" s="1277"/>
      <c r="B171" s="1296">
        <v>40385</v>
      </c>
      <c r="C171" s="1290" t="s">
        <v>702</v>
      </c>
      <c r="D171" s="1291"/>
      <c r="E171" s="1291"/>
      <c r="F171" s="1294">
        <f>SUM($E$77:E171)</f>
        <v>710000000</v>
      </c>
      <c r="G171" s="1294">
        <f t="shared" si="9"/>
        <v>694403237.28363848</v>
      </c>
      <c r="H171" s="1358">
        <v>544837.22</v>
      </c>
      <c r="I171" s="1358"/>
      <c r="J171" s="1291">
        <v>0</v>
      </c>
      <c r="K171" s="1343">
        <f t="shared" si="7"/>
        <v>-544837.22</v>
      </c>
      <c r="L171" s="1343">
        <f t="shared" si="8"/>
        <v>0</v>
      </c>
      <c r="M171" s="1344">
        <f t="shared" si="6"/>
        <v>-544837.22</v>
      </c>
      <c r="N171" s="1146"/>
      <c r="O171" s="1431"/>
      <c r="P171" s="1438"/>
      <c r="Q171" s="1293"/>
      <c r="R171" s="1435"/>
    </row>
    <row r="172" spans="1:47" ht="15">
      <c r="A172" s="1277"/>
      <c r="B172" s="1296">
        <v>40399</v>
      </c>
      <c r="C172" s="1290" t="s">
        <v>703</v>
      </c>
      <c r="D172" s="1291"/>
      <c r="E172" s="1291">
        <v>-35000000</v>
      </c>
      <c r="F172" s="1294">
        <f>SUM($E$81:E172)</f>
        <v>675000000</v>
      </c>
      <c r="G172" s="1294">
        <f t="shared" si="9"/>
        <v>693858400.06363845</v>
      </c>
      <c r="H172" s="1358">
        <v>107415</v>
      </c>
      <c r="I172" s="1358"/>
      <c r="J172" s="1495"/>
      <c r="K172" s="1343">
        <f>E172-H172-I172-J172</f>
        <v>-35107415</v>
      </c>
      <c r="L172" s="1343">
        <f t="shared" si="8"/>
        <v>1270829.1120342917</v>
      </c>
      <c r="M172" s="1344">
        <f t="shared" si="6"/>
        <v>1163414.1120342917</v>
      </c>
      <c r="N172" s="1146"/>
      <c r="O172" s="1431"/>
      <c r="P172" s="1438"/>
      <c r="Q172" s="1293"/>
      <c r="R172" s="1435"/>
    </row>
    <row r="173" spans="1:47" ht="15">
      <c r="A173" s="1277"/>
      <c r="B173" s="1296">
        <v>40399</v>
      </c>
      <c r="C173" s="1290" t="s">
        <v>703</v>
      </c>
      <c r="D173" s="1291"/>
      <c r="E173" s="1292">
        <v>35000000</v>
      </c>
      <c r="F173" s="1294">
        <f>SUM($E$81:E173)</f>
        <v>710000000</v>
      </c>
      <c r="G173" s="1294">
        <f t="shared" si="9"/>
        <v>660021814.17567277</v>
      </c>
      <c r="H173" s="1358">
        <v>0</v>
      </c>
      <c r="I173" s="1358"/>
      <c r="J173" s="1495"/>
      <c r="K173" s="1343">
        <f>E173-H173-I173-J173</f>
        <v>35000000</v>
      </c>
      <c r="L173" s="1343">
        <f t="shared" si="8"/>
        <v>0</v>
      </c>
      <c r="M173" s="1344">
        <f t="shared" si="6"/>
        <v>0</v>
      </c>
      <c r="N173" s="1146"/>
      <c r="O173" s="1433"/>
      <c r="P173" s="1439"/>
      <c r="Q173" s="1293"/>
      <c r="R173" s="1435"/>
    </row>
    <row r="174" spans="1:47" ht="15">
      <c r="A174" s="1277"/>
      <c r="B174" s="1296">
        <v>40402</v>
      </c>
      <c r="C174" s="1290" t="s">
        <v>703</v>
      </c>
      <c r="D174" s="1291"/>
      <c r="E174" s="1291">
        <v>-30000000</v>
      </c>
      <c r="F174" s="1294">
        <f>SUM($E$81:E174)</f>
        <v>680000000</v>
      </c>
      <c r="G174" s="1294">
        <f t="shared" si="9"/>
        <v>695021814.17567277</v>
      </c>
      <c r="H174" s="1358">
        <v>271680.83</v>
      </c>
      <c r="I174" s="1358"/>
      <c r="J174" s="1495"/>
      <c r="K174" s="1343">
        <f t="shared" si="7"/>
        <v>-30271680.829999998</v>
      </c>
      <c r="L174" s="1343">
        <f t="shared" si="8"/>
        <v>272581.07380573958</v>
      </c>
      <c r="M174" s="1344">
        <f t="shared" si="6"/>
        <v>900.24380573956296</v>
      </c>
      <c r="N174" s="1146"/>
      <c r="O174" s="1433"/>
      <c r="P174" s="1439"/>
      <c r="Q174" s="1293"/>
      <c r="R174" s="1435"/>
    </row>
    <row r="175" spans="1:47" ht="15">
      <c r="A175" s="1277"/>
      <c r="B175" s="1296">
        <v>40402</v>
      </c>
      <c r="C175" s="1290" t="s">
        <v>703</v>
      </c>
      <c r="D175" s="1291"/>
      <c r="E175" s="1291">
        <v>-80000000</v>
      </c>
      <c r="F175" s="1294">
        <f>SUM($E$81:E175)</f>
        <v>600000000</v>
      </c>
      <c r="G175" s="1294">
        <f t="shared" si="9"/>
        <v>665022714.41947854</v>
      </c>
      <c r="H175" s="1358">
        <v>699608.89</v>
      </c>
      <c r="I175" s="1358"/>
      <c r="J175" s="1495"/>
      <c r="K175" s="1343">
        <f t="shared" si="7"/>
        <v>-80699608.890000001</v>
      </c>
      <c r="L175" s="1343">
        <f t="shared" si="8"/>
        <v>0</v>
      </c>
      <c r="M175" s="1344">
        <f t="shared" si="6"/>
        <v>-699608.89</v>
      </c>
      <c r="N175" s="1146"/>
      <c r="O175" s="1431"/>
      <c r="P175" s="1027"/>
      <c r="Q175" s="1293"/>
      <c r="R175" s="1432"/>
    </row>
    <row r="176" spans="1:47" ht="15">
      <c r="A176" s="1277"/>
      <c r="B176" s="1296">
        <v>40402</v>
      </c>
      <c r="C176" s="1290" t="s">
        <v>703</v>
      </c>
      <c r="D176" s="1291"/>
      <c r="E176" s="1292">
        <v>110000000</v>
      </c>
      <c r="F176" s="1294">
        <f>SUM($E$81:E176)</f>
        <v>710000000</v>
      </c>
      <c r="G176" s="1294">
        <f t="shared" si="9"/>
        <v>584323105.52947855</v>
      </c>
      <c r="H176" s="1496">
        <v>0</v>
      </c>
      <c r="I176" s="1358"/>
      <c r="J176" s="1495"/>
      <c r="K176" s="1343">
        <f>E176-H176-I176-J176</f>
        <v>110000000</v>
      </c>
      <c r="L176" s="1343">
        <f t="shared" si="8"/>
        <v>0</v>
      </c>
      <c r="M176" s="1344">
        <f t="shared" si="6"/>
        <v>0</v>
      </c>
      <c r="N176" s="1146"/>
      <c r="O176" s="1425"/>
      <c r="P176" s="1027"/>
      <c r="Q176" s="1293"/>
    </row>
    <row r="177" spans="1:21" ht="15">
      <c r="A177" s="1277"/>
      <c r="B177" s="1296">
        <v>40420</v>
      </c>
      <c r="C177" s="1290" t="s">
        <v>703</v>
      </c>
      <c r="D177" s="1291"/>
      <c r="E177" s="1291"/>
      <c r="F177" s="1294">
        <f>SUM($E$81:E177)</f>
        <v>710000000</v>
      </c>
      <c r="G177" s="1294">
        <f t="shared" si="9"/>
        <v>694323105.52947855</v>
      </c>
      <c r="H177" s="1496">
        <v>0</v>
      </c>
      <c r="I177" s="1358">
        <v>407816.09</v>
      </c>
      <c r="J177" s="1291"/>
      <c r="K177" s="1343">
        <f>E177-H177-I177-J177</f>
        <v>-407816.09</v>
      </c>
      <c r="L177" s="1343">
        <f t="shared" si="8"/>
        <v>1635445.0629445908</v>
      </c>
      <c r="M177" s="1344">
        <f t="shared" si="6"/>
        <v>1635445.0629445908</v>
      </c>
      <c r="N177" s="1146"/>
      <c r="O177" s="1425"/>
      <c r="P177" s="1027"/>
      <c r="Q177" s="1293"/>
    </row>
    <row r="178" spans="1:21" ht="15">
      <c r="A178" s="1277"/>
      <c r="B178" s="1296">
        <v>40428</v>
      </c>
      <c r="C178" s="1290" t="s">
        <v>703</v>
      </c>
      <c r="D178" s="1291"/>
      <c r="E178" s="1292">
        <v>30000000</v>
      </c>
      <c r="F178" s="1294">
        <f>SUM($E$81:E178)</f>
        <v>740000000</v>
      </c>
      <c r="G178" s="1294">
        <f t="shared" si="9"/>
        <v>695550734.50242305</v>
      </c>
      <c r="H178" s="1496">
        <v>0</v>
      </c>
      <c r="I178" s="1358"/>
      <c r="J178" s="1291"/>
      <c r="K178" s="1343">
        <f>E178-H178-I178-J178</f>
        <v>30000000</v>
      </c>
      <c r="L178" s="1343">
        <f t="shared" si="8"/>
        <v>727673.79587606341</v>
      </c>
      <c r="M178" s="1344">
        <f t="shared" si="6"/>
        <v>727673.79587606341</v>
      </c>
      <c r="N178" s="1146"/>
      <c r="O178" s="1425"/>
      <c r="Q178" s="1293"/>
    </row>
    <row r="179" spans="1:21" ht="15">
      <c r="A179" s="1277"/>
      <c r="B179" s="1296">
        <v>40447</v>
      </c>
      <c r="C179" s="1290" t="s">
        <v>703</v>
      </c>
      <c r="D179" s="1291"/>
      <c r="E179" s="1291">
        <v>0</v>
      </c>
      <c r="F179" s="1294">
        <f>SUM($E$81:E179)</f>
        <v>740000000</v>
      </c>
      <c r="G179" s="1294">
        <f t="shared" si="9"/>
        <v>726278408.29829907</v>
      </c>
      <c r="H179" s="1358">
        <v>0</v>
      </c>
      <c r="I179" s="1358"/>
      <c r="J179" s="1291"/>
      <c r="K179" s="1343">
        <f t="shared" si="7"/>
        <v>0</v>
      </c>
      <c r="L179" s="1343">
        <f t="shared" si="8"/>
        <v>1805872.0019354646</v>
      </c>
      <c r="M179" s="1344">
        <f t="shared" si="6"/>
        <v>1805872.0019354646</v>
      </c>
      <c r="N179" s="1146"/>
      <c r="O179" s="1425"/>
      <c r="P179" s="1112"/>
      <c r="Q179" s="1440"/>
      <c r="R179" s="1441"/>
      <c r="S179" s="1112"/>
    </row>
    <row r="180" spans="1:21" ht="15.6">
      <c r="A180" s="1277"/>
      <c r="B180" s="1296">
        <v>40452</v>
      </c>
      <c r="C180" s="1290" t="s">
        <v>704</v>
      </c>
      <c r="D180" s="1291"/>
      <c r="E180" s="1291"/>
      <c r="F180" s="1294">
        <f>SUM($E$81:E180)</f>
        <v>740000000</v>
      </c>
      <c r="G180" s="1294">
        <f t="shared" si="9"/>
        <v>728084280.30023456</v>
      </c>
      <c r="H180" s="1358"/>
      <c r="I180" s="1358"/>
      <c r="J180" s="1497">
        <v>162777.78</v>
      </c>
      <c r="K180" s="1343">
        <f t="shared" si="7"/>
        <v>-162777.78</v>
      </c>
      <c r="L180" s="1343">
        <f t="shared" si="8"/>
        <v>475975.32131996419</v>
      </c>
      <c r="M180" s="1344">
        <f t="shared" si="6"/>
        <v>475975.32131996419</v>
      </c>
      <c r="N180" s="1146"/>
      <c r="O180" s="1425"/>
      <c r="P180" s="1442"/>
      <c r="Q180" s="1440"/>
      <c r="R180" s="1339"/>
      <c r="S180" s="1339"/>
    </row>
    <row r="181" spans="1:21" ht="15">
      <c r="A181" s="1277"/>
      <c r="B181" s="1296">
        <v>40459</v>
      </c>
      <c r="C181" s="1290" t="s">
        <v>704</v>
      </c>
      <c r="D181" s="1291"/>
      <c r="E181" s="1292">
        <v>30000000</v>
      </c>
      <c r="F181" s="1294">
        <f>SUM($E$81:E181)</f>
        <v>770000000</v>
      </c>
      <c r="G181" s="1294">
        <f t="shared" si="9"/>
        <v>728397477.84155452</v>
      </c>
      <c r="H181" s="1358">
        <v>0</v>
      </c>
      <c r="I181" s="1358"/>
      <c r="J181" s="1291"/>
      <c r="K181" s="1343">
        <f t="shared" si="7"/>
        <v>30000000</v>
      </c>
      <c r="L181" s="1343">
        <f t="shared" si="8"/>
        <v>666739.24958777835</v>
      </c>
      <c r="M181" s="1344">
        <f t="shared" si="6"/>
        <v>666739.24958777835</v>
      </c>
      <c r="N181" s="1146"/>
      <c r="O181" s="1425"/>
      <c r="P181" s="1443"/>
      <c r="Q181" s="1440"/>
      <c r="R181" s="1444"/>
      <c r="S181" s="1112"/>
    </row>
    <row r="182" spans="1:21" ht="15">
      <c r="A182" s="1277"/>
      <c r="B182" s="1296">
        <v>40477</v>
      </c>
      <c r="C182" s="1290" t="s">
        <v>704</v>
      </c>
      <c r="D182" s="1291"/>
      <c r="E182" s="1291">
        <v>-115000000</v>
      </c>
      <c r="F182" s="1294">
        <f>SUM($E$81:E182)</f>
        <v>655000000</v>
      </c>
      <c r="G182" s="1294">
        <f t="shared" si="9"/>
        <v>759064217.0911423</v>
      </c>
      <c r="H182" s="1358">
        <v>1028023.33</v>
      </c>
      <c r="I182" s="1358"/>
      <c r="J182" s="1291"/>
      <c r="K182" s="1343">
        <f t="shared" si="7"/>
        <v>-116028023.33</v>
      </c>
      <c r="L182" s="1343">
        <f t="shared" si="8"/>
        <v>1787939.6730617716</v>
      </c>
      <c r="M182" s="1344">
        <f t="shared" si="6"/>
        <v>759916.34306177159</v>
      </c>
      <c r="N182" s="1146"/>
      <c r="O182" s="1425"/>
      <c r="P182" s="713"/>
      <c r="Q182" s="1440"/>
      <c r="R182" s="1339"/>
      <c r="S182" s="1112"/>
    </row>
    <row r="183" spans="1:21" ht="15.6">
      <c r="A183" s="1277"/>
      <c r="B183" s="1296">
        <v>40477</v>
      </c>
      <c r="C183" s="1290" t="s">
        <v>704</v>
      </c>
      <c r="D183" s="1291"/>
      <c r="E183" s="1292">
        <v>115000000</v>
      </c>
      <c r="F183" s="1294">
        <f>SUM($E$81:E183)</f>
        <v>770000000</v>
      </c>
      <c r="G183" s="1294">
        <f t="shared" si="9"/>
        <v>644824133.4342041</v>
      </c>
      <c r="H183" s="1294">
        <v>0</v>
      </c>
      <c r="I183" s="1294"/>
      <c r="J183" s="1291"/>
      <c r="K183" s="1343">
        <f t="shared" si="7"/>
        <v>115000000</v>
      </c>
      <c r="L183" s="1343">
        <f t="shared" si="8"/>
        <v>0</v>
      </c>
      <c r="M183" s="1344">
        <f t="shared" si="6"/>
        <v>0</v>
      </c>
      <c r="N183" s="1146"/>
      <c r="O183" s="1425"/>
      <c r="P183" s="1445"/>
      <c r="Q183" s="1440"/>
      <c r="R183" s="1445"/>
      <c r="S183" s="1440"/>
    </row>
    <row r="184" spans="1:21" ht="15.6">
      <c r="A184" s="1277"/>
      <c r="B184" s="1296">
        <v>40487</v>
      </c>
      <c r="C184" s="1290" t="s">
        <v>704</v>
      </c>
      <c r="D184" s="1291"/>
      <c r="E184" s="1292">
        <v>30000000</v>
      </c>
      <c r="F184" s="1294">
        <f>SUM($E$81:E184)</f>
        <v>800000000</v>
      </c>
      <c r="G184" s="1294">
        <f t="shared" si="9"/>
        <v>759824133.4342041</v>
      </c>
      <c r="H184" s="1294">
        <v>0</v>
      </c>
      <c r="I184" s="1294"/>
      <c r="J184" s="1495"/>
      <c r="K184" s="1343">
        <f t="shared" si="7"/>
        <v>30000000</v>
      </c>
      <c r="L184" s="1343">
        <f t="shared" si="8"/>
        <v>993774.37537240237</v>
      </c>
      <c r="M184" s="1344">
        <f t="shared" si="6"/>
        <v>993774.37537240237</v>
      </c>
      <c r="N184" s="1146"/>
      <c r="O184" s="1425"/>
      <c r="P184" s="1445"/>
      <c r="Q184" s="1440"/>
      <c r="R184" s="1445"/>
      <c r="S184" s="1112"/>
    </row>
    <row r="185" spans="1:21" ht="15.6">
      <c r="A185" s="1360"/>
      <c r="B185" s="1296">
        <v>40491</v>
      </c>
      <c r="C185" s="1290" t="s">
        <v>704</v>
      </c>
      <c r="D185" s="1495"/>
      <c r="E185" s="1292">
        <v>-35000000</v>
      </c>
      <c r="F185" s="1294">
        <f>SUM($E$81:E185)</f>
        <v>765000000</v>
      </c>
      <c r="G185" s="1294">
        <f t="shared" si="9"/>
        <v>790817907.80957651</v>
      </c>
      <c r="H185" s="1358">
        <v>305721.11</v>
      </c>
      <c r="I185" s="1498"/>
      <c r="J185" s="1495"/>
      <c r="K185" s="1343">
        <f t="shared" si="7"/>
        <v>-35305721.109999999</v>
      </c>
      <c r="L185" s="1343">
        <f t="shared" si="8"/>
        <v>413562.23954374774</v>
      </c>
      <c r="M185" s="1344">
        <f t="shared" si="6"/>
        <v>107841.12954374775</v>
      </c>
      <c r="N185" s="1146"/>
      <c r="O185" s="1425"/>
      <c r="P185" s="1445"/>
      <c r="Q185" s="1440"/>
      <c r="R185" s="1445"/>
      <c r="S185" s="1440"/>
      <c r="U185" s="1144"/>
    </row>
    <row r="186" spans="1:21" ht="15.6">
      <c r="A186" s="1360"/>
      <c r="B186" s="1296">
        <v>40491</v>
      </c>
      <c r="C186" s="1290" t="s">
        <v>704</v>
      </c>
      <c r="D186" s="1495"/>
      <c r="E186" s="1292">
        <v>-30000000</v>
      </c>
      <c r="F186" s="1294">
        <f>SUM($E$81:E186)</f>
        <v>735000000</v>
      </c>
      <c r="G186" s="1294">
        <f t="shared" si="9"/>
        <v>755925748.93912029</v>
      </c>
      <c r="H186" s="1358">
        <v>171937.5</v>
      </c>
      <c r="I186" s="1498"/>
      <c r="J186" s="1495"/>
      <c r="K186" s="1343">
        <f t="shared" si="7"/>
        <v>-30171937.5</v>
      </c>
      <c r="L186" s="1343">
        <f t="shared" si="8"/>
        <v>0</v>
      </c>
      <c r="M186" s="1344">
        <f t="shared" si="6"/>
        <v>-171937.5</v>
      </c>
      <c r="N186" s="1146"/>
      <c r="O186" s="1425"/>
      <c r="P186" s="1445"/>
      <c r="Q186" s="1440"/>
      <c r="R186" s="1445"/>
      <c r="S186" s="1112"/>
    </row>
    <row r="187" spans="1:21" ht="15.6">
      <c r="A187" s="1360"/>
      <c r="B187" s="1296">
        <v>40491</v>
      </c>
      <c r="C187" s="1290" t="s">
        <v>704</v>
      </c>
      <c r="D187" s="1495"/>
      <c r="E187" s="1292">
        <v>-30000000</v>
      </c>
      <c r="F187" s="1294">
        <f>SUM($E$81:E187)</f>
        <v>705000000</v>
      </c>
      <c r="G187" s="1294">
        <f t="shared" si="9"/>
        <v>725753811.43912029</v>
      </c>
      <c r="H187" s="1358">
        <v>86853.33</v>
      </c>
      <c r="I187" s="1498"/>
      <c r="J187" s="1495"/>
      <c r="K187" s="1343">
        <f t="shared" si="7"/>
        <v>-30086853.329999998</v>
      </c>
      <c r="L187" s="1343">
        <f t="shared" si="8"/>
        <v>0</v>
      </c>
      <c r="M187" s="1344">
        <f t="shared" si="6"/>
        <v>-86853.33</v>
      </c>
      <c r="N187" s="1146"/>
      <c r="O187" s="1425"/>
      <c r="P187" s="1445"/>
      <c r="Q187" s="1440"/>
      <c r="R187" s="1445"/>
      <c r="S187" s="1112"/>
    </row>
    <row r="188" spans="1:21" ht="15.6">
      <c r="A188" s="1360"/>
      <c r="B188" s="1296">
        <v>40491</v>
      </c>
      <c r="C188" s="1290" t="s">
        <v>704</v>
      </c>
      <c r="D188" s="1495"/>
      <c r="E188" s="1292">
        <v>95000000</v>
      </c>
      <c r="F188" s="1294">
        <f>SUM($E$81:E188)</f>
        <v>800000000</v>
      </c>
      <c r="G188" s="1294">
        <f>G187+E187-I187-J187+M187</f>
        <v>695666958.10912025</v>
      </c>
      <c r="H188" s="1358"/>
      <c r="I188" s="1498"/>
      <c r="J188" s="1495"/>
      <c r="K188" s="1343">
        <f>E188-H188-I188-J188</f>
        <v>95000000</v>
      </c>
      <c r="L188" s="1343">
        <f t="shared" si="8"/>
        <v>0</v>
      </c>
      <c r="M188" s="1344">
        <f t="shared" si="6"/>
        <v>0</v>
      </c>
      <c r="N188" s="1146"/>
      <c r="O188" s="1425"/>
      <c r="P188" s="1445"/>
      <c r="Q188" s="1440"/>
      <c r="R188" s="1445"/>
      <c r="S188" s="1440"/>
      <c r="U188" s="1144"/>
    </row>
    <row r="189" spans="1:21" ht="15.6">
      <c r="A189" s="1277"/>
      <c r="B189" s="1296">
        <v>40494</v>
      </c>
      <c r="C189" s="1290" t="s">
        <v>704</v>
      </c>
      <c r="D189" s="1291"/>
      <c r="E189" s="1499">
        <v>-110000000</v>
      </c>
      <c r="F189" s="1294">
        <f>SUM($E$81:E189)</f>
        <v>690000000</v>
      </c>
      <c r="G189" s="1294">
        <f>G188+E188-I188-J188+M188</f>
        <v>790666958.10912025</v>
      </c>
      <c r="H189" s="1500">
        <v>955215.56</v>
      </c>
      <c r="I189" s="1294"/>
      <c r="J189" s="1495"/>
      <c r="K189" s="1343">
        <f t="shared" si="7"/>
        <v>-110955215.56</v>
      </c>
      <c r="L189" s="1343">
        <f t="shared" si="8"/>
        <v>310092.20727801061</v>
      </c>
      <c r="M189" s="1344">
        <f t="shared" si="6"/>
        <v>-645123.35272198939</v>
      </c>
      <c r="N189" s="1146"/>
      <c r="O189" s="1425"/>
      <c r="P189" s="1445"/>
      <c r="Q189" s="1440"/>
      <c r="R189" s="1445"/>
      <c r="S189" s="1112"/>
    </row>
    <row r="190" spans="1:21" ht="15.6">
      <c r="A190" s="1277"/>
      <c r="B190" s="1296">
        <v>40494</v>
      </c>
      <c r="C190" s="1290" t="s">
        <v>704</v>
      </c>
      <c r="D190" s="1291"/>
      <c r="E190" s="1499">
        <v>-30000000</v>
      </c>
      <c r="F190" s="1294">
        <f>SUM($E$81:E190)</f>
        <v>660000000</v>
      </c>
      <c r="G190" s="1294">
        <f t="shared" si="9"/>
        <v>680021834.7563982</v>
      </c>
      <c r="H190" s="1500">
        <v>18946.669999999998</v>
      </c>
      <c r="I190" s="1294"/>
      <c r="J190" s="1495"/>
      <c r="K190" s="1343">
        <f t="shared" si="7"/>
        <v>-30018946.670000002</v>
      </c>
      <c r="L190" s="1343">
        <f t="shared" si="8"/>
        <v>0</v>
      </c>
      <c r="M190" s="1344">
        <f t="shared" si="6"/>
        <v>-18946.669999999998</v>
      </c>
      <c r="N190" s="1146"/>
      <c r="O190" s="1425"/>
      <c r="P190" s="1445"/>
      <c r="Q190" s="1440"/>
      <c r="R190" s="1446"/>
      <c r="S190" s="1440"/>
      <c r="U190" s="1144"/>
    </row>
    <row r="191" spans="1:21" ht="15.6">
      <c r="A191" s="1277"/>
      <c r="B191" s="1296">
        <v>40494</v>
      </c>
      <c r="C191" s="1290" t="s">
        <v>704</v>
      </c>
      <c r="D191" s="1291"/>
      <c r="E191" s="1501">
        <v>140000000</v>
      </c>
      <c r="F191" s="1294">
        <f>SUM($E$81:E191)</f>
        <v>800000000</v>
      </c>
      <c r="G191" s="1294">
        <f t="shared" si="9"/>
        <v>650002888.08639824</v>
      </c>
      <c r="H191" s="1500">
        <f>974168.06-(955215.56+18946.67)</f>
        <v>5.8299999999580905</v>
      </c>
      <c r="I191" s="1294"/>
      <c r="J191" s="1495"/>
      <c r="K191" s="1343">
        <f>E191-H191-I191-J191</f>
        <v>139999994.16999999</v>
      </c>
      <c r="L191" s="1343">
        <f t="shared" si="8"/>
        <v>0</v>
      </c>
      <c r="M191" s="1344">
        <f t="shared" si="6"/>
        <v>-5.8299999999580905</v>
      </c>
      <c r="N191" s="1146"/>
      <c r="O191" s="1425"/>
      <c r="P191" s="1445"/>
      <c r="Q191" s="1440"/>
      <c r="R191" s="1446"/>
      <c r="S191" s="1440"/>
      <c r="U191" s="1144"/>
    </row>
    <row r="192" spans="1:21" ht="15.6">
      <c r="A192" s="1277"/>
      <c r="B192" s="1296">
        <v>40518</v>
      </c>
      <c r="C192" s="1290" t="s">
        <v>704</v>
      </c>
      <c r="D192" s="1291"/>
      <c r="E192" s="1501">
        <v>20000000</v>
      </c>
      <c r="F192" s="1294">
        <f>SUM($E$81:E192)</f>
        <v>820000000</v>
      </c>
      <c r="G192" s="1294">
        <f t="shared" si="9"/>
        <v>790002882.2563982</v>
      </c>
      <c r="H192" s="1358"/>
      <c r="I192" s="1294"/>
      <c r="J192" s="1495"/>
      <c r="K192" s="1343">
        <f>E192-H192-I192-J192</f>
        <v>20000000</v>
      </c>
      <c r="L192" s="1343">
        <f t="shared" si="8"/>
        <v>2482059.1410180596</v>
      </c>
      <c r="M192" s="1344">
        <f t="shared" si="6"/>
        <v>2482059.1410180596</v>
      </c>
      <c r="N192" s="1146"/>
      <c r="O192" s="1425"/>
      <c r="P192" s="1445"/>
      <c r="Q192" s="1440"/>
      <c r="R192" s="1445"/>
      <c r="S192" s="1112"/>
    </row>
    <row r="193" spans="1:19" ht="15.6">
      <c r="A193" s="1277"/>
      <c r="B193" s="1296">
        <v>40535</v>
      </c>
      <c r="C193" s="1290" t="s">
        <v>704</v>
      </c>
      <c r="D193" s="1291"/>
      <c r="E193" s="1502"/>
      <c r="F193" s="1294">
        <f>SUM($E$81:E193)</f>
        <v>820000000</v>
      </c>
      <c r="G193" s="1294">
        <f t="shared" si="9"/>
        <v>812484941.39741623</v>
      </c>
      <c r="H193" s="1358"/>
      <c r="I193" s="1358">
        <v>8281.4599999999991</v>
      </c>
      <c r="J193" s="1495"/>
      <c r="K193" s="1343">
        <f>E193-H193-I193-J193</f>
        <v>-8281.4599999999991</v>
      </c>
      <c r="L193" s="1343">
        <f t="shared" si="8"/>
        <v>1807330.9510463306</v>
      </c>
      <c r="M193" s="1344">
        <f t="shared" si="6"/>
        <v>1807330.9510463306</v>
      </c>
      <c r="N193" s="1146"/>
      <c r="O193" s="1425"/>
      <c r="P193" s="1445"/>
      <c r="Q193" s="1440"/>
      <c r="R193" s="1112"/>
      <c r="S193" s="1112"/>
    </row>
    <row r="194" spans="1:19" ht="15.6">
      <c r="A194" s="1277"/>
      <c r="B194" s="1296">
        <v>40546</v>
      </c>
      <c r="C194" s="1290" t="s">
        <v>701</v>
      </c>
      <c r="D194" s="1291"/>
      <c r="E194" s="1291"/>
      <c r="F194" s="1294">
        <f>SUM($E$81:E194)</f>
        <v>820000000</v>
      </c>
      <c r="G194" s="1294">
        <f t="shared" si="9"/>
        <v>814283990.88846254</v>
      </c>
      <c r="H194" s="1294"/>
      <c r="I194" s="1358"/>
      <c r="J194" s="1362">
        <v>140277.78</v>
      </c>
      <c r="K194" s="1343">
        <f t="shared" si="7"/>
        <v>-140277.78</v>
      </c>
      <c r="L194" s="1343">
        <f t="shared" si="8"/>
        <v>1171579.2764857274</v>
      </c>
      <c r="M194" s="1344">
        <f t="shared" si="6"/>
        <v>1171579.2764857274</v>
      </c>
      <c r="N194" s="1146"/>
      <c r="O194" s="1293"/>
      <c r="P194" s="1445"/>
      <c r="Q194" s="1440"/>
      <c r="R194" s="1112"/>
      <c r="S194" s="1112"/>
    </row>
    <row r="195" spans="1:19" ht="15.6">
      <c r="A195" s="1277"/>
      <c r="B195" s="1296">
        <v>40561</v>
      </c>
      <c r="C195" s="1290" t="s">
        <v>701</v>
      </c>
      <c r="D195" s="1291"/>
      <c r="E195" s="1291">
        <v>0</v>
      </c>
      <c r="F195" s="1294">
        <f>SUM($E$81:E195)</f>
        <v>820000000</v>
      </c>
      <c r="G195" s="1294">
        <f t="shared" si="9"/>
        <v>815315292.38494825</v>
      </c>
      <c r="H195" s="1294">
        <f>C$44*H$44/2</f>
        <v>9000000</v>
      </c>
      <c r="I195" s="1358"/>
      <c r="J195" s="1291"/>
      <c r="K195" s="1343">
        <f t="shared" si="7"/>
        <v>-9000000</v>
      </c>
      <c r="L195" s="1343">
        <f t="shared" si="8"/>
        <v>1600049.8276821899</v>
      </c>
      <c r="M195" s="1344">
        <f t="shared" si="6"/>
        <v>-7399950.1723178104</v>
      </c>
      <c r="N195" s="1146"/>
      <c r="O195" s="1293"/>
      <c r="P195" s="1445"/>
      <c r="Q195" s="1440"/>
      <c r="R195" s="1112"/>
      <c r="S195" s="1112"/>
    </row>
    <row r="196" spans="1:19" ht="15.6">
      <c r="A196" s="1277"/>
      <c r="B196" s="1296">
        <v>40569</v>
      </c>
      <c r="C196" s="1290" t="s">
        <v>701</v>
      </c>
      <c r="D196" s="1291"/>
      <c r="E196" s="1292">
        <v>-115000000</v>
      </c>
      <c r="F196" s="1294">
        <f>SUM($E$81:E196)</f>
        <v>705000000</v>
      </c>
      <c r="G196" s="1294">
        <f t="shared" si="9"/>
        <v>807915342.21263039</v>
      </c>
      <c r="H196" s="1358">
        <v>966600.56</v>
      </c>
      <c r="I196" s="1358"/>
      <c r="J196" s="1291"/>
      <c r="K196" s="1343">
        <f t="shared" si="7"/>
        <v>-115966600.56</v>
      </c>
      <c r="L196" s="1343">
        <f t="shared" si="8"/>
        <v>845227.80963625817</v>
      </c>
      <c r="M196" s="1344">
        <f t="shared" si="6"/>
        <v>-121372.75036374188</v>
      </c>
      <c r="N196" s="1146"/>
      <c r="O196" s="1293"/>
      <c r="P196" s="1445"/>
      <c r="Q196" s="1440"/>
      <c r="R196" s="1112"/>
      <c r="S196" s="1112"/>
    </row>
    <row r="197" spans="1:19" ht="15">
      <c r="A197" s="1277"/>
      <c r="B197" s="1296">
        <f>DATE(YEAR(B183),MONTH(B183)+3,DAY(B183))</f>
        <v>40569</v>
      </c>
      <c r="C197" s="1290" t="s">
        <v>701</v>
      </c>
      <c r="D197" s="1291"/>
      <c r="E197" s="1292">
        <v>115000000</v>
      </c>
      <c r="F197" s="1294">
        <f>SUM($E$81:E197)</f>
        <v>820000000</v>
      </c>
      <c r="G197" s="1294">
        <f t="shared" si="9"/>
        <v>692793969.46226668</v>
      </c>
      <c r="H197" s="1294"/>
      <c r="I197" s="1358"/>
      <c r="J197" s="1495"/>
      <c r="K197" s="1343">
        <f t="shared" si="7"/>
        <v>115000000</v>
      </c>
      <c r="L197" s="1343">
        <f t="shared" si="8"/>
        <v>0</v>
      </c>
      <c r="M197" s="1344">
        <f t="shared" si="6"/>
        <v>0</v>
      </c>
      <c r="N197" s="1146"/>
      <c r="O197" s="1293"/>
      <c r="P197" s="1112"/>
      <c r="Q197" s="1440"/>
      <c r="R197" s="1112"/>
      <c r="S197" s="1112"/>
    </row>
    <row r="198" spans="1:19" ht="15">
      <c r="A198" s="1277"/>
      <c r="B198" s="1296">
        <v>40583</v>
      </c>
      <c r="C198" s="1290" t="s">
        <v>701</v>
      </c>
      <c r="D198" s="1291"/>
      <c r="E198" s="1292">
        <v>-20000000</v>
      </c>
      <c r="F198" s="1294">
        <f>SUM($E$81:E198)</f>
        <v>800000000</v>
      </c>
      <c r="G198" s="1294">
        <f t="shared" si="9"/>
        <v>807793969.46226668</v>
      </c>
      <c r="H198" s="1358">
        <v>118552.78</v>
      </c>
      <c r="I198" s="1358"/>
      <c r="J198" s="1291"/>
      <c r="K198" s="1343">
        <f t="shared" si="7"/>
        <v>-20118552.780000001</v>
      </c>
      <c r="L198" s="1343">
        <f t="shared" si="8"/>
        <v>1479506.6152175064</v>
      </c>
      <c r="M198" s="1344">
        <f t="shared" si="6"/>
        <v>1360953.8352175064</v>
      </c>
      <c r="N198" s="1146"/>
      <c r="O198" s="1293"/>
      <c r="P198" s="1112"/>
      <c r="Q198" s="1293"/>
    </row>
    <row r="199" spans="1:19" ht="15.6">
      <c r="A199" s="1277"/>
      <c r="B199" s="1296">
        <v>40583</v>
      </c>
      <c r="C199" s="1290" t="s">
        <v>701</v>
      </c>
      <c r="D199" s="1291"/>
      <c r="E199" s="1292">
        <v>-95000000</v>
      </c>
      <c r="F199" s="1294">
        <f>SUM($E$81:E199)</f>
        <v>705000000</v>
      </c>
      <c r="G199" s="1294">
        <f t="shared" si="9"/>
        <v>789154923.29748416</v>
      </c>
      <c r="H199" s="1358">
        <v>797767.78</v>
      </c>
      <c r="I199" s="1358"/>
      <c r="J199" s="1291"/>
      <c r="K199" s="1343">
        <f t="shared" si="7"/>
        <v>-95797767.780000001</v>
      </c>
      <c r="L199" s="1343">
        <f t="shared" si="8"/>
        <v>0</v>
      </c>
      <c r="M199" s="1344">
        <f t="shared" si="6"/>
        <v>-797767.78</v>
      </c>
      <c r="N199" s="1146"/>
      <c r="O199" s="1293"/>
      <c r="P199" s="1445"/>
      <c r="Q199" s="1293"/>
    </row>
    <row r="200" spans="1:19" ht="15.6">
      <c r="A200" s="1277"/>
      <c r="B200" s="1296">
        <v>40583</v>
      </c>
      <c r="C200" s="1290" t="s">
        <v>701</v>
      </c>
      <c r="D200" s="1291"/>
      <c r="E200" s="1292">
        <v>115000000</v>
      </c>
      <c r="F200" s="1294">
        <f>SUM($E$81:E200)</f>
        <v>820000000</v>
      </c>
      <c r="G200" s="1294">
        <f t="shared" si="9"/>
        <v>693357155.51748419</v>
      </c>
      <c r="H200" s="1503"/>
      <c r="I200" s="1358"/>
      <c r="J200" s="1291"/>
      <c r="K200" s="1343">
        <f t="shared" si="7"/>
        <v>115000000</v>
      </c>
      <c r="L200" s="1343">
        <f t="shared" si="8"/>
        <v>0</v>
      </c>
      <c r="M200" s="1344">
        <f t="shared" si="6"/>
        <v>0</v>
      </c>
      <c r="N200" s="1146"/>
      <c r="O200" s="1293"/>
      <c r="Q200" s="1293"/>
    </row>
    <row r="201" spans="1:19" ht="15">
      <c r="A201" s="1277"/>
      <c r="B201" s="1296">
        <v>40588</v>
      </c>
      <c r="C201" s="1290" t="s">
        <v>701</v>
      </c>
      <c r="D201" s="1291"/>
      <c r="E201" s="1292">
        <v>-140000000</v>
      </c>
      <c r="F201" s="1294">
        <f>SUM($E$81:E201)</f>
        <v>680000000</v>
      </c>
      <c r="G201" s="1294">
        <f t="shared" si="9"/>
        <v>808357155.51748419</v>
      </c>
      <c r="H201" s="1358">
        <v>1201215.56</v>
      </c>
      <c r="I201" s="1358"/>
      <c r="J201" s="1291"/>
      <c r="K201" s="1343">
        <f t="shared" si="7"/>
        <v>-141201215.56</v>
      </c>
      <c r="L201" s="1343">
        <f t="shared" si="8"/>
        <v>528452.63556585379</v>
      </c>
      <c r="M201" s="1344">
        <f t="shared" si="6"/>
        <v>-672762.92443414626</v>
      </c>
      <c r="N201" s="1146"/>
      <c r="O201" s="1293"/>
      <c r="Q201" s="1293"/>
    </row>
    <row r="202" spans="1:19" ht="15">
      <c r="A202" s="1277"/>
      <c r="B202" s="1296">
        <v>40588</v>
      </c>
      <c r="C202" s="1290" t="s">
        <v>701</v>
      </c>
      <c r="D202" s="1291"/>
      <c r="E202" s="1292">
        <v>140000000</v>
      </c>
      <c r="F202" s="1294">
        <f>SUM($E$81:E202)</f>
        <v>820000000</v>
      </c>
      <c r="G202" s="1294">
        <f t="shared" si="9"/>
        <v>667684392.59305</v>
      </c>
      <c r="H202" s="1294"/>
      <c r="I202" s="1358"/>
      <c r="J202" s="1291"/>
      <c r="K202" s="1343">
        <f t="shared" si="7"/>
        <v>140000000</v>
      </c>
      <c r="L202" s="1343">
        <f t="shared" si="8"/>
        <v>0</v>
      </c>
      <c r="M202" s="1344">
        <f t="shared" si="6"/>
        <v>0</v>
      </c>
      <c r="N202" s="1146"/>
      <c r="O202" s="1293"/>
      <c r="Q202" s="1293"/>
    </row>
    <row r="203" spans="1:19" ht="15">
      <c r="A203" s="1277"/>
      <c r="B203" s="1296">
        <v>40590</v>
      </c>
      <c r="C203" s="1290" t="s">
        <v>701</v>
      </c>
      <c r="D203" s="1291"/>
      <c r="E203" s="1504"/>
      <c r="F203" s="1294">
        <f>SUM($E$81:E203)</f>
        <v>820000000</v>
      </c>
      <c r="G203" s="1294">
        <f>G202+E202-I202-J202+M202</f>
        <v>807684392.59305</v>
      </c>
      <c r="H203" s="1294"/>
      <c r="I203" s="1358">
        <v>3098.63</v>
      </c>
      <c r="J203" s="1291"/>
      <c r="K203" s="1343">
        <f>E203-H203-I203-J203</f>
        <v>-3098.63</v>
      </c>
      <c r="L203" s="1343">
        <f t="shared" si="8"/>
        <v>211163.72301585897</v>
      </c>
      <c r="M203" s="1344">
        <f t="shared" si="6"/>
        <v>211163.72301585897</v>
      </c>
      <c r="N203" s="1146"/>
      <c r="O203" s="1293"/>
      <c r="Q203" s="1293"/>
    </row>
    <row r="204" spans="1:19" ht="15">
      <c r="A204" s="1277"/>
      <c r="B204" s="1296">
        <v>40634</v>
      </c>
      <c r="C204" s="1290" t="s">
        <v>702</v>
      </c>
      <c r="D204" s="1291"/>
      <c r="E204" s="1292">
        <v>0</v>
      </c>
      <c r="F204" s="1294">
        <f>SUM($E$81:E204)</f>
        <v>820000000</v>
      </c>
      <c r="G204" s="1294">
        <f t="shared" si="9"/>
        <v>807892457.68606591</v>
      </c>
      <c r="H204" s="1294"/>
      <c r="I204" s="1294"/>
      <c r="J204" s="1362">
        <v>97777.78</v>
      </c>
      <c r="K204" s="1343">
        <f t="shared" si="7"/>
        <v>-97777.78</v>
      </c>
      <c r="L204" s="1343">
        <f t="shared" si="8"/>
        <v>4659577.090606722</v>
      </c>
      <c r="M204" s="1344">
        <f t="shared" si="6"/>
        <v>4659577.090606722</v>
      </c>
      <c r="N204" s="1146"/>
      <c r="O204" s="1425"/>
      <c r="Q204" s="1293"/>
    </row>
    <row r="205" spans="1:19" ht="15">
      <c r="A205" s="1277"/>
      <c r="B205" s="1296">
        <v>40647</v>
      </c>
      <c r="C205" s="1290" t="s">
        <v>702</v>
      </c>
      <c r="D205" s="1291"/>
      <c r="E205" s="1292">
        <v>10000000</v>
      </c>
      <c r="F205" s="1294">
        <f>SUM($E$81:E205)</f>
        <v>830000000</v>
      </c>
      <c r="G205" s="1294">
        <f>G204+E204-I204-J204+M204</f>
        <v>812454256.99667263</v>
      </c>
      <c r="H205" s="1294"/>
      <c r="I205" s="1294"/>
      <c r="J205" s="1292">
        <v>0</v>
      </c>
      <c r="K205" s="1343">
        <f t="shared" si="7"/>
        <v>10000000</v>
      </c>
      <c r="L205" s="1343">
        <f t="shared" si="8"/>
        <v>1381663.0692695009</v>
      </c>
      <c r="M205" s="1344">
        <f t="shared" si="6"/>
        <v>1381663.0692695009</v>
      </c>
      <c r="N205" s="1146"/>
      <c r="O205" s="1425"/>
      <c r="Q205" s="1293"/>
    </row>
    <row r="206" spans="1:19" ht="15">
      <c r="A206" s="1277"/>
      <c r="B206" s="1296">
        <f>DATE(YEAR(B196),MONTH(B196)+3,DAY(B196))</f>
        <v>40659</v>
      </c>
      <c r="C206" s="1290" t="s">
        <v>702</v>
      </c>
      <c r="D206" s="1291" t="s">
        <v>525</v>
      </c>
      <c r="E206" s="1292">
        <v>-115000000</v>
      </c>
      <c r="F206" s="1294">
        <f>SUM($E$81:E206)</f>
        <v>715000000</v>
      </c>
      <c r="G206" s="1294">
        <f t="shared" si="9"/>
        <v>823835920.06594217</v>
      </c>
      <c r="H206" s="1358">
        <v>949900</v>
      </c>
      <c r="I206" s="1294"/>
      <c r="J206" s="1292"/>
      <c r="K206" s="1343">
        <f t="shared" si="7"/>
        <v>-115949900</v>
      </c>
      <c r="L206" s="1343">
        <f t="shared" si="8"/>
        <v>1293163.560755176</v>
      </c>
      <c r="M206" s="1344">
        <f t="shared" si="6"/>
        <v>343263.560755176</v>
      </c>
      <c r="N206" s="1146"/>
      <c r="O206" s="1425"/>
      <c r="Q206" s="1293"/>
    </row>
    <row r="207" spans="1:19" ht="15">
      <c r="A207" s="1277"/>
      <c r="B207" s="1296">
        <f>DATE(YEAR(B197),MONTH(B197)+3,DAY(B197))</f>
        <v>40659</v>
      </c>
      <c r="C207" s="1290" t="s">
        <v>702</v>
      </c>
      <c r="D207" s="1291" t="s">
        <v>525</v>
      </c>
      <c r="E207" s="1292">
        <v>115000000</v>
      </c>
      <c r="F207" s="1294">
        <f>SUM($E$81:E207)</f>
        <v>830000000</v>
      </c>
      <c r="G207" s="1294">
        <f t="shared" si="9"/>
        <v>709179183.6266973</v>
      </c>
      <c r="H207" s="1358">
        <v>0</v>
      </c>
      <c r="I207" s="1294"/>
      <c r="J207" s="1292"/>
      <c r="K207" s="1343">
        <f>E207-H207-I207-J207</f>
        <v>115000000</v>
      </c>
      <c r="L207" s="1343">
        <f t="shared" si="8"/>
        <v>0</v>
      </c>
      <c r="M207" s="1344">
        <f t="shared" si="6"/>
        <v>0</v>
      </c>
      <c r="N207" s="1146"/>
      <c r="O207" s="1425"/>
      <c r="Q207" s="1293"/>
    </row>
    <row r="208" spans="1:19" ht="15">
      <c r="A208" s="1277"/>
      <c r="B208" s="1296">
        <v>40672</v>
      </c>
      <c r="C208" s="1290" t="s">
        <v>702</v>
      </c>
      <c r="D208" s="1291"/>
      <c r="E208" s="1291">
        <v>-115000000</v>
      </c>
      <c r="F208" s="1294">
        <f>SUM($E$81:E208)</f>
        <v>715000000</v>
      </c>
      <c r="G208" s="1294">
        <f t="shared" si="9"/>
        <v>824179183.6266973</v>
      </c>
      <c r="H208" s="1358">
        <v>941620</v>
      </c>
      <c r="I208" s="1294"/>
      <c r="J208" s="1292"/>
      <c r="K208" s="1343">
        <f>E208-H208-I208-J208</f>
        <v>-115941620</v>
      </c>
      <c r="L208" s="1343">
        <f t="shared" si="8"/>
        <v>1401602.5279837481</v>
      </c>
      <c r="M208" s="1344">
        <f t="shared" si="6"/>
        <v>459982.52798374812</v>
      </c>
      <c r="N208" s="1146"/>
      <c r="O208" s="1425"/>
      <c r="Q208" s="1293"/>
    </row>
    <row r="209" spans="1:21" ht="15">
      <c r="A209" s="1277"/>
      <c r="B209" s="1296">
        <v>40672</v>
      </c>
      <c r="C209" s="1290" t="s">
        <v>702</v>
      </c>
      <c r="D209" s="1291"/>
      <c r="E209" s="1291">
        <v>-140000000</v>
      </c>
      <c r="F209" s="1294">
        <f>SUM($E$81:E209)</f>
        <v>575000000</v>
      </c>
      <c r="G209" s="1294">
        <f t="shared" si="9"/>
        <v>709639166.15468109</v>
      </c>
      <c r="H209" s="1358">
        <v>1081920</v>
      </c>
      <c r="I209" s="1294"/>
      <c r="J209" s="1292"/>
      <c r="K209" s="1343">
        <f t="shared" ref="K209:K230" si="10">E209-H209-I209-J209</f>
        <v>-141081920</v>
      </c>
      <c r="L209" s="1343">
        <f t="shared" si="8"/>
        <v>0</v>
      </c>
      <c r="M209" s="1344">
        <f t="shared" ref="M209:M217" si="11">+L209-H209</f>
        <v>-1081920</v>
      </c>
      <c r="N209" s="1146"/>
      <c r="O209" s="1425"/>
      <c r="Q209" s="1293"/>
    </row>
    <row r="210" spans="1:21" ht="15">
      <c r="A210" s="1277"/>
      <c r="B210" s="1296">
        <v>40672</v>
      </c>
      <c r="C210" s="1290" t="s">
        <v>702</v>
      </c>
      <c r="D210" s="1291"/>
      <c r="E210" s="1291">
        <v>-10000000</v>
      </c>
      <c r="F210" s="1294">
        <f>SUM($E$81:E210)</f>
        <v>565000000</v>
      </c>
      <c r="G210" s="1294">
        <f t="shared" si="9"/>
        <v>568557246.15468109</v>
      </c>
      <c r="H210" s="1358">
        <v>22375</v>
      </c>
      <c r="I210" s="1294"/>
      <c r="J210" s="1292"/>
      <c r="K210" s="1343">
        <f t="shared" si="10"/>
        <v>-10022375</v>
      </c>
      <c r="L210" s="1343">
        <f t="shared" si="8"/>
        <v>0</v>
      </c>
      <c r="M210" s="1344">
        <f t="shared" si="11"/>
        <v>-22375</v>
      </c>
      <c r="N210" s="1146"/>
      <c r="O210" s="1425"/>
      <c r="Q210" s="1293"/>
    </row>
    <row r="211" spans="1:21" ht="15">
      <c r="A211" s="1277"/>
      <c r="B211" s="1296">
        <v>40672</v>
      </c>
      <c r="C211" s="1290" t="s">
        <v>702</v>
      </c>
      <c r="D211" s="1291"/>
      <c r="E211" s="1291">
        <v>235000000</v>
      </c>
      <c r="F211" s="1294">
        <f>SUM($E$81:E211)</f>
        <v>800000000</v>
      </c>
      <c r="G211" s="1294">
        <f t="shared" si="9"/>
        <v>558534871.15468109</v>
      </c>
      <c r="H211" s="1358">
        <v>0</v>
      </c>
      <c r="I211" s="1294"/>
      <c r="J211" s="1292"/>
      <c r="K211" s="1343">
        <f t="shared" si="10"/>
        <v>235000000</v>
      </c>
      <c r="L211" s="1343">
        <f t="shared" ref="L211:L217" si="12">G211*(POWER(1+$F$16,(B211-B210)/365)-1)</f>
        <v>0</v>
      </c>
      <c r="M211" s="1344">
        <f t="shared" si="11"/>
        <v>0</v>
      </c>
      <c r="N211" s="1146"/>
      <c r="O211" s="1425"/>
      <c r="Q211" s="1293"/>
    </row>
    <row r="212" spans="1:21" ht="15">
      <c r="A212" s="1277"/>
      <c r="B212" s="1296">
        <v>40679</v>
      </c>
      <c r="C212" s="1290" t="s">
        <v>702</v>
      </c>
      <c r="D212" s="1291"/>
      <c r="E212" s="1291">
        <v>-235000000</v>
      </c>
      <c r="F212" s="1294">
        <f>SUM($E$81:E212)</f>
        <v>565000000</v>
      </c>
      <c r="G212" s="1294">
        <f t="shared" si="9"/>
        <v>793534871.15468109</v>
      </c>
      <c r="H212" s="1358">
        <v>145034.17000000001</v>
      </c>
      <c r="I212" s="1294"/>
      <c r="J212" s="1292"/>
      <c r="K212" s="1343">
        <f t="shared" si="10"/>
        <v>-235145034.16999999</v>
      </c>
      <c r="L212" s="1343">
        <f t="shared" si="12"/>
        <v>726362.81784393464</v>
      </c>
      <c r="M212" s="1344">
        <f t="shared" si="11"/>
        <v>581328.6478439346</v>
      </c>
      <c r="N212" s="1146"/>
      <c r="O212" s="1425"/>
      <c r="Q212" s="1293"/>
    </row>
    <row r="213" spans="1:21" ht="15">
      <c r="A213" s="1277"/>
      <c r="B213" s="1296">
        <v>40679</v>
      </c>
      <c r="C213" s="1290" t="s">
        <v>702</v>
      </c>
      <c r="D213" s="1291"/>
      <c r="E213" s="1291">
        <v>235000000</v>
      </c>
      <c r="F213" s="1294">
        <f>SUM($E$81:E213)</f>
        <v>800000000</v>
      </c>
      <c r="G213" s="1294">
        <f t="shared" si="9"/>
        <v>559116199.80252504</v>
      </c>
      <c r="H213" s="1358">
        <v>0</v>
      </c>
      <c r="I213" s="1294"/>
      <c r="J213" s="1292"/>
      <c r="K213" s="1343">
        <f t="shared" si="10"/>
        <v>235000000</v>
      </c>
      <c r="L213" s="1343">
        <f t="shared" si="12"/>
        <v>0</v>
      </c>
      <c r="M213" s="1344">
        <f t="shared" si="11"/>
        <v>0</v>
      </c>
      <c r="N213" s="1146"/>
      <c r="O213" s="1425"/>
      <c r="Q213" s="1293"/>
    </row>
    <row r="214" spans="1:21" ht="15">
      <c r="A214" s="1277"/>
      <c r="B214" s="1296">
        <v>40686</v>
      </c>
      <c r="C214" s="1290" t="s">
        <v>702</v>
      </c>
      <c r="D214" s="1291"/>
      <c r="E214" s="1291">
        <v>-235000000</v>
      </c>
      <c r="F214" s="1294">
        <f>SUM($E$81:E214)</f>
        <v>565000000</v>
      </c>
      <c r="G214" s="1294">
        <f>G213+E213-I213-J213+M213</f>
        <v>794116199.80252504</v>
      </c>
      <c r="H214" s="1358">
        <v>144805.69</v>
      </c>
      <c r="I214" s="1294"/>
      <c r="J214" s="1292"/>
      <c r="K214" s="1343">
        <f>E214-H214-I214-J214</f>
        <v>-235144805.69</v>
      </c>
      <c r="L214" s="1343">
        <f>G214*(POWER(1+$F$16,(B214-B213)/365)-1)</f>
        <v>726894.93751515576</v>
      </c>
      <c r="M214" s="1344">
        <f t="shared" si="11"/>
        <v>582089.2475151557</v>
      </c>
      <c r="N214" s="1146"/>
      <c r="O214" s="1425"/>
      <c r="Q214" s="1293"/>
    </row>
    <row r="215" spans="1:21" ht="15">
      <c r="A215" s="1277"/>
      <c r="B215" s="1296">
        <v>40686</v>
      </c>
      <c r="C215" s="1290" t="s">
        <v>702</v>
      </c>
      <c r="D215" s="1291"/>
      <c r="E215" s="1291">
        <v>50000000</v>
      </c>
      <c r="F215" s="1294">
        <f>SUM($E$81:E215)</f>
        <v>615000000</v>
      </c>
      <c r="G215" s="1294">
        <f t="shared" ref="G215:G223" si="13">G214+E214-I214-J214+M214</f>
        <v>559698289.05004025</v>
      </c>
      <c r="H215" s="1358"/>
      <c r="I215" s="1294"/>
      <c r="J215" s="1292"/>
      <c r="K215" s="1343">
        <f>E215-H215-I215-J215</f>
        <v>50000000</v>
      </c>
      <c r="L215" s="1343">
        <f t="shared" si="12"/>
        <v>0</v>
      </c>
      <c r="M215" s="1344">
        <f t="shared" si="11"/>
        <v>0</v>
      </c>
      <c r="N215" s="1146"/>
      <c r="O215" s="1425"/>
      <c r="Q215" s="1293"/>
    </row>
    <row r="216" spans="1:21" ht="15">
      <c r="A216" s="1277"/>
      <c r="B216" s="1296">
        <v>40689</v>
      </c>
      <c r="C216" s="1290" t="s">
        <v>702</v>
      </c>
      <c r="D216" s="1291"/>
      <c r="E216" s="1291">
        <v>-115000000</v>
      </c>
      <c r="F216" s="1294">
        <f>SUM($E$81:E216)</f>
        <v>500000000</v>
      </c>
      <c r="G216" s="1294">
        <f t="shared" si="13"/>
        <v>609698289.05004025</v>
      </c>
      <c r="H216" s="1358">
        <v>307912.5</v>
      </c>
      <c r="I216" s="1294">
        <f>8656.58+225000</f>
        <v>233656.58</v>
      </c>
      <c r="J216" s="1292"/>
      <c r="K216" s="1343">
        <f t="shared" si="10"/>
        <v>-115541569.08</v>
      </c>
      <c r="L216" s="1343">
        <f t="shared" si="12"/>
        <v>239117.98297135986</v>
      </c>
      <c r="M216" s="1344">
        <f t="shared" si="11"/>
        <v>-68794.517028640141</v>
      </c>
      <c r="N216" s="1146"/>
      <c r="O216" s="1425"/>
      <c r="Q216" s="1293"/>
    </row>
    <row r="217" spans="1:21" ht="15">
      <c r="A217" s="1277"/>
      <c r="B217" s="1296">
        <v>40717</v>
      </c>
      <c r="C217" s="1290" t="s">
        <v>702</v>
      </c>
      <c r="D217" s="1291"/>
      <c r="E217" s="1291">
        <v>-50000000</v>
      </c>
      <c r="F217" s="1294">
        <f>SUM($E$81:E217)</f>
        <v>450000000</v>
      </c>
      <c r="G217" s="1294">
        <f t="shared" si="13"/>
        <v>494395837.95301163</v>
      </c>
      <c r="H217" s="1358">
        <v>88994.45</v>
      </c>
      <c r="I217" s="1294"/>
      <c r="J217" s="1292">
        <v>0</v>
      </c>
      <c r="K217" s="1343">
        <f t="shared" si="10"/>
        <v>-50088994.450000003</v>
      </c>
      <c r="L217" s="1343">
        <f t="shared" si="12"/>
        <v>1812669.5449126158</v>
      </c>
      <c r="M217" s="1344">
        <f t="shared" si="11"/>
        <v>1723675.0949126158</v>
      </c>
      <c r="N217" s="1347"/>
      <c r="O217" s="1440"/>
      <c r="P217" s="1197"/>
      <c r="Q217" s="1447"/>
      <c r="R217" s="1112"/>
      <c r="S217" s="1284"/>
    </row>
    <row r="218" spans="1:21" ht="15.6">
      <c r="A218" s="1277"/>
      <c r="B218" s="1296">
        <v>40717</v>
      </c>
      <c r="C218" s="1290" t="s">
        <v>702</v>
      </c>
      <c r="D218" s="1291"/>
      <c r="E218" s="1291">
        <v>20000000</v>
      </c>
      <c r="F218" s="1294">
        <f>SUM($E$81:E218)</f>
        <v>470000000</v>
      </c>
      <c r="G218" s="1294">
        <f t="shared" si="13"/>
        <v>446119513.04792422</v>
      </c>
      <c r="H218" s="1505">
        <v>0</v>
      </c>
      <c r="I218" s="1294"/>
      <c r="J218" s="1292">
        <v>0</v>
      </c>
      <c r="K218" s="1343">
        <f>E218-H218-I218-J218</f>
        <v>20000000</v>
      </c>
      <c r="L218" s="1343">
        <f>G218*(POWER(1+$F$16,(B218-B217)/365)-1)</f>
        <v>0</v>
      </c>
      <c r="M218" s="1344">
        <f>+L218-H218</f>
        <v>0</v>
      </c>
      <c r="N218" s="1347"/>
      <c r="O218" s="1440"/>
      <c r="P218" s="1197"/>
      <c r="Q218" s="1447"/>
      <c r="R218" s="1112"/>
      <c r="S218" s="1284"/>
    </row>
    <row r="219" spans="1:21" ht="15.6">
      <c r="A219" s="1277"/>
      <c r="B219" s="1296">
        <v>40730</v>
      </c>
      <c r="C219" s="1290" t="s">
        <v>703</v>
      </c>
      <c r="D219" s="1291"/>
      <c r="E219" s="1291"/>
      <c r="F219" s="1294">
        <f>SUM($E$81:E219)</f>
        <v>470000000</v>
      </c>
      <c r="G219" s="1294">
        <f t="shared" si="13"/>
        <v>466119513.04792422</v>
      </c>
      <c r="H219" s="1505"/>
      <c r="I219" s="1294"/>
      <c r="J219" s="1362">
        <v>171736.11</v>
      </c>
      <c r="K219" s="1343">
        <f>E219-H219-I219-J219</f>
        <v>-171736.11</v>
      </c>
      <c r="L219" s="1343">
        <f>G219*(POWER(1+$F$16,(B219-B218)/365)-1)</f>
        <v>792684.7714785717</v>
      </c>
      <c r="M219" s="1344">
        <f>+L219-H219</f>
        <v>792684.7714785717</v>
      </c>
      <c r="N219" s="1347"/>
      <c r="O219" s="1440"/>
      <c r="P219" s="1197"/>
      <c r="Q219" s="1447"/>
      <c r="R219" s="1112"/>
      <c r="S219" s="1284"/>
    </row>
    <row r="220" spans="1:21" ht="15">
      <c r="A220" s="1277"/>
      <c r="B220" s="1296">
        <v>40739</v>
      </c>
      <c r="C220" s="1290" t="s">
        <v>703</v>
      </c>
      <c r="D220" s="1291"/>
      <c r="E220" s="1291"/>
      <c r="F220" s="1294">
        <f>SUM($E$81:E220)</f>
        <v>470000000</v>
      </c>
      <c r="G220" s="1294">
        <f t="shared" si="13"/>
        <v>466740461.7094028</v>
      </c>
      <c r="H220" s="1294">
        <f>C$44*H$44/2</f>
        <v>9000000</v>
      </c>
      <c r="I220" s="1294"/>
      <c r="J220" s="1362"/>
      <c r="K220" s="1343">
        <f t="shared" si="10"/>
        <v>-9000000</v>
      </c>
      <c r="L220" s="1343">
        <f>G220*(POWER(1+$F$16,(B220-B219)/365)-1)</f>
        <v>549369.1700449714</v>
      </c>
      <c r="M220" s="1344">
        <f>+L220-H220</f>
        <v>-8450630.8299550284</v>
      </c>
      <c r="N220" s="1347"/>
      <c r="O220" s="1303"/>
      <c r="P220" s="713"/>
      <c r="Q220" s="1448"/>
      <c r="R220" s="1440"/>
      <c r="S220" s="1449"/>
      <c r="U220" s="1146"/>
    </row>
    <row r="221" spans="1:21" ht="15">
      <c r="A221" s="1277"/>
      <c r="B221" s="1296">
        <v>40749</v>
      </c>
      <c r="C221" s="1290" t="s">
        <v>703</v>
      </c>
      <c r="D221" s="1291"/>
      <c r="E221" s="1291">
        <v>-20000000</v>
      </c>
      <c r="F221" s="1294">
        <f>SUM($E$81:E221)</f>
        <v>450000000</v>
      </c>
      <c r="G221" s="1294">
        <f t="shared" si="13"/>
        <v>458289830.87944776</v>
      </c>
      <c r="H221" s="1358">
        <v>34417.78</v>
      </c>
      <c r="I221" s="1294"/>
      <c r="J221" s="1362">
        <v>0</v>
      </c>
      <c r="K221" s="1343">
        <f t="shared" si="10"/>
        <v>-20034417.780000001</v>
      </c>
      <c r="L221" s="1343">
        <f>G221*(POWER(1+$F$16,(B221-B220)/365)-1)</f>
        <v>599397.50579294411</v>
      </c>
      <c r="M221" s="1344">
        <f>+L221-H221</f>
        <v>564979.72579294408</v>
      </c>
      <c r="N221" s="1347"/>
      <c r="O221" s="1303"/>
      <c r="P221" s="713"/>
      <c r="Q221" s="1448"/>
      <c r="R221" s="1440"/>
      <c r="S221" s="1449"/>
      <c r="U221" s="1146"/>
    </row>
    <row r="222" spans="1:21" ht="15">
      <c r="A222" s="1277"/>
      <c r="B222" s="1296">
        <v>40834</v>
      </c>
      <c r="C222" s="1290" t="s">
        <v>704</v>
      </c>
      <c r="D222" s="1291"/>
      <c r="E222" s="1291"/>
      <c r="F222" s="1294">
        <f>SUM($E$81:E222)</f>
        <v>450000000</v>
      </c>
      <c r="G222" s="1294">
        <f t="shared" si="13"/>
        <v>438854810.6052407</v>
      </c>
      <c r="H222" s="1294"/>
      <c r="I222" s="1294"/>
      <c r="J222" s="1362">
        <v>290416.67</v>
      </c>
      <c r="K222" s="1343">
        <f t="shared" si="10"/>
        <v>-290416.67</v>
      </c>
      <c r="L222" s="1343">
        <f t="shared" ref="L222:L231" si="14">G222*(POWER(1+$F$16,(B222-B221)/365)-1)</f>
        <v>4902813.3852883819</v>
      </c>
      <c r="M222" s="1344">
        <f t="shared" ref="M222:M231" si="15">+L222-H222</f>
        <v>4902813.3852883819</v>
      </c>
      <c r="N222" s="1347"/>
      <c r="O222" s="1303"/>
      <c r="P222" s="713"/>
      <c r="Q222" s="1448"/>
      <c r="R222" s="1440"/>
      <c r="S222" s="1449"/>
      <c r="U222" s="1146"/>
    </row>
    <row r="223" spans="1:21" ht="15">
      <c r="A223" s="1277"/>
      <c r="B223" s="1296">
        <v>40925</v>
      </c>
      <c r="C223" s="1290" t="s">
        <v>701</v>
      </c>
      <c r="D223" s="1291"/>
      <c r="E223" s="1291"/>
      <c r="F223" s="1294">
        <f>SUM($E$81:E223)</f>
        <v>450000000</v>
      </c>
      <c r="G223" s="1294">
        <f t="shared" si="13"/>
        <v>443467207.32052904</v>
      </c>
      <c r="H223" s="1294">
        <f>C$44*H$44/2</f>
        <v>9000000</v>
      </c>
      <c r="I223" s="1294"/>
      <c r="J223" s="1291"/>
      <c r="K223" s="1343">
        <f>E223-H223-I223-J223</f>
        <v>-9000000</v>
      </c>
      <c r="L223" s="1343">
        <f t="shared" si="14"/>
        <v>5306144.7917474294</v>
      </c>
      <c r="M223" s="1344">
        <f t="shared" si="15"/>
        <v>-3693855.2082525706</v>
      </c>
      <c r="N223" s="1347"/>
      <c r="O223" s="1303"/>
      <c r="P223" s="713"/>
      <c r="Q223" s="1448"/>
      <c r="R223" s="1440"/>
      <c r="S223" s="1284"/>
    </row>
    <row r="224" spans="1:21" ht="15.6">
      <c r="A224" s="1277"/>
      <c r="B224" s="1296">
        <v>40970</v>
      </c>
      <c r="C224" s="1290" t="s">
        <v>701</v>
      </c>
      <c r="D224" s="1291"/>
      <c r="E224" s="1502"/>
      <c r="F224" s="1294">
        <f>SUM($E$81:E224)</f>
        <v>450000000</v>
      </c>
      <c r="G224" s="1294">
        <f t="shared" ref="G224:G230" si="16">G223+E223-I223-J223+M223</f>
        <v>439773352.11227649</v>
      </c>
      <c r="H224" s="1294"/>
      <c r="I224" s="1358">
        <v>3070</v>
      </c>
      <c r="J224" s="1291"/>
      <c r="K224" s="1343">
        <f>E224-H224-I224-J224</f>
        <v>-3070</v>
      </c>
      <c r="L224" s="1343">
        <f t="shared" si="14"/>
        <v>2594239.7204394965</v>
      </c>
      <c r="M224" s="1344">
        <f t="shared" si="15"/>
        <v>2594239.7204394965</v>
      </c>
      <c r="N224" s="1347"/>
      <c r="O224" s="1303"/>
      <c r="P224" s="713"/>
      <c r="Q224" s="1448"/>
      <c r="R224" s="1440"/>
      <c r="S224" s="1284"/>
    </row>
    <row r="225" spans="1:19" ht="15">
      <c r="A225" s="1277"/>
      <c r="B225" s="1296">
        <v>41105</v>
      </c>
      <c r="C225" s="1290" t="s">
        <v>703</v>
      </c>
      <c r="D225" s="1291"/>
      <c r="E225" s="1291"/>
      <c r="F225" s="1294">
        <f>SUM($E$81:E225)</f>
        <v>450000000</v>
      </c>
      <c r="G225" s="1294">
        <f t="shared" si="16"/>
        <v>442364521.83271599</v>
      </c>
      <c r="H225" s="1294">
        <f>C$44*H$44/2</f>
        <v>9000000</v>
      </c>
      <c r="I225" s="1294"/>
      <c r="J225" s="1291"/>
      <c r="K225" s="1343">
        <f t="shared" si="10"/>
        <v>-9000000</v>
      </c>
      <c r="L225" s="1343">
        <f t="shared" si="14"/>
        <v>7874847.259075867</v>
      </c>
      <c r="M225" s="1344">
        <f t="shared" si="15"/>
        <v>-1125152.740924133</v>
      </c>
      <c r="N225" s="1347"/>
      <c r="O225" s="1450"/>
      <c r="P225" s="713"/>
      <c r="Q225" s="1451"/>
      <c r="R225" s="1440"/>
      <c r="S225" s="1284"/>
    </row>
    <row r="226" spans="1:19" ht="15">
      <c r="A226" s="1277"/>
      <c r="B226" s="1296">
        <v>41289</v>
      </c>
      <c r="C226" s="1290" t="s">
        <v>701</v>
      </c>
      <c r="D226" s="1291"/>
      <c r="E226" s="1291"/>
      <c r="F226" s="1294">
        <f>SUM($E$81:E226)</f>
        <v>450000000</v>
      </c>
      <c r="G226" s="1294">
        <f t="shared" si="16"/>
        <v>441239369.09179187</v>
      </c>
      <c r="H226" s="1294">
        <v>9000000</v>
      </c>
      <c r="I226" s="1294"/>
      <c r="J226" s="1291"/>
      <c r="K226" s="1343">
        <f t="shared" si="10"/>
        <v>-9000000</v>
      </c>
      <c r="L226" s="1343">
        <f t="shared" si="14"/>
        <v>10740282.798111219</v>
      </c>
      <c r="M226" s="1344">
        <f t="shared" si="15"/>
        <v>1740282.798111219</v>
      </c>
      <c r="N226" s="1347"/>
      <c r="O226" s="1303"/>
      <c r="P226" s="713"/>
      <c r="Q226" s="1451"/>
      <c r="R226" s="1440"/>
      <c r="S226" s="1284"/>
    </row>
    <row r="227" spans="1:19" ht="15">
      <c r="A227" s="1277"/>
      <c r="B227" s="1296">
        <v>41470</v>
      </c>
      <c r="C227" s="1290" t="s">
        <v>703</v>
      </c>
      <c r="D227" s="1291"/>
      <c r="E227" s="1291"/>
      <c r="F227" s="1294">
        <f>SUM($E$81:E227)</f>
        <v>450000000</v>
      </c>
      <c r="G227" s="1294">
        <f t="shared" si="16"/>
        <v>442979651.88990307</v>
      </c>
      <c r="H227" s="1294">
        <f>C$44*H$44/2</f>
        <v>9000000</v>
      </c>
      <c r="I227" s="1294"/>
      <c r="J227" s="1291"/>
      <c r="K227" s="1343">
        <f t="shared" si="10"/>
        <v>-9000000</v>
      </c>
      <c r="L227" s="1343">
        <f t="shared" si="14"/>
        <v>10604751.74573198</v>
      </c>
      <c r="M227" s="1344">
        <f t="shared" si="15"/>
        <v>1604751.7457319796</v>
      </c>
      <c r="N227" s="1347"/>
      <c r="O227" s="713"/>
      <c r="P227" s="713"/>
      <c r="Q227" s="1112"/>
      <c r="R227" s="1452"/>
      <c r="S227" s="1284"/>
    </row>
    <row r="228" spans="1:19" ht="15">
      <c r="A228" s="1277"/>
      <c r="B228" s="1296">
        <v>41654</v>
      </c>
      <c r="C228" s="1290" t="s">
        <v>701</v>
      </c>
      <c r="D228" s="1291"/>
      <c r="E228" s="1291"/>
      <c r="F228" s="1294">
        <f>SUM($E$81:E228)</f>
        <v>450000000</v>
      </c>
      <c r="G228" s="1294">
        <f t="shared" si="16"/>
        <v>444584403.63563502</v>
      </c>
      <c r="H228" s="1294">
        <f>C$44*H$44/2</f>
        <v>9000000</v>
      </c>
      <c r="I228" s="1294"/>
      <c r="J228" s="1291"/>
      <c r="K228" s="1343">
        <f t="shared" si="10"/>
        <v>-9000000</v>
      </c>
      <c r="L228" s="1343">
        <f t="shared" si="14"/>
        <v>10821704.854906093</v>
      </c>
      <c r="M228" s="1344">
        <f t="shared" si="15"/>
        <v>1821704.8549060933</v>
      </c>
      <c r="N228" s="1347"/>
      <c r="O228" s="713"/>
      <c r="P228" s="1453"/>
      <c r="Q228" s="1112"/>
      <c r="R228" s="1112"/>
      <c r="S228" s="1284"/>
    </row>
    <row r="229" spans="1:19" ht="15">
      <c r="A229" s="1277"/>
      <c r="B229" s="1296">
        <v>41835</v>
      </c>
      <c r="C229" s="1290" t="s">
        <v>703</v>
      </c>
      <c r="D229" s="1291"/>
      <c r="E229" s="1291"/>
      <c r="F229" s="1294">
        <f>SUM($E$81:E229)</f>
        <v>450000000</v>
      </c>
      <c r="G229" s="1294">
        <f t="shared" si="16"/>
        <v>446406108.4905411</v>
      </c>
      <c r="H229" s="1294">
        <f>C$44*H$44/2</f>
        <v>9000000</v>
      </c>
      <c r="I229" s="1294"/>
      <c r="J229" s="1291"/>
      <c r="K229" s="1343">
        <f t="shared" si="10"/>
        <v>-9000000</v>
      </c>
      <c r="L229" s="1343">
        <f t="shared" si="14"/>
        <v>10686779.715780413</v>
      </c>
      <c r="M229" s="1344">
        <f t="shared" si="15"/>
        <v>1686779.7157804128</v>
      </c>
      <c r="N229" s="1146"/>
      <c r="O229" s="713"/>
      <c r="P229" s="1454"/>
      <c r="Q229" s="1112"/>
      <c r="R229" s="1455"/>
      <c r="S229" s="1284"/>
    </row>
    <row r="230" spans="1:19" ht="15">
      <c r="A230" s="1277"/>
      <c r="B230" s="1296">
        <v>42019</v>
      </c>
      <c r="C230" s="1290" t="s">
        <v>701</v>
      </c>
      <c r="D230" s="1291"/>
      <c r="E230" s="1291">
        <v>-450000000</v>
      </c>
      <c r="F230" s="1294">
        <f>SUM($E$81:E230)</f>
        <v>0</v>
      </c>
      <c r="G230" s="1294">
        <f t="shared" si="16"/>
        <v>448092888.20632154</v>
      </c>
      <c r="H230" s="1294">
        <f>C$44*H$44/2</f>
        <v>9000000</v>
      </c>
      <c r="I230" s="1294"/>
      <c r="J230" s="1291"/>
      <c r="K230" s="1343">
        <f t="shared" si="10"/>
        <v>-459000000</v>
      </c>
      <c r="L230" s="1343">
        <f t="shared" si="14"/>
        <v>10907105.47670361</v>
      </c>
      <c r="M230" s="1344">
        <f t="shared" si="15"/>
        <v>1907105.4767036103</v>
      </c>
      <c r="N230" s="1146"/>
      <c r="O230" s="1027"/>
      <c r="Q230" s="1144"/>
    </row>
    <row r="231" spans="1:19" ht="15">
      <c r="A231" s="1277"/>
      <c r="B231" s="1296"/>
      <c r="C231" s="1290"/>
      <c r="D231" s="1291"/>
      <c r="E231" s="1291"/>
      <c r="F231" s="1294"/>
      <c r="G231" s="1294"/>
      <c r="H231" s="1294"/>
      <c r="I231" s="1294"/>
      <c r="J231" s="1291"/>
      <c r="K231" s="1343"/>
      <c r="L231" s="1343">
        <f t="shared" si="14"/>
        <v>0</v>
      </c>
      <c r="M231" s="1344">
        <f t="shared" si="15"/>
        <v>0</v>
      </c>
      <c r="N231" s="1146"/>
      <c r="O231" s="1027"/>
      <c r="Q231" s="1144"/>
    </row>
    <row r="232" spans="1:19" ht="15">
      <c r="A232" s="1110"/>
      <c r="B232" s="1456"/>
      <c r="C232" s="1457"/>
      <c r="D232" s="1458"/>
      <c r="E232" s="1458"/>
      <c r="F232" s="1146"/>
      <c r="G232" s="1146"/>
      <c r="H232" s="1146"/>
      <c r="I232" s="1146"/>
      <c r="J232" s="1459"/>
      <c r="K232" s="1343"/>
      <c r="L232" s="1343" t="s">
        <v>525</v>
      </c>
      <c r="M232" s="1344" t="s">
        <v>525</v>
      </c>
      <c r="N232" s="1146"/>
      <c r="O232" s="1027"/>
    </row>
    <row r="233" spans="1:19" ht="15">
      <c r="A233" s="1110"/>
      <c r="B233" s="1456"/>
      <c r="C233" s="1457"/>
      <c r="D233" s="1458"/>
      <c r="E233" s="1458"/>
      <c r="F233" s="1146"/>
      <c r="G233" s="1146"/>
      <c r="H233" s="1146"/>
      <c r="I233" s="1306"/>
      <c r="J233" s="1306"/>
      <c r="K233" s="1343"/>
      <c r="L233" s="1343" t="s">
        <v>525</v>
      </c>
      <c r="M233" s="1344" t="s">
        <v>525</v>
      </c>
      <c r="N233" s="1146"/>
      <c r="O233" s="1027"/>
    </row>
    <row r="234" spans="1:19" ht="15">
      <c r="A234" s="1110"/>
      <c r="B234" s="1456"/>
      <c r="C234" s="1457"/>
      <c r="D234" s="1458"/>
      <c r="E234" s="1458"/>
      <c r="F234" s="1146"/>
      <c r="G234" s="1146" t="s">
        <v>525</v>
      </c>
      <c r="H234" s="1146"/>
      <c r="I234" s="1306"/>
      <c r="J234" s="1306"/>
      <c r="K234" s="1343"/>
      <c r="L234" s="1343"/>
      <c r="M234" s="1344"/>
      <c r="N234" s="1146"/>
      <c r="O234" s="1027"/>
    </row>
    <row r="235" spans="1:19" ht="15.6" thickBot="1">
      <c r="A235" s="1110"/>
      <c r="B235" s="1460"/>
      <c r="C235" s="1461"/>
      <c r="D235" s="1462"/>
      <c r="E235" s="1463"/>
      <c r="F235" s="1463"/>
      <c r="G235" s="1464"/>
      <c r="H235" s="1464"/>
      <c r="I235" s="1464"/>
      <c r="J235" s="1464"/>
      <c r="K235" s="1348"/>
      <c r="L235" s="1348"/>
      <c r="M235" s="1349"/>
      <c r="N235" s="1306"/>
      <c r="O235" s="1293"/>
    </row>
    <row r="236" spans="1:19" ht="15">
      <c r="F236" s="1147"/>
      <c r="G236" s="1293"/>
      <c r="H236" s="1146"/>
      <c r="I236" s="1146"/>
      <c r="J236" s="1146"/>
      <c r="K236" s="1146"/>
      <c r="L236" s="1146"/>
      <c r="M236" s="1146"/>
      <c r="N236" s="1146"/>
      <c r="O236" s="1027"/>
    </row>
    <row r="237" spans="1:19" ht="15">
      <c r="A237" s="1145"/>
      <c r="B237" s="1147" t="s">
        <v>321</v>
      </c>
      <c r="G237" s="1293"/>
      <c r="H237" s="1293"/>
      <c r="I237" s="1146"/>
      <c r="J237" s="1146"/>
      <c r="K237" s="1146"/>
      <c r="L237" s="1146"/>
      <c r="M237" s="1146"/>
      <c r="N237" s="1146"/>
      <c r="O237" s="1425"/>
    </row>
    <row r="238" spans="1:19">
      <c r="G238" s="1293"/>
      <c r="H238" s="1293"/>
      <c r="I238" s="1293"/>
      <c r="J238" s="1293"/>
      <c r="K238" s="1293"/>
      <c r="L238" s="1293"/>
      <c r="M238" s="1293"/>
      <c r="N238" s="1293"/>
      <c r="O238" s="1293"/>
    </row>
    <row r="239" spans="1:19">
      <c r="G239" s="1293"/>
      <c r="H239" s="1293"/>
      <c r="I239" s="1293"/>
      <c r="J239" s="1465" t="s">
        <v>525</v>
      </c>
      <c r="K239" s="1293"/>
      <c r="L239" s="1293"/>
      <c r="M239" s="1293"/>
      <c r="N239" s="1293"/>
      <c r="O239" s="1293"/>
    </row>
    <row r="240" spans="1:19" ht="15">
      <c r="G240" s="1293"/>
      <c r="H240" s="1146" t="s">
        <v>525</v>
      </c>
      <c r="I240" s="1293"/>
      <c r="J240" s="1293"/>
      <c r="K240" s="1293"/>
      <c r="L240" s="1293"/>
      <c r="M240" s="1293"/>
      <c r="N240" s="1293"/>
      <c r="O240" s="1293"/>
    </row>
    <row r="241" spans="1:15">
      <c r="G241" s="1293"/>
      <c r="H241" s="1293"/>
      <c r="I241" s="1293"/>
      <c r="J241" s="1027"/>
      <c r="K241" s="1293"/>
      <c r="L241" s="1293"/>
      <c r="M241" s="1293"/>
      <c r="N241" s="1293"/>
      <c r="O241" s="1293"/>
    </row>
    <row r="242" spans="1:15">
      <c r="A242" s="1284"/>
      <c r="B242" s="1284"/>
      <c r="C242" s="1284"/>
      <c r="D242" s="1284"/>
      <c r="E242" s="1284"/>
      <c r="F242" s="1284"/>
      <c r="G242" s="1302"/>
      <c r="H242" s="1293"/>
      <c r="I242" s="1465"/>
      <c r="J242" s="1027"/>
      <c r="K242" s="1293"/>
      <c r="L242" s="1293"/>
      <c r="M242" s="1293"/>
      <c r="N242" s="1293"/>
      <c r="O242" s="1293"/>
    </row>
    <row r="243" spans="1:15">
      <c r="A243" s="1284"/>
      <c r="B243" s="1284"/>
      <c r="C243" s="1302"/>
      <c r="D243" s="1466"/>
      <c r="E243" s="1284"/>
      <c r="F243" s="1466"/>
      <c r="G243" s="1302"/>
      <c r="H243" s="1293"/>
      <c r="I243" s="1465"/>
      <c r="J243" s="1293"/>
      <c r="K243" s="1293"/>
      <c r="L243" s="1293"/>
      <c r="M243" s="1293"/>
      <c r="N243" s="1293"/>
      <c r="O243" s="1293"/>
    </row>
    <row r="244" spans="1:15">
      <c r="A244" s="1284"/>
      <c r="B244" s="1284"/>
      <c r="C244" s="1302"/>
      <c r="D244" s="1466"/>
      <c r="E244" s="1284"/>
      <c r="F244" s="1284"/>
      <c r="G244" s="1302"/>
      <c r="H244" s="1293"/>
      <c r="I244" s="1293"/>
      <c r="J244" s="1293"/>
      <c r="K244" s="1293"/>
      <c r="L244" s="1293"/>
      <c r="M244" s="1293"/>
      <c r="N244" s="1293"/>
      <c r="O244" s="1293"/>
    </row>
    <row r="245" spans="1:15">
      <c r="A245" s="1284"/>
      <c r="B245" s="1284"/>
      <c r="C245" s="1302"/>
      <c r="D245" s="1466"/>
      <c r="E245" s="1284"/>
      <c r="F245" s="1284"/>
      <c r="G245" s="1302"/>
      <c r="H245" s="1293"/>
      <c r="I245" s="1293"/>
      <c r="J245" s="1293"/>
      <c r="K245" s="1293"/>
      <c r="L245" s="1293"/>
      <c r="M245" s="1293"/>
      <c r="N245" s="1293"/>
      <c r="O245" s="1293"/>
    </row>
    <row r="246" spans="1:15">
      <c r="A246" s="1284"/>
      <c r="B246" s="1284"/>
      <c r="C246" s="1302"/>
      <c r="D246" s="1466"/>
      <c r="E246" s="1284"/>
      <c r="F246" s="1284"/>
      <c r="G246" s="1302"/>
      <c r="H246" s="1293"/>
      <c r="I246" s="1293"/>
      <c r="J246" s="1293"/>
      <c r="K246" s="1293"/>
      <c r="L246" s="1293"/>
      <c r="M246" s="1293"/>
      <c r="N246" s="1293"/>
      <c r="O246" s="1293"/>
    </row>
    <row r="247" spans="1:15">
      <c r="A247" s="1284"/>
      <c r="B247" s="1284"/>
      <c r="C247" s="1302"/>
      <c r="D247" s="1466"/>
      <c r="E247" s="1284"/>
      <c r="F247" s="1284"/>
      <c r="G247" s="1302"/>
      <c r="H247" s="1293"/>
      <c r="I247" s="1293"/>
      <c r="J247" s="1293"/>
      <c r="K247" s="1293"/>
      <c r="L247" s="1293"/>
      <c r="M247" s="1293"/>
      <c r="N247" s="1293"/>
      <c r="O247" s="1293"/>
    </row>
    <row r="248" spans="1:15">
      <c r="A248" s="1284"/>
      <c r="B248" s="1284"/>
      <c r="C248" s="1284"/>
      <c r="D248" s="1466"/>
      <c r="E248" s="1284"/>
      <c r="F248" s="1284"/>
      <c r="G248" s="1302"/>
      <c r="H248" s="1467"/>
      <c r="I248" s="1293"/>
      <c r="J248" s="1293"/>
      <c r="K248" s="1293"/>
      <c r="L248" s="1293"/>
      <c r="M248" s="1293"/>
      <c r="N248" s="1293"/>
      <c r="O248" s="1293"/>
    </row>
    <row r="249" spans="1:15">
      <c r="A249" s="1284"/>
      <c r="B249" s="1284"/>
      <c r="C249" s="1284"/>
      <c r="D249" s="1284"/>
      <c r="E249" s="1284"/>
      <c r="F249" s="1284"/>
      <c r="G249" s="1302"/>
      <c r="H249" s="1467"/>
      <c r="I249" s="1293"/>
      <c r="J249" s="1293"/>
      <c r="K249" s="1293"/>
      <c r="L249" s="1293"/>
      <c r="M249" s="1293"/>
      <c r="N249" s="1293"/>
      <c r="O249" s="1293"/>
    </row>
    <row r="250" spans="1:15">
      <c r="A250" s="1284"/>
      <c r="B250" s="1284"/>
      <c r="C250" s="1302"/>
      <c r="D250" s="1466"/>
      <c r="E250" s="1284"/>
      <c r="F250" s="1284"/>
      <c r="G250" s="1302"/>
      <c r="H250" s="1293"/>
      <c r="I250" s="1293"/>
      <c r="J250" s="1293"/>
      <c r="K250" s="1293"/>
      <c r="L250" s="1293"/>
      <c r="M250" s="1293"/>
      <c r="N250" s="1293"/>
      <c r="O250" s="1293"/>
    </row>
    <row r="251" spans="1:15">
      <c r="A251" s="1284"/>
      <c r="B251" s="1284"/>
      <c r="C251" s="1284"/>
      <c r="D251" s="1284"/>
      <c r="E251" s="1284"/>
      <c r="F251" s="1284"/>
      <c r="G251" s="1302"/>
      <c r="H251" s="1293"/>
      <c r="I251" s="1293"/>
      <c r="J251" s="1293"/>
      <c r="K251" s="1293"/>
      <c r="L251" s="1293"/>
      <c r="M251" s="1293"/>
      <c r="N251" s="1293"/>
      <c r="O251" s="1293"/>
    </row>
    <row r="252" spans="1:15">
      <c r="A252" s="1284"/>
      <c r="B252" s="1284"/>
      <c r="C252" s="1302"/>
      <c r="D252" s="1466"/>
      <c r="E252" s="1284"/>
      <c r="F252" s="1284"/>
      <c r="G252" s="1302"/>
      <c r="H252" s="1293"/>
      <c r="I252" s="1293"/>
      <c r="J252" s="1293"/>
      <c r="K252" s="1293"/>
      <c r="L252" s="1293"/>
      <c r="M252" s="1293"/>
      <c r="N252" s="1293"/>
      <c r="O252" s="1293"/>
    </row>
    <row r="253" spans="1:15">
      <c r="A253" s="1284"/>
      <c r="B253" s="1284"/>
      <c r="C253" s="1302"/>
      <c r="D253" s="1466"/>
      <c r="E253" s="1284"/>
      <c r="F253" s="1284"/>
      <c r="G253" s="1302"/>
      <c r="H253" s="1293"/>
      <c r="I253" s="1293"/>
      <c r="J253" s="1293"/>
      <c r="K253" s="1293"/>
      <c r="L253" s="1293"/>
      <c r="M253" s="1293"/>
      <c r="N253" s="1293"/>
      <c r="O253" s="1293"/>
    </row>
    <row r="254" spans="1:15">
      <c r="A254" s="1284"/>
      <c r="B254" s="1284"/>
      <c r="C254" s="1284"/>
      <c r="D254" s="1466"/>
      <c r="E254" s="1284"/>
      <c r="F254" s="1284"/>
      <c r="G254" s="1302"/>
      <c r="H254" s="1293"/>
      <c r="I254" s="1293"/>
      <c r="J254" s="1293"/>
      <c r="K254" s="1293"/>
      <c r="L254" s="1293"/>
      <c r="M254" s="1293"/>
      <c r="N254" s="1293"/>
      <c r="O254" s="1293"/>
    </row>
    <row r="255" spans="1:15">
      <c r="A255" s="1284"/>
      <c r="B255" s="1284"/>
      <c r="C255" s="1284"/>
      <c r="D255" s="1284"/>
      <c r="E255" s="1284"/>
      <c r="F255" s="1284"/>
      <c r="G255" s="1302"/>
      <c r="H255" s="1293"/>
      <c r="I255" s="1293"/>
      <c r="J255" s="1293"/>
      <c r="K255" s="1293"/>
      <c r="L255" s="1293"/>
      <c r="M255" s="1293"/>
      <c r="N255" s="1293"/>
      <c r="O255" s="1293"/>
    </row>
    <row r="256" spans="1:15">
      <c r="A256" s="1284"/>
      <c r="B256" s="1284"/>
      <c r="C256" s="1302"/>
      <c r="D256" s="1466"/>
      <c r="E256" s="1284"/>
      <c r="F256" s="1284"/>
      <c r="G256" s="1302"/>
      <c r="H256" s="1293"/>
      <c r="I256" s="1293"/>
      <c r="J256" s="1293"/>
      <c r="K256" s="1293"/>
      <c r="L256" s="1293"/>
      <c r="M256" s="1293"/>
      <c r="N256" s="1293"/>
      <c r="O256" s="1293"/>
    </row>
    <row r="257" spans="1:15">
      <c r="A257" s="1284"/>
      <c r="B257" s="1284"/>
      <c r="C257" s="1302"/>
      <c r="D257" s="1466"/>
      <c r="E257" s="1284"/>
      <c r="F257" s="1284"/>
      <c r="G257" s="1302"/>
      <c r="H257" s="1293"/>
      <c r="I257" s="1293"/>
      <c r="J257" s="1293"/>
      <c r="K257" s="1293"/>
      <c r="L257" s="1293"/>
      <c r="M257" s="1293"/>
      <c r="N257" s="1293"/>
      <c r="O257" s="1293"/>
    </row>
    <row r="258" spans="1:15">
      <c r="A258" s="1284"/>
      <c r="B258" s="1284"/>
      <c r="C258" s="1302"/>
      <c r="D258" s="1466"/>
      <c r="E258" s="1284"/>
      <c r="F258" s="1284"/>
      <c r="G258" s="1302"/>
      <c r="H258" s="1293"/>
      <c r="I258" s="1293"/>
      <c r="J258" s="1293"/>
      <c r="K258" s="1293"/>
      <c r="L258" s="1293"/>
      <c r="M258" s="1293"/>
      <c r="N258" s="1293"/>
      <c r="O258" s="1293"/>
    </row>
    <row r="259" spans="1:15">
      <c r="A259" s="1284"/>
      <c r="B259" s="1284"/>
      <c r="C259" s="1302"/>
      <c r="D259" s="1466"/>
      <c r="E259" s="1284"/>
      <c r="F259" s="1284"/>
      <c r="G259" s="1302"/>
      <c r="H259" s="1293"/>
      <c r="I259" s="1293"/>
      <c r="J259" s="1293"/>
      <c r="K259" s="1293"/>
      <c r="L259" s="1293"/>
      <c r="M259" s="1293"/>
      <c r="N259" s="1293"/>
      <c r="O259" s="1293"/>
    </row>
    <row r="260" spans="1:15">
      <c r="A260" s="1284"/>
      <c r="B260" s="1284"/>
      <c r="C260" s="1302"/>
      <c r="D260" s="1466"/>
      <c r="E260" s="1284"/>
      <c r="F260" s="1284"/>
      <c r="G260" s="1302"/>
      <c r="H260" s="1293"/>
      <c r="I260" s="1293"/>
      <c r="J260" s="1293"/>
      <c r="K260" s="1293"/>
      <c r="L260" s="1293"/>
      <c r="M260" s="1293"/>
      <c r="N260" s="1293"/>
      <c r="O260" s="1293"/>
    </row>
    <row r="261" spans="1:15">
      <c r="A261" s="1284"/>
      <c r="B261" s="1284"/>
      <c r="C261" s="1284"/>
      <c r="D261" s="1284"/>
      <c r="E261" s="1284"/>
      <c r="F261" s="1284"/>
      <c r="G261" s="1302"/>
      <c r="H261" s="1293"/>
      <c r="I261" s="1293"/>
      <c r="J261" s="1293"/>
      <c r="K261" s="1293"/>
      <c r="L261" s="1293"/>
      <c r="M261" s="1293"/>
      <c r="N261" s="1293"/>
      <c r="O261" s="1293"/>
    </row>
    <row r="262" spans="1:15">
      <c r="A262" s="1284"/>
      <c r="B262" s="1284"/>
      <c r="C262" s="1284"/>
      <c r="D262" s="1284"/>
      <c r="E262" s="1284"/>
      <c r="F262" s="1284"/>
      <c r="G262" s="1302"/>
      <c r="H262" s="1293"/>
      <c r="I262" s="1293"/>
      <c r="J262" s="1293"/>
      <c r="K262" s="1293"/>
      <c r="L262" s="1293"/>
      <c r="M262" s="1293"/>
      <c r="N262" s="1293"/>
      <c r="O262" s="1293"/>
    </row>
    <row r="263" spans="1:15">
      <c r="G263" s="1293"/>
      <c r="H263" s="1293"/>
      <c r="I263" s="1293"/>
      <c r="J263" s="1293"/>
      <c r="K263" s="1293"/>
      <c r="L263" s="1293"/>
      <c r="M263" s="1293"/>
      <c r="N263" s="1293"/>
      <c r="O263" s="1293"/>
    </row>
    <row r="264" spans="1:15">
      <c r="G264" s="1293"/>
      <c r="H264" s="1293"/>
      <c r="I264" s="1293"/>
      <c r="J264" s="1293"/>
      <c r="K264" s="1293"/>
      <c r="L264" s="1293"/>
      <c r="M264" s="1293"/>
      <c r="N264" s="1293"/>
      <c r="O264" s="1293"/>
    </row>
    <row r="265" spans="1:15">
      <c r="G265" s="1293"/>
      <c r="H265" s="1293"/>
      <c r="I265" s="1293"/>
      <c r="J265" s="1293"/>
      <c r="K265" s="1293"/>
      <c r="L265" s="1293"/>
      <c r="M265" s="1293"/>
      <c r="N265" s="1293"/>
      <c r="O265" s="1293"/>
    </row>
    <row r="266" spans="1:15">
      <c r="G266" s="1293"/>
      <c r="H266" s="1293"/>
      <c r="I266" s="1293"/>
      <c r="J266" s="1293"/>
      <c r="K266" s="1293"/>
      <c r="L266" s="1293"/>
      <c r="M266" s="1293"/>
      <c r="N266" s="1293"/>
      <c r="O266" s="1293"/>
    </row>
    <row r="267" spans="1:15">
      <c r="G267" s="1293"/>
      <c r="H267" s="1293"/>
      <c r="I267" s="1293"/>
      <c r="J267" s="1293"/>
      <c r="K267" s="1293"/>
      <c r="L267" s="1293"/>
      <c r="M267" s="1293"/>
      <c r="N267" s="1293"/>
      <c r="O267" s="1293"/>
    </row>
    <row r="268" spans="1:15">
      <c r="G268" s="1293"/>
      <c r="H268" s="1293"/>
      <c r="I268" s="1293"/>
      <c r="J268" s="1293"/>
      <c r="K268" s="1293"/>
      <c r="L268" s="1293"/>
      <c r="M268" s="1293"/>
      <c r="N268" s="1293"/>
      <c r="O268" s="1293"/>
    </row>
    <row r="269" spans="1:15">
      <c r="G269" s="1293"/>
      <c r="H269" s="1293"/>
      <c r="I269" s="1293"/>
      <c r="J269" s="1293"/>
      <c r="K269" s="1293"/>
      <c r="L269" s="1293"/>
      <c r="M269" s="1293"/>
      <c r="N269" s="1293"/>
      <c r="O269" s="1293"/>
    </row>
    <row r="270" spans="1:15">
      <c r="G270" s="1293"/>
      <c r="H270" s="1293"/>
      <c r="I270" s="1293"/>
      <c r="J270" s="1293"/>
      <c r="K270" s="1293"/>
      <c r="L270" s="1293"/>
      <c r="M270" s="1293"/>
      <c r="N270" s="1293"/>
      <c r="O270" s="1293"/>
    </row>
    <row r="271" spans="1:15">
      <c r="G271" s="1293"/>
      <c r="H271" s="1293"/>
      <c r="I271" s="1293"/>
      <c r="J271" s="1293"/>
      <c r="K271" s="1293"/>
      <c r="L271" s="1293"/>
      <c r="M271" s="1293"/>
      <c r="N271" s="1293"/>
      <c r="O271" s="1293"/>
    </row>
    <row r="272" spans="1:15">
      <c r="G272" s="1293"/>
      <c r="H272" s="1293"/>
      <c r="I272" s="1293"/>
      <c r="J272" s="1293"/>
      <c r="K272" s="1293"/>
      <c r="L272" s="1293"/>
      <c r="M272" s="1293"/>
      <c r="N272" s="1293"/>
      <c r="O272" s="1293"/>
    </row>
    <row r="273" spans="7:15">
      <c r="G273" s="1293"/>
      <c r="H273" s="1293"/>
      <c r="I273" s="1293"/>
      <c r="J273" s="1293"/>
      <c r="K273" s="1293"/>
      <c r="L273" s="1293"/>
      <c r="M273" s="1293"/>
      <c r="N273" s="1293"/>
      <c r="O273" s="1293"/>
    </row>
    <row r="274" spans="7:15">
      <c r="G274" s="1293"/>
      <c r="H274" s="1293"/>
      <c r="I274" s="1293"/>
      <c r="J274" s="1293"/>
      <c r="K274" s="1293"/>
      <c r="L274" s="1293"/>
      <c r="M274" s="1293"/>
      <c r="N274" s="1293"/>
      <c r="O274" s="1293"/>
    </row>
    <row r="275" spans="7:15">
      <c r="G275" s="1293"/>
      <c r="H275" s="1293"/>
      <c r="I275" s="1293"/>
      <c r="J275" s="1293"/>
      <c r="K275" s="1293"/>
      <c r="L275" s="1293"/>
      <c r="M275" s="1293"/>
      <c r="N275" s="1293"/>
      <c r="O275" s="1293"/>
    </row>
    <row r="276" spans="7:15">
      <c r="G276" s="1293"/>
      <c r="H276" s="1293"/>
      <c r="I276" s="1293"/>
      <c r="J276" s="1293"/>
      <c r="K276" s="1293"/>
      <c r="L276" s="1293"/>
      <c r="M276" s="1293"/>
      <c r="N276" s="1293"/>
      <c r="O276" s="1293"/>
    </row>
    <row r="277" spans="7:15">
      <c r="G277" s="1293"/>
      <c r="H277" s="1293"/>
      <c r="I277" s="1293"/>
      <c r="J277" s="1293"/>
      <c r="K277" s="1293"/>
      <c r="L277" s="1293"/>
      <c r="M277" s="1293"/>
      <c r="N277" s="1293"/>
      <c r="O277" s="1293"/>
    </row>
    <row r="278" spans="7:15">
      <c r="G278" s="1293"/>
      <c r="H278" s="1293"/>
      <c r="I278" s="1293"/>
      <c r="J278" s="1293"/>
      <c r="K278" s="1293"/>
      <c r="L278" s="1293"/>
      <c r="M278" s="1293"/>
      <c r="N278" s="1293"/>
      <c r="O278" s="1293"/>
    </row>
    <row r="279" spans="7:15">
      <c r="G279" s="1293"/>
      <c r="H279" s="1293"/>
      <c r="I279" s="1293"/>
      <c r="J279" s="1293"/>
      <c r="K279" s="1293"/>
      <c r="L279" s="1293"/>
      <c r="M279" s="1293"/>
      <c r="N279" s="1293"/>
      <c r="O279" s="1293"/>
    </row>
    <row r="280" spans="7:15">
      <c r="G280" s="1293"/>
      <c r="H280" s="1293"/>
      <c r="I280" s="1293"/>
      <c r="J280" s="1293"/>
      <c r="K280" s="1293"/>
      <c r="L280" s="1293"/>
      <c r="M280" s="1293"/>
      <c r="N280" s="1293"/>
      <c r="O280" s="1293"/>
    </row>
    <row r="281" spans="7:15">
      <c r="G281" s="1293"/>
      <c r="H281" s="1293"/>
      <c r="I281" s="1293"/>
      <c r="J281" s="1293"/>
      <c r="K281" s="1293"/>
      <c r="L281" s="1293"/>
      <c r="M281" s="1293"/>
      <c r="N281" s="1293"/>
      <c r="O281" s="1293"/>
    </row>
    <row r="282" spans="7:15">
      <c r="G282" s="1293"/>
      <c r="H282" s="1293"/>
      <c r="I282" s="1293"/>
      <c r="J282" s="1293"/>
      <c r="K282" s="1293"/>
      <c r="L282" s="1293"/>
      <c r="M282" s="1293"/>
      <c r="N282" s="1293"/>
      <c r="O282" s="1293"/>
    </row>
    <row r="283" spans="7:15">
      <c r="G283" s="1293"/>
      <c r="H283" s="1293"/>
      <c r="I283" s="1293"/>
      <c r="J283" s="1293"/>
      <c r="K283" s="1293"/>
      <c r="L283" s="1293"/>
      <c r="M283" s="1293"/>
      <c r="N283" s="1293"/>
      <c r="O283" s="1293"/>
    </row>
    <row r="284" spans="7:15">
      <c r="G284" s="1293"/>
      <c r="H284" s="1293"/>
      <c r="I284" s="1293"/>
      <c r="J284" s="1293"/>
      <c r="K284" s="1293"/>
      <c r="L284" s="1293"/>
      <c r="M284" s="1293"/>
      <c r="N284" s="1293"/>
      <c r="O284" s="1293"/>
    </row>
    <row r="285" spans="7:15">
      <c r="G285" s="1293"/>
      <c r="H285" s="1293"/>
      <c r="I285" s="1293"/>
      <c r="J285" s="1293"/>
      <c r="K285" s="1293"/>
      <c r="L285" s="1293"/>
      <c r="M285" s="1293"/>
      <c r="N285" s="1293"/>
      <c r="O285" s="1293"/>
    </row>
    <row r="286" spans="7:15">
      <c r="G286" s="1293"/>
      <c r="H286" s="1293"/>
      <c r="I286" s="1293"/>
      <c r="J286" s="1293"/>
      <c r="K286" s="1293"/>
      <c r="L286" s="1293"/>
      <c r="M286" s="1293"/>
      <c r="N286" s="1293"/>
      <c r="O286" s="1293"/>
    </row>
    <row r="287" spans="7:15">
      <c r="G287" s="1293"/>
      <c r="H287" s="1293"/>
      <c r="I287" s="1293"/>
      <c r="J287" s="1293"/>
      <c r="K287" s="1293"/>
      <c r="L287" s="1293"/>
      <c r="M287" s="1293"/>
      <c r="N287" s="1293"/>
      <c r="O287" s="1293"/>
    </row>
    <row r="288" spans="7:15">
      <c r="G288" s="1293"/>
      <c r="H288" s="1293"/>
      <c r="I288" s="1293"/>
      <c r="J288" s="1293"/>
      <c r="K288" s="1293"/>
      <c r="L288" s="1293"/>
      <c r="M288" s="1293"/>
      <c r="N288" s="1293"/>
      <c r="O288" s="1293"/>
    </row>
    <row r="289" spans="7:15">
      <c r="G289" s="1293"/>
      <c r="H289" s="1293"/>
      <c r="I289" s="1293"/>
      <c r="J289" s="1293"/>
      <c r="K289" s="1293"/>
      <c r="L289" s="1293"/>
      <c r="M289" s="1293"/>
      <c r="N289" s="1293"/>
      <c r="O289" s="1293"/>
    </row>
    <row r="290" spans="7:15">
      <c r="G290" s="1293"/>
      <c r="H290" s="1293"/>
      <c r="I290" s="1293"/>
      <c r="J290" s="1293"/>
      <c r="K290" s="1293"/>
      <c r="L290" s="1293"/>
      <c r="M290" s="1293"/>
      <c r="N290" s="1293"/>
      <c r="O290" s="1293"/>
    </row>
    <row r="291" spans="7:15">
      <c r="G291" s="1293"/>
      <c r="H291" s="1293"/>
      <c r="I291" s="1293"/>
      <c r="J291" s="1293"/>
      <c r="K291" s="1293"/>
      <c r="L291" s="1293"/>
      <c r="M291" s="1293"/>
      <c r="N291" s="1293"/>
      <c r="O291" s="1293"/>
    </row>
    <row r="292" spans="7:15">
      <c r="G292" s="1293"/>
      <c r="H292" s="1293"/>
      <c r="I292" s="1293"/>
      <c r="J292" s="1293"/>
      <c r="K292" s="1293"/>
      <c r="L292" s="1293"/>
      <c r="M292" s="1293"/>
      <c r="N292" s="1293"/>
      <c r="O292" s="1293"/>
    </row>
    <row r="293" spans="7:15">
      <c r="G293" s="1293"/>
      <c r="H293" s="1293"/>
      <c r="I293" s="1293"/>
      <c r="J293" s="1293"/>
      <c r="K293" s="1293"/>
      <c r="L293" s="1293"/>
      <c r="M293" s="1293"/>
      <c r="N293" s="1293"/>
      <c r="O293" s="1293"/>
    </row>
    <row r="294" spans="7:15">
      <c r="G294" s="1293"/>
      <c r="H294" s="1293"/>
      <c r="I294" s="1293"/>
      <c r="J294" s="1293"/>
      <c r="K294" s="1293"/>
      <c r="L294" s="1293"/>
      <c r="M294" s="1293"/>
      <c r="N294" s="1293"/>
      <c r="O294" s="1293"/>
    </row>
    <row r="295" spans="7:15">
      <c r="G295" s="1293"/>
      <c r="H295" s="1293"/>
      <c r="I295" s="1293"/>
      <c r="J295" s="1293"/>
      <c r="K295" s="1293"/>
      <c r="L295" s="1293"/>
      <c r="M295" s="1293"/>
      <c r="N295" s="1293"/>
      <c r="O295" s="1293"/>
    </row>
    <row r="296" spans="7:15">
      <c r="G296" s="1293"/>
      <c r="H296" s="1293"/>
      <c r="I296" s="1293"/>
      <c r="J296" s="1293"/>
      <c r="K296" s="1293"/>
      <c r="L296" s="1293"/>
      <c r="M296" s="1293"/>
      <c r="N296" s="1293"/>
      <c r="O296" s="1293"/>
    </row>
    <row r="297" spans="7:15">
      <c r="G297" s="1293"/>
      <c r="H297" s="1293"/>
      <c r="I297" s="1293"/>
      <c r="J297" s="1293"/>
      <c r="K297" s="1293"/>
      <c r="L297" s="1293"/>
      <c r="M297" s="1293"/>
      <c r="N297" s="1293"/>
      <c r="O297" s="1293"/>
    </row>
    <row r="298" spans="7:15">
      <c r="G298" s="1293"/>
      <c r="H298" s="1293"/>
      <c r="I298" s="1293"/>
      <c r="J298" s="1293"/>
      <c r="K298" s="1293"/>
      <c r="L298" s="1293"/>
      <c r="M298" s="1293"/>
      <c r="N298" s="1293"/>
      <c r="O298" s="1293"/>
    </row>
    <row r="299" spans="7:15">
      <c r="G299" s="1293"/>
      <c r="H299" s="1293"/>
      <c r="I299" s="1293"/>
      <c r="J299" s="1293"/>
      <c r="K299" s="1293"/>
      <c r="L299" s="1293"/>
      <c r="M299" s="1293"/>
      <c r="N299" s="1293"/>
      <c r="O299" s="1293"/>
    </row>
    <row r="300" spans="7:15">
      <c r="G300" s="1293"/>
      <c r="H300" s="1293"/>
      <c r="I300" s="1293"/>
      <c r="J300" s="1293"/>
      <c r="K300" s="1293"/>
      <c r="L300" s="1293"/>
      <c r="M300" s="1293"/>
      <c r="N300" s="1293"/>
      <c r="O300" s="1293"/>
    </row>
    <row r="301" spans="7:15">
      <c r="G301" s="1293"/>
      <c r="H301" s="1293"/>
      <c r="I301" s="1293"/>
      <c r="J301" s="1293"/>
      <c r="K301" s="1293"/>
      <c r="L301" s="1293"/>
      <c r="M301" s="1293"/>
      <c r="N301" s="1293"/>
      <c r="O301" s="1293"/>
    </row>
    <row r="302" spans="7:15">
      <c r="G302" s="1293"/>
      <c r="H302" s="1293"/>
      <c r="I302" s="1293"/>
      <c r="J302" s="1293"/>
      <c r="K302" s="1293"/>
      <c r="L302" s="1293"/>
      <c r="M302" s="1293"/>
      <c r="N302" s="1293"/>
      <c r="O302" s="1293"/>
    </row>
    <row r="303" spans="7:15">
      <c r="G303" s="1293"/>
      <c r="H303" s="1293"/>
      <c r="I303" s="1293"/>
      <c r="J303" s="1293"/>
      <c r="K303" s="1293"/>
      <c r="L303" s="1293"/>
      <c r="M303" s="1293"/>
      <c r="N303" s="1293"/>
      <c r="O303" s="1293"/>
    </row>
    <row r="304" spans="7:15">
      <c r="G304" s="1293"/>
      <c r="H304" s="1293"/>
      <c r="I304" s="1293"/>
      <c r="J304" s="1293"/>
      <c r="K304" s="1293"/>
      <c r="L304" s="1293"/>
      <c r="M304" s="1293"/>
      <c r="N304" s="1293"/>
      <c r="O304" s="1293"/>
    </row>
    <row r="305" spans="7:15">
      <c r="G305" s="1293"/>
      <c r="H305" s="1293"/>
      <c r="I305" s="1293"/>
      <c r="J305" s="1293"/>
      <c r="K305" s="1293"/>
      <c r="L305" s="1293"/>
      <c r="M305" s="1293"/>
      <c r="N305" s="1293"/>
      <c r="O305" s="1293"/>
    </row>
    <row r="306" spans="7:15">
      <c r="G306" s="1293"/>
      <c r="H306" s="1293"/>
      <c r="I306" s="1293"/>
      <c r="J306" s="1293"/>
      <c r="K306" s="1293"/>
      <c r="L306" s="1293"/>
      <c r="M306" s="1293"/>
      <c r="N306" s="1293"/>
      <c r="O306" s="1293"/>
    </row>
    <row r="307" spans="7:15">
      <c r="G307" s="1293"/>
      <c r="H307" s="1293"/>
      <c r="I307" s="1293"/>
      <c r="J307" s="1293"/>
      <c r="K307" s="1293"/>
      <c r="L307" s="1293"/>
      <c r="M307" s="1293"/>
      <c r="N307" s="1293"/>
      <c r="O307" s="1293"/>
    </row>
    <row r="308" spans="7:15">
      <c r="G308" s="1293"/>
      <c r="H308" s="1293"/>
      <c r="I308" s="1293"/>
      <c r="J308" s="1293"/>
      <c r="K308" s="1293"/>
      <c r="L308" s="1293"/>
      <c r="M308" s="1293"/>
      <c r="N308" s="1293"/>
      <c r="O308" s="1293"/>
    </row>
    <row r="309" spans="7:15">
      <c r="G309" s="1293"/>
      <c r="H309" s="1293"/>
      <c r="I309" s="1293"/>
      <c r="J309" s="1293"/>
      <c r="K309" s="1293"/>
      <c r="L309" s="1293"/>
      <c r="M309" s="1293"/>
      <c r="N309" s="1293"/>
      <c r="O309" s="1293"/>
    </row>
    <row r="310" spans="7:15">
      <c r="G310" s="1293"/>
      <c r="H310" s="1293"/>
      <c r="I310" s="1293"/>
      <c r="J310" s="1293"/>
      <c r="K310" s="1293"/>
      <c r="L310" s="1293"/>
      <c r="M310" s="1293"/>
      <c r="N310" s="1293"/>
      <c r="O310" s="1293"/>
    </row>
    <row r="311" spans="7:15">
      <c r="G311" s="1293"/>
      <c r="H311" s="1293"/>
      <c r="I311" s="1293"/>
      <c r="J311" s="1293"/>
      <c r="K311" s="1293"/>
      <c r="L311" s="1293"/>
      <c r="M311" s="1293"/>
      <c r="N311" s="1293"/>
      <c r="O311" s="1293"/>
    </row>
    <row r="312" spans="7:15">
      <c r="G312" s="1293"/>
      <c r="H312" s="1293"/>
      <c r="I312" s="1293"/>
      <c r="J312" s="1293"/>
      <c r="K312" s="1293"/>
      <c r="L312" s="1293"/>
      <c r="M312" s="1293"/>
      <c r="N312" s="1293"/>
      <c r="O312" s="1293"/>
    </row>
    <row r="313" spans="7:15">
      <c r="G313" s="1293"/>
      <c r="H313" s="1293"/>
      <c r="I313" s="1293"/>
      <c r="J313" s="1293"/>
      <c r="K313" s="1293"/>
      <c r="L313" s="1293"/>
      <c r="M313" s="1293"/>
      <c r="N313" s="1293"/>
      <c r="O313" s="1293"/>
    </row>
    <row r="314" spans="7:15">
      <c r="G314" s="1293"/>
      <c r="H314" s="1293"/>
      <c r="I314" s="1293"/>
      <c r="J314" s="1293"/>
      <c r="K314" s="1293"/>
      <c r="L314" s="1293"/>
      <c r="M314" s="1293"/>
      <c r="N314" s="1293"/>
      <c r="O314" s="1293"/>
    </row>
    <row r="315" spans="7:15">
      <c r="G315" s="1293"/>
      <c r="H315" s="1293"/>
      <c r="I315" s="1293"/>
      <c r="J315" s="1293"/>
      <c r="K315" s="1293"/>
      <c r="L315" s="1293"/>
      <c r="M315" s="1293"/>
      <c r="N315" s="1293"/>
      <c r="O315" s="1293"/>
    </row>
    <row r="316" spans="7:15">
      <c r="G316" s="1293"/>
      <c r="H316" s="1293"/>
      <c r="I316" s="1293"/>
      <c r="J316" s="1293"/>
      <c r="K316" s="1293"/>
      <c r="L316" s="1293"/>
      <c r="M316" s="1293"/>
      <c r="N316" s="1293"/>
      <c r="O316" s="1293"/>
    </row>
    <row r="317" spans="7:15">
      <c r="G317" s="1293"/>
      <c r="H317" s="1293"/>
      <c r="I317" s="1293"/>
      <c r="J317" s="1293"/>
      <c r="K317" s="1293"/>
      <c r="L317" s="1293"/>
      <c r="M317" s="1293"/>
      <c r="N317" s="1293"/>
      <c r="O317" s="1293"/>
    </row>
    <row r="318" spans="7:15">
      <c r="G318" s="1293"/>
      <c r="H318" s="1293"/>
      <c r="I318" s="1293"/>
      <c r="J318" s="1293"/>
      <c r="K318" s="1293"/>
      <c r="L318" s="1293"/>
      <c r="M318" s="1293"/>
      <c r="N318" s="1293"/>
      <c r="O318" s="1293"/>
    </row>
    <row r="319" spans="7:15">
      <c r="G319" s="1293"/>
      <c r="H319" s="1293"/>
      <c r="I319" s="1293"/>
      <c r="J319" s="1293"/>
      <c r="K319" s="1293"/>
      <c r="L319" s="1293"/>
      <c r="M319" s="1293"/>
      <c r="N319" s="1293"/>
      <c r="O319" s="1293"/>
    </row>
    <row r="320" spans="7:15">
      <c r="G320" s="1293"/>
      <c r="H320" s="1293"/>
      <c r="I320" s="1293"/>
      <c r="J320" s="1293"/>
      <c r="K320" s="1293"/>
      <c r="L320" s="1293"/>
      <c r="M320" s="1293"/>
      <c r="N320" s="1293"/>
      <c r="O320" s="1293"/>
    </row>
    <row r="321" spans="7:15">
      <c r="G321" s="1293"/>
      <c r="H321" s="1293"/>
      <c r="I321" s="1293"/>
      <c r="J321" s="1293"/>
      <c r="K321" s="1293"/>
      <c r="L321" s="1293"/>
      <c r="M321" s="1293"/>
      <c r="N321" s="1293"/>
      <c r="O321" s="1293"/>
    </row>
    <row r="322" spans="7:15">
      <c r="G322" s="1293"/>
      <c r="H322" s="1293"/>
      <c r="I322" s="1293"/>
      <c r="J322" s="1293"/>
      <c r="K322" s="1293"/>
      <c r="L322" s="1293"/>
      <c r="M322" s="1293"/>
      <c r="N322" s="1293"/>
      <c r="O322" s="1293"/>
    </row>
  </sheetData>
  <mergeCells count="1">
    <mergeCell ref="A1:K1"/>
  </mergeCells>
  <phoneticPr fontId="102" type="noConversion"/>
  <pageMargins left="0.5" right="0" top="0.53" bottom="0.82" header="0.34" footer="0.5"/>
  <pageSetup scale="38" orientation="portrait" r:id="rId1"/>
  <headerFooter alignWithMargins="0">
    <oddHeader>&amp;REXHIBIT NO. TRC-203
ATTACHMENT H-18A
&amp;P of &amp;N</oddHeader>
  </headerFooter>
  <drawing r:id="rId2"/>
  <legacyDrawing r:id="rId3"/>
  <oleObjects>
    <mc:AlternateContent xmlns:mc="http://schemas.openxmlformats.org/markup-compatibility/2006">
      <mc:Choice Requires="x14">
        <oleObject progId="Equation.3" shapeId="21983" r:id="rId4">
          <objectPr defaultSize="0" autoPict="0" r:id="rId5">
            <anchor moveWithCells="1" sizeWithCells="1">
              <from>
                <xdr:col>2</xdr:col>
                <xdr:colOff>121920</xdr:colOff>
                <xdr:row>17</xdr:row>
                <xdr:rowOff>83820</xdr:rowOff>
              </from>
              <to>
                <xdr:col>5</xdr:col>
                <xdr:colOff>906780</xdr:colOff>
                <xdr:row>21</xdr:row>
                <xdr:rowOff>137160</xdr:rowOff>
              </to>
            </anchor>
          </objectPr>
        </oleObject>
      </mc:Choice>
      <mc:Fallback>
        <oleObject progId="Equation.3" shapeId="2198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7"/>
  </sheetPr>
  <dimension ref="A1:DM9884"/>
  <sheetViews>
    <sheetView view="pageBreakPreview" topLeftCell="A100" zoomScale="80" zoomScaleNormal="100" zoomScaleSheetLayoutView="80" workbookViewId="0">
      <selection activeCell="G121" sqref="G121"/>
    </sheetView>
  </sheetViews>
  <sheetFormatPr defaultRowHeight="13.2"/>
  <cols>
    <col min="1" max="1" width="4" customWidth="1"/>
    <col min="2" max="2" width="42.88671875" customWidth="1"/>
    <col min="3" max="3" width="15" customWidth="1"/>
    <col min="4" max="4" width="15.44140625" customWidth="1"/>
    <col min="5" max="5" width="18.5546875" bestFit="1" customWidth="1"/>
    <col min="6" max="6" width="13.6640625" customWidth="1"/>
    <col min="7" max="7" width="15.33203125" customWidth="1"/>
    <col min="8" max="8" width="14" customWidth="1"/>
    <col min="9" max="9" width="14.88671875" customWidth="1"/>
    <col min="10" max="10" width="17.6640625" customWidth="1"/>
    <col min="11" max="11" width="3" customWidth="1"/>
    <col min="12" max="12" width="2.5546875" customWidth="1"/>
    <col min="13" max="13" width="63.5546875" customWidth="1"/>
    <col min="14" max="14" width="16.5546875" customWidth="1"/>
  </cols>
  <sheetData>
    <row r="1" spans="1:13" s="563" customFormat="1" ht="19.5" customHeight="1">
      <c r="C1" s="2009" t="str">
        <f>'Appendix A'!A3</f>
        <v>Trans-Allegheny Interstate Line Company</v>
      </c>
      <c r="D1" s="2009"/>
      <c r="E1" s="2009"/>
      <c r="F1" s="2009"/>
      <c r="G1" s="2009"/>
      <c r="H1" s="2009"/>
      <c r="I1" s="2009"/>
      <c r="J1" s="2009"/>
      <c r="K1" s="476"/>
    </row>
    <row r="2" spans="1:13" s="563" customFormat="1" ht="12" customHeight="1">
      <c r="B2" s="391"/>
      <c r="C2" s="493"/>
      <c r="D2" s="493"/>
      <c r="E2" s="493"/>
      <c r="F2" s="493"/>
      <c r="G2" s="493"/>
      <c r="H2" s="493"/>
      <c r="I2" s="493"/>
      <c r="J2" s="493"/>
      <c r="K2" s="493"/>
      <c r="M2" s="227"/>
    </row>
    <row r="3" spans="1:13" s="563" customFormat="1" ht="15.6">
      <c r="C3" s="2010" t="s">
        <v>407</v>
      </c>
      <c r="D3" s="2010"/>
      <c r="E3" s="2010"/>
      <c r="F3" s="2010"/>
      <c r="G3" s="2010"/>
      <c r="H3" s="2010"/>
      <c r="I3" s="2010"/>
      <c r="J3" s="2010"/>
      <c r="K3" s="565"/>
      <c r="M3" s="485"/>
    </row>
    <row r="4" spans="1:13" s="563" customFormat="1" ht="13.8" thickBot="1">
      <c r="B4" s="227"/>
      <c r="J4" s="566"/>
      <c r="K4" s="566"/>
    </row>
    <row r="5" spans="1:13" s="563" customFormat="1" ht="13.8" thickBot="1">
      <c r="C5" s="2005" t="s">
        <v>749</v>
      </c>
      <c r="D5" s="2006"/>
      <c r="E5" s="2006"/>
      <c r="F5" s="2006"/>
      <c r="G5" s="2006"/>
      <c r="H5" s="2006"/>
      <c r="I5" s="2006"/>
      <c r="J5" s="2007"/>
      <c r="K5" s="567"/>
      <c r="L5" s="567"/>
    </row>
    <row r="6" spans="1:13" s="563" customFormat="1">
      <c r="C6" s="568"/>
      <c r="D6" s="568"/>
      <c r="E6" s="568"/>
      <c r="F6" s="568"/>
      <c r="M6" s="572"/>
    </row>
    <row r="7" spans="1:13" s="563" customFormat="1">
      <c r="A7" s="563" t="s">
        <v>757</v>
      </c>
      <c r="C7" s="476" t="s">
        <v>387</v>
      </c>
      <c r="D7" s="476" t="s">
        <v>388</v>
      </c>
      <c r="E7" s="476" t="s">
        <v>389</v>
      </c>
      <c r="F7" s="476" t="s">
        <v>510</v>
      </c>
      <c r="G7" s="476" t="s">
        <v>528</v>
      </c>
      <c r="H7" s="476" t="s">
        <v>526</v>
      </c>
      <c r="I7" s="476" t="s">
        <v>969</v>
      </c>
      <c r="J7" s="476" t="s">
        <v>529</v>
      </c>
      <c r="L7" s="447"/>
      <c r="M7" s="572"/>
    </row>
    <row r="8" spans="1:13" s="563" customFormat="1" ht="26.4">
      <c r="C8" s="858" t="s">
        <v>384</v>
      </c>
      <c r="D8" s="858" t="s">
        <v>10</v>
      </c>
      <c r="E8" s="802" t="s">
        <v>1184</v>
      </c>
      <c r="F8" s="476" t="s">
        <v>265</v>
      </c>
      <c r="G8" s="859" t="s">
        <v>385</v>
      </c>
      <c r="H8" s="447" t="s">
        <v>886</v>
      </c>
      <c r="I8" s="447" t="s">
        <v>888</v>
      </c>
      <c r="J8" s="447" t="s">
        <v>603</v>
      </c>
      <c r="K8" s="447"/>
      <c r="L8" s="447"/>
      <c r="M8" s="572"/>
    </row>
    <row r="9" spans="1:13" s="563" customFormat="1">
      <c r="C9" s="858" t="s">
        <v>603</v>
      </c>
      <c r="D9" s="858" t="s">
        <v>603</v>
      </c>
      <c r="E9" s="858" t="str">
        <f>+D9</f>
        <v>Total</v>
      </c>
      <c r="F9" s="476" t="s">
        <v>887</v>
      </c>
      <c r="G9" s="447" t="s">
        <v>887</v>
      </c>
      <c r="H9" s="447" t="s">
        <v>887</v>
      </c>
      <c r="I9" s="447" t="s">
        <v>887</v>
      </c>
      <c r="J9" s="447" t="s">
        <v>895</v>
      </c>
      <c r="K9" s="447"/>
      <c r="L9" s="447"/>
      <c r="M9" s="572"/>
    </row>
    <row r="10" spans="1:13" s="563" customFormat="1">
      <c r="G10" s="2003"/>
      <c r="H10" s="2003"/>
      <c r="I10" s="2003"/>
      <c r="M10" s="572"/>
    </row>
    <row r="11" spans="1:13" s="563" customFormat="1">
      <c r="A11" s="563" t="s">
        <v>525</v>
      </c>
      <c r="B11" s="563" t="s">
        <v>525</v>
      </c>
      <c r="M11" s="572"/>
    </row>
    <row r="12" spans="1:13" s="563" customFormat="1">
      <c r="A12" s="563">
        <v>1</v>
      </c>
      <c r="B12" s="566" t="s">
        <v>717</v>
      </c>
      <c r="C12" s="585">
        <f>+C117</f>
        <v>568563524.28999996</v>
      </c>
      <c r="D12" s="585">
        <f>+D117</f>
        <v>569936139.1500001</v>
      </c>
      <c r="E12" s="585">
        <f>+E117</f>
        <v>569936139.1500001</v>
      </c>
      <c r="F12" s="862"/>
      <c r="G12" s="569">
        <f>H117</f>
        <v>569936139.1500001</v>
      </c>
      <c r="H12" s="569">
        <f>+I117</f>
        <v>0</v>
      </c>
      <c r="I12" s="569">
        <f>+J117</f>
        <v>0</v>
      </c>
      <c r="J12" s="569">
        <f>SUM(G12:I12)</f>
        <v>569936139.1500001</v>
      </c>
      <c r="K12" s="569"/>
      <c r="L12" s="569"/>
      <c r="M12" s="572"/>
    </row>
    <row r="13" spans="1:13" s="563" customFormat="1">
      <c r="A13" s="563">
        <f t="shared" ref="A13:A18" si="0">A12+1</f>
        <v>2</v>
      </c>
      <c r="B13" s="566" t="s">
        <v>718</v>
      </c>
      <c r="C13" s="861">
        <f>+C166</f>
        <v>92932803.310000002</v>
      </c>
      <c r="D13" s="861">
        <f>+D166</f>
        <v>88318035</v>
      </c>
      <c r="E13" s="861">
        <f>+E166</f>
        <v>88318034</v>
      </c>
      <c r="F13" s="862"/>
      <c r="G13" s="569">
        <f>H166</f>
        <v>87175984</v>
      </c>
      <c r="H13" s="569">
        <f>+I166</f>
        <v>0</v>
      </c>
      <c r="I13" s="569">
        <f>+J166</f>
        <v>0</v>
      </c>
      <c r="J13" s="569">
        <f>SUM(G13:I13)</f>
        <v>87175984</v>
      </c>
      <c r="K13" s="569"/>
      <c r="L13" s="569"/>
      <c r="M13" s="572"/>
    </row>
    <row r="14" spans="1:13" s="563" customFormat="1">
      <c r="A14" s="563">
        <f t="shared" si="0"/>
        <v>3</v>
      </c>
      <c r="B14" s="566" t="s">
        <v>719</v>
      </c>
      <c r="C14" s="861">
        <f>-C74</f>
        <v>-259063204.88000003</v>
      </c>
      <c r="D14" s="861">
        <f>-D74</f>
        <v>-242077005</v>
      </c>
      <c r="E14" s="861">
        <f>-E74</f>
        <v>-242077005</v>
      </c>
      <c r="F14" s="862"/>
      <c r="G14" s="744">
        <f>-H74</f>
        <v>-240903179</v>
      </c>
      <c r="H14" s="744">
        <f>+I74</f>
        <v>0</v>
      </c>
      <c r="I14" s="744">
        <f>+J74</f>
        <v>0</v>
      </c>
      <c r="J14" s="744">
        <f>SUM(G14:I14)</f>
        <v>-240903179</v>
      </c>
      <c r="K14" s="569"/>
      <c r="L14" s="569"/>
      <c r="M14" s="563" t="s">
        <v>438</v>
      </c>
    </row>
    <row r="15" spans="1:13" s="563" customFormat="1">
      <c r="A15" s="563">
        <f t="shared" si="0"/>
        <v>4</v>
      </c>
      <c r="B15" s="566" t="s">
        <v>633</v>
      </c>
      <c r="C15" s="585"/>
      <c r="D15" s="585"/>
      <c r="E15" s="585"/>
      <c r="F15" s="745"/>
      <c r="G15" s="569">
        <f>SUM(G12:G14)</f>
        <v>416208944.1500001</v>
      </c>
      <c r="H15" s="569">
        <f>SUM(H12:H14)</f>
        <v>0</v>
      </c>
      <c r="I15" s="569">
        <f>SUM(I12:I14)</f>
        <v>0</v>
      </c>
      <c r="J15" s="569">
        <f>SUM(G15:I15)</f>
        <v>416208944.1500001</v>
      </c>
      <c r="K15" s="569"/>
      <c r="L15" s="569"/>
      <c r="M15" s="572"/>
    </row>
    <row r="16" spans="1:13" s="563" customFormat="1">
      <c r="A16" s="563">
        <f t="shared" si="0"/>
        <v>5</v>
      </c>
      <c r="B16" s="566" t="s">
        <v>612</v>
      </c>
      <c r="G16" s="569"/>
      <c r="H16" s="569"/>
      <c r="I16" s="570">
        <f>'Appendix A'!H16</f>
        <v>1</v>
      </c>
      <c r="J16" s="569"/>
      <c r="K16" s="569"/>
      <c r="L16" s="569"/>
      <c r="M16" s="572"/>
    </row>
    <row r="17" spans="1:13" s="563" customFormat="1">
      <c r="A17" s="563">
        <f t="shared" si="0"/>
        <v>6</v>
      </c>
      <c r="B17" s="566" t="str">
        <f>'Appendix A'!B28</f>
        <v>Gross Plant Allocator</v>
      </c>
      <c r="G17" s="569"/>
      <c r="H17" s="570">
        <f>'Appendix A'!H28</f>
        <v>1</v>
      </c>
      <c r="I17" s="569"/>
      <c r="J17" s="569"/>
      <c r="K17" s="569"/>
      <c r="L17" s="569"/>
      <c r="M17" s="572"/>
    </row>
    <row r="18" spans="1:13" s="563" customFormat="1">
      <c r="A18" s="563">
        <f t="shared" si="0"/>
        <v>7</v>
      </c>
      <c r="B18" s="485" t="s">
        <v>386</v>
      </c>
      <c r="G18" s="569">
        <f>+G15</f>
        <v>416208944.1500001</v>
      </c>
      <c r="H18" s="569">
        <f>+H17*H15</f>
        <v>0</v>
      </c>
      <c r="I18" s="569">
        <f>+I16*I15</f>
        <v>0</v>
      </c>
      <c r="J18" s="581">
        <f>+I18+H18+G18</f>
        <v>416208944.1500001</v>
      </c>
      <c r="K18" s="569"/>
      <c r="L18" s="569"/>
    </row>
    <row r="19" spans="1:13" s="563" customFormat="1">
      <c r="B19" s="485"/>
      <c r="G19" s="569"/>
      <c r="H19" s="569"/>
      <c r="I19" s="569"/>
      <c r="J19" s="860"/>
      <c r="K19" s="569"/>
      <c r="L19" s="569"/>
      <c r="M19" s="572"/>
    </row>
    <row r="20" spans="1:13" s="563" customFormat="1">
      <c r="B20" s="485"/>
      <c r="G20" s="569"/>
      <c r="H20" s="569"/>
      <c r="I20" s="569"/>
      <c r="J20" s="581"/>
      <c r="K20" s="569"/>
      <c r="L20" s="569"/>
      <c r="M20" s="572"/>
    </row>
    <row r="21" spans="1:13" s="563" customFormat="1">
      <c r="M21" s="572"/>
    </row>
    <row r="22" spans="1:13" s="563" customFormat="1" ht="25.5" customHeight="1">
      <c r="B22" s="2012" t="s">
        <v>70</v>
      </c>
      <c r="C22" s="2012"/>
      <c r="D22" s="2012"/>
      <c r="E22" s="2012"/>
      <c r="F22" s="2012"/>
      <c r="G22" s="2012"/>
      <c r="H22" s="2012"/>
      <c r="I22" s="2012"/>
      <c r="J22" s="2012"/>
      <c r="K22" s="597"/>
      <c r="M22" s="572"/>
    </row>
    <row r="23" spans="1:13" s="563" customFormat="1">
      <c r="B23" s="572"/>
      <c r="C23" s="572"/>
      <c r="D23" s="572"/>
      <c r="E23" s="572"/>
      <c r="F23" s="572"/>
      <c r="G23" s="572" t="s">
        <v>442</v>
      </c>
      <c r="H23" s="1951">
        <v>0</v>
      </c>
      <c r="I23" s="572" t="s">
        <v>868</v>
      </c>
      <c r="J23" s="572"/>
      <c r="K23" s="572"/>
      <c r="M23" s="572"/>
    </row>
    <row r="24" spans="1:13" s="563" customFormat="1">
      <c r="B24" s="572"/>
      <c r="C24" s="572"/>
      <c r="D24" s="572"/>
      <c r="E24" s="572"/>
      <c r="F24" s="572"/>
      <c r="G24" s="572"/>
      <c r="H24" s="572"/>
      <c r="I24" s="572"/>
      <c r="J24" s="572"/>
      <c r="K24" s="572"/>
      <c r="M24" s="572"/>
    </row>
    <row r="25" spans="1:13" s="563" customFormat="1">
      <c r="B25" s="573"/>
      <c r="C25" s="572"/>
      <c r="D25" s="572"/>
      <c r="E25" s="572"/>
      <c r="F25" s="572"/>
      <c r="G25" s="572"/>
      <c r="H25" s="572"/>
      <c r="I25" s="572"/>
      <c r="J25" s="572"/>
      <c r="K25" s="572"/>
      <c r="M25" s="572"/>
    </row>
    <row r="26" spans="1:13" s="563" customFormat="1">
      <c r="B26" s="2011" t="s">
        <v>71</v>
      </c>
      <c r="C26" s="2011"/>
      <c r="D26" s="2011"/>
      <c r="E26" s="2011"/>
      <c r="F26" s="2011"/>
      <c r="G26" s="2011"/>
      <c r="H26" s="2011"/>
      <c r="I26" s="2011"/>
      <c r="J26" s="2011"/>
      <c r="K26" s="2011"/>
      <c r="L26" s="2011"/>
      <c r="M26" s="2011"/>
    </row>
    <row r="27" spans="1:13" s="563" customFormat="1">
      <c r="B27" s="857" t="s">
        <v>72</v>
      </c>
      <c r="C27" s="572"/>
      <c r="D27" s="572"/>
      <c r="E27" s="572"/>
      <c r="F27" s="572"/>
      <c r="G27" s="572"/>
      <c r="H27" s="572"/>
      <c r="I27" s="572"/>
      <c r="J27" s="572"/>
      <c r="K27" s="572"/>
      <c r="M27" s="572"/>
    </row>
    <row r="28" spans="1:13" s="563" customFormat="1" ht="15.6">
      <c r="B28" s="476"/>
      <c r="C28" s="476"/>
      <c r="D28" s="476"/>
      <c r="E28" s="476"/>
      <c r="F28" s="476"/>
      <c r="G28" s="476"/>
      <c r="H28" s="476"/>
      <c r="I28" s="476"/>
      <c r="J28" s="476"/>
      <c r="K28" s="562"/>
      <c r="M28" s="572"/>
    </row>
    <row r="29" spans="1:13" s="563" customFormat="1">
      <c r="J29" s="566"/>
      <c r="K29" s="566"/>
      <c r="M29" s="572"/>
    </row>
    <row r="30" spans="1:13" s="563" customFormat="1" ht="13.8" thickBot="1">
      <c r="B30" s="476" t="s">
        <v>527</v>
      </c>
      <c r="C30" s="476" t="s">
        <v>387</v>
      </c>
      <c r="D30" s="476" t="s">
        <v>388</v>
      </c>
      <c r="E30" s="476" t="s">
        <v>389</v>
      </c>
      <c r="F30" s="476" t="s">
        <v>510</v>
      </c>
      <c r="G30" s="476" t="s">
        <v>528</v>
      </c>
      <c r="H30" s="476" t="s">
        <v>526</v>
      </c>
      <c r="I30" s="476" t="s">
        <v>969</v>
      </c>
      <c r="J30" s="476" t="s">
        <v>529</v>
      </c>
      <c r="K30" s="566"/>
      <c r="M30" s="572"/>
    </row>
    <row r="31" spans="1:13" s="563" customFormat="1" ht="13.8" thickBot="1">
      <c r="C31" s="2005" t="s">
        <v>749</v>
      </c>
      <c r="D31" s="2006"/>
      <c r="E31" s="2006"/>
      <c r="F31" s="2006"/>
      <c r="G31" s="2006"/>
      <c r="H31" s="2006"/>
      <c r="I31" s="2006"/>
      <c r="J31" s="2007"/>
      <c r="K31" s="567"/>
      <c r="L31" s="567"/>
      <c r="M31" s="572"/>
    </row>
    <row r="32" spans="1:13" s="563" customFormat="1">
      <c r="M32" s="572"/>
    </row>
    <row r="33" spans="2:13" s="563" customFormat="1" ht="26.4">
      <c r="B33" s="566" t="s">
        <v>877</v>
      </c>
      <c r="C33" s="716" t="s">
        <v>384</v>
      </c>
      <c r="D33" s="447" t="s">
        <v>230</v>
      </c>
      <c r="E33" s="802" t="s">
        <v>1184</v>
      </c>
      <c r="F33" s="476" t="s">
        <v>265</v>
      </c>
      <c r="G33" s="447" t="s">
        <v>889</v>
      </c>
      <c r="H33" s="447" t="s">
        <v>891</v>
      </c>
      <c r="I33" s="447"/>
      <c r="J33" s="447"/>
      <c r="K33" s="447"/>
      <c r="L33" s="447"/>
      <c r="M33" s="572"/>
    </row>
    <row r="34" spans="2:13" s="563" customFormat="1">
      <c r="C34" s="447" t="s">
        <v>344</v>
      </c>
      <c r="D34" s="476" t="str">
        <f>+C34</f>
        <v>Balance</v>
      </c>
      <c r="E34" s="447" t="s">
        <v>603</v>
      </c>
      <c r="F34" s="476" t="s">
        <v>887</v>
      </c>
      <c r="G34" s="447" t="s">
        <v>890</v>
      </c>
      <c r="H34" s="447" t="s">
        <v>876</v>
      </c>
      <c r="I34" s="447" t="s">
        <v>886</v>
      </c>
      <c r="J34" s="447" t="s">
        <v>888</v>
      </c>
      <c r="K34" s="447"/>
      <c r="L34" s="447"/>
      <c r="M34" s="572"/>
    </row>
    <row r="35" spans="2:13" s="563" customFormat="1">
      <c r="C35" s="447" t="s">
        <v>204</v>
      </c>
      <c r="D35" s="447" t="s">
        <v>205</v>
      </c>
      <c r="G35" s="447" t="s">
        <v>887</v>
      </c>
      <c r="H35" s="447" t="s">
        <v>887</v>
      </c>
      <c r="I35" s="447" t="s">
        <v>887</v>
      </c>
      <c r="J35" s="447" t="s">
        <v>887</v>
      </c>
      <c r="K35" s="447"/>
      <c r="L35" s="447"/>
      <c r="M35" s="447" t="s">
        <v>716</v>
      </c>
    </row>
    <row r="36" spans="2:13" s="563" customFormat="1" ht="13.8">
      <c r="B36" s="221" t="s">
        <v>525</v>
      </c>
      <c r="G36" s="215"/>
      <c r="H36" s="215"/>
      <c r="I36" s="215"/>
      <c r="J36" s="215"/>
      <c r="K36" s="215"/>
      <c r="L36" s="215"/>
      <c r="M36" s="572"/>
    </row>
    <row r="37" spans="2:13" s="563" customFormat="1" ht="13.8">
      <c r="B37" s="1852" t="s">
        <v>1279</v>
      </c>
      <c r="C37" s="574">
        <v>-3</v>
      </c>
      <c r="D37" s="574">
        <v>3</v>
      </c>
      <c r="E37" s="571">
        <f>D37</f>
        <v>3</v>
      </c>
      <c r="F37" s="571"/>
      <c r="G37" s="571"/>
      <c r="H37" s="571">
        <f t="shared" ref="H37:H53" si="1">E37</f>
        <v>3</v>
      </c>
      <c r="I37" s="571"/>
      <c r="J37" s="571"/>
      <c r="K37" s="571"/>
      <c r="L37" s="571"/>
      <c r="M37" s="1924" t="s">
        <v>1153</v>
      </c>
    </row>
    <row r="38" spans="2:13" s="563" customFormat="1" ht="13.8">
      <c r="B38" s="1852" t="s">
        <v>1186</v>
      </c>
      <c r="C38" s="574">
        <v>815017</v>
      </c>
      <c r="D38" s="574">
        <v>641329</v>
      </c>
      <c r="E38" s="571">
        <f t="shared" ref="E38:E69" si="2">D38</f>
        <v>641329</v>
      </c>
      <c r="F38" s="571"/>
      <c r="G38" s="571"/>
      <c r="H38" s="571">
        <f t="shared" si="1"/>
        <v>641329</v>
      </c>
      <c r="I38" s="571"/>
      <c r="J38" s="571"/>
      <c r="K38" s="571"/>
      <c r="L38" s="571"/>
      <c r="M38" s="1977" t="s">
        <v>1227</v>
      </c>
    </row>
    <row r="39" spans="2:13" s="563" customFormat="1" ht="27">
      <c r="B39" s="1852" t="s">
        <v>1280</v>
      </c>
      <c r="C39" s="574">
        <v>135</v>
      </c>
      <c r="D39" s="574">
        <v>182</v>
      </c>
      <c r="E39" s="571">
        <f t="shared" si="2"/>
        <v>182</v>
      </c>
      <c r="F39" s="571"/>
      <c r="G39" s="571"/>
      <c r="H39" s="571">
        <f t="shared" si="1"/>
        <v>182</v>
      </c>
      <c r="I39" s="571"/>
      <c r="J39" s="571"/>
      <c r="K39" s="571"/>
      <c r="L39" s="571"/>
      <c r="M39" s="1924" t="s">
        <v>1069</v>
      </c>
    </row>
    <row r="40" spans="2:13" s="563" customFormat="1" ht="27">
      <c r="B40" s="1852" t="s">
        <v>1258</v>
      </c>
      <c r="C40" s="574">
        <v>1760.77</v>
      </c>
      <c r="D40" s="574">
        <v>1636</v>
      </c>
      <c r="E40" s="571">
        <f t="shared" si="2"/>
        <v>1636</v>
      </c>
      <c r="F40" s="571"/>
      <c r="G40" s="571"/>
      <c r="H40" s="571">
        <f t="shared" si="1"/>
        <v>1636</v>
      </c>
      <c r="I40" s="571"/>
      <c r="J40" s="571"/>
      <c r="K40" s="571"/>
      <c r="L40" s="571"/>
      <c r="M40" s="1924" t="s">
        <v>1069</v>
      </c>
    </row>
    <row r="41" spans="2:13" s="563" customFormat="1" ht="27">
      <c r="B41" s="1852" t="s">
        <v>1127</v>
      </c>
      <c r="C41" s="574">
        <v>0</v>
      </c>
      <c r="D41" s="574">
        <v>2436</v>
      </c>
      <c r="E41" s="571">
        <f t="shared" si="2"/>
        <v>2436</v>
      </c>
      <c r="F41" s="571"/>
      <c r="G41" s="571"/>
      <c r="H41" s="571">
        <f t="shared" si="1"/>
        <v>2436</v>
      </c>
      <c r="I41" s="571"/>
      <c r="J41" s="571"/>
      <c r="K41" s="571"/>
      <c r="L41" s="571"/>
      <c r="M41" s="1924" t="s">
        <v>1069</v>
      </c>
    </row>
    <row r="42" spans="2:13" s="563" customFormat="1" ht="13.8">
      <c r="B42" s="1852" t="s">
        <v>1200</v>
      </c>
      <c r="C42" s="574">
        <v>1330290.27</v>
      </c>
      <c r="D42" s="574">
        <v>1401210</v>
      </c>
      <c r="E42" s="571">
        <f t="shared" si="2"/>
        <v>1401210</v>
      </c>
      <c r="F42" s="571"/>
      <c r="G42" s="571"/>
      <c r="H42" s="571">
        <f t="shared" si="1"/>
        <v>1401210</v>
      </c>
      <c r="I42" s="571"/>
      <c r="J42" s="571"/>
      <c r="K42" s="571"/>
      <c r="L42" s="571"/>
      <c r="M42" s="1978" t="s">
        <v>192</v>
      </c>
    </row>
    <row r="43" spans="2:13" s="563" customFormat="1" ht="13.8">
      <c r="B43" s="1852" t="s">
        <v>1201</v>
      </c>
      <c r="C43" s="574">
        <v>1892584.75</v>
      </c>
      <c r="D43" s="574">
        <v>1892585</v>
      </c>
      <c r="E43" s="571">
        <f t="shared" si="2"/>
        <v>1892585</v>
      </c>
      <c r="F43" s="571"/>
      <c r="G43" s="571"/>
      <c r="H43" s="571">
        <f t="shared" si="1"/>
        <v>1892585</v>
      </c>
      <c r="I43" s="571"/>
      <c r="J43" s="571"/>
      <c r="K43" s="571"/>
      <c r="L43" s="571"/>
      <c r="M43" s="1978" t="s">
        <v>192</v>
      </c>
    </row>
    <row r="44" spans="2:13" s="563" customFormat="1" ht="13.8">
      <c r="B44" s="1852" t="s">
        <v>1203</v>
      </c>
      <c r="C44" s="574">
        <v>21594.170000000002</v>
      </c>
      <c r="D44" s="574">
        <v>21595</v>
      </c>
      <c r="E44" s="571">
        <f t="shared" si="2"/>
        <v>21595</v>
      </c>
      <c r="F44" s="571"/>
      <c r="G44" s="571"/>
      <c r="H44" s="571">
        <f t="shared" si="1"/>
        <v>21595</v>
      </c>
      <c r="I44" s="571"/>
      <c r="J44" s="571"/>
      <c r="K44" s="571"/>
      <c r="L44" s="571"/>
      <c r="M44" s="1978" t="s">
        <v>192</v>
      </c>
    </row>
    <row r="45" spans="2:13" s="563" customFormat="1" ht="13.8">
      <c r="B45" s="1852" t="s">
        <v>1204</v>
      </c>
      <c r="C45" s="574">
        <v>103436.25000000001</v>
      </c>
      <c r="D45" s="574">
        <v>110050</v>
      </c>
      <c r="E45" s="571">
        <f t="shared" si="2"/>
        <v>110050</v>
      </c>
      <c r="F45" s="571"/>
      <c r="G45" s="571"/>
      <c r="H45" s="571">
        <f t="shared" si="1"/>
        <v>110050</v>
      </c>
      <c r="I45" s="571"/>
      <c r="J45" s="571"/>
      <c r="K45" s="571"/>
      <c r="L45" s="571"/>
      <c r="M45" s="1978" t="s">
        <v>192</v>
      </c>
    </row>
    <row r="46" spans="2:13" s="563" customFormat="1" ht="13.8">
      <c r="B46" s="1852" t="s">
        <v>1205</v>
      </c>
      <c r="C46" s="574">
        <v>71175.51999999999</v>
      </c>
      <c r="D46" s="574">
        <v>71176</v>
      </c>
      <c r="E46" s="571">
        <f t="shared" si="2"/>
        <v>71176</v>
      </c>
      <c r="F46" s="571"/>
      <c r="G46" s="571"/>
      <c r="H46" s="571">
        <f t="shared" si="1"/>
        <v>71176</v>
      </c>
      <c r="I46" s="571"/>
      <c r="J46" s="571"/>
      <c r="K46" s="571"/>
      <c r="L46" s="571"/>
      <c r="M46" s="1978" t="s">
        <v>192</v>
      </c>
    </row>
    <row r="47" spans="2:13" s="563" customFormat="1" ht="13.8">
      <c r="B47" s="1852" t="s">
        <v>1187</v>
      </c>
      <c r="C47" s="574">
        <v>-36944.6</v>
      </c>
      <c r="D47" s="574">
        <v>-33985</v>
      </c>
      <c r="E47" s="571">
        <f t="shared" si="2"/>
        <v>-33985</v>
      </c>
      <c r="F47" s="571"/>
      <c r="G47" s="571"/>
      <c r="H47" s="571">
        <f t="shared" si="1"/>
        <v>-33985</v>
      </c>
      <c r="I47" s="571"/>
      <c r="J47" s="571"/>
      <c r="K47" s="571"/>
      <c r="L47" s="571"/>
      <c r="M47" s="1978" t="s">
        <v>192</v>
      </c>
    </row>
    <row r="48" spans="2:13" s="563" customFormat="1" ht="13.8">
      <c r="B48" s="1852" t="s">
        <v>1206</v>
      </c>
      <c r="C48" s="574">
        <v>20557.79</v>
      </c>
      <c r="D48" s="574">
        <v>20558</v>
      </c>
      <c r="E48" s="571">
        <f t="shared" si="2"/>
        <v>20558</v>
      </c>
      <c r="F48" s="571"/>
      <c r="G48" s="571"/>
      <c r="H48" s="571">
        <f t="shared" si="1"/>
        <v>20558</v>
      </c>
      <c r="I48" s="571"/>
      <c r="J48" s="571"/>
      <c r="K48" s="571"/>
      <c r="L48" s="571"/>
      <c r="M48" s="1978" t="s">
        <v>192</v>
      </c>
    </row>
    <row r="49" spans="2:13" s="563" customFormat="1" ht="13.8">
      <c r="B49" s="1852" t="s">
        <v>1188</v>
      </c>
      <c r="C49" s="574">
        <v>100900.20999999999</v>
      </c>
      <c r="D49" s="574">
        <v>113461</v>
      </c>
      <c r="E49" s="571">
        <f t="shared" si="2"/>
        <v>113461</v>
      </c>
      <c r="F49" s="571"/>
      <c r="G49" s="571"/>
      <c r="H49" s="571">
        <f t="shared" si="1"/>
        <v>113461</v>
      </c>
      <c r="I49" s="571"/>
      <c r="J49" s="571"/>
      <c r="K49" s="571"/>
      <c r="L49" s="571"/>
      <c r="M49" s="1978" t="s">
        <v>192</v>
      </c>
    </row>
    <row r="50" spans="2:13" s="563" customFormat="1" ht="13.8">
      <c r="B50" s="1852" t="s">
        <v>1207</v>
      </c>
      <c r="C50" s="574">
        <v>157677.4</v>
      </c>
      <c r="D50" s="574">
        <v>157678</v>
      </c>
      <c r="E50" s="571">
        <f t="shared" si="2"/>
        <v>157678</v>
      </c>
      <c r="F50" s="571"/>
      <c r="G50" s="571"/>
      <c r="H50" s="571">
        <f t="shared" si="1"/>
        <v>157678</v>
      </c>
      <c r="I50" s="571"/>
      <c r="J50" s="571"/>
      <c r="K50" s="571"/>
      <c r="L50" s="571"/>
      <c r="M50" s="1978" t="s">
        <v>192</v>
      </c>
    </row>
    <row r="51" spans="2:13" s="563" customFormat="1" ht="13.8">
      <c r="B51" s="1852" t="s">
        <v>1281</v>
      </c>
      <c r="C51" s="574">
        <v>2049003</v>
      </c>
      <c r="D51" s="574">
        <v>4109966</v>
      </c>
      <c r="E51" s="571">
        <f t="shared" si="2"/>
        <v>4109966</v>
      </c>
      <c r="F51" s="571"/>
      <c r="G51" s="571"/>
      <c r="H51" s="571">
        <f t="shared" si="1"/>
        <v>4109966</v>
      </c>
      <c r="I51" s="571"/>
      <c r="J51" s="571"/>
      <c r="K51" s="571"/>
      <c r="L51" s="571"/>
      <c r="M51" s="1924" t="s">
        <v>1282</v>
      </c>
    </row>
    <row r="52" spans="2:13" s="563" customFormat="1" ht="27">
      <c r="B52" s="1852" t="s">
        <v>1264</v>
      </c>
      <c r="C52" s="574">
        <v>-7531112.3499999996</v>
      </c>
      <c r="D52" s="574">
        <v>-5648441.2067561187</v>
      </c>
      <c r="E52" s="571">
        <f t="shared" si="2"/>
        <v>-5648441.2067561187</v>
      </c>
      <c r="F52" s="571"/>
      <c r="G52" s="571"/>
      <c r="H52" s="571">
        <f t="shared" si="1"/>
        <v>-5648441.2067561187</v>
      </c>
      <c r="I52" s="571"/>
      <c r="J52" s="571"/>
      <c r="K52" s="571"/>
      <c r="L52" s="571"/>
      <c r="M52" s="1924" t="s">
        <v>1233</v>
      </c>
    </row>
    <row r="53" spans="2:13" s="563" customFormat="1" ht="13.8">
      <c r="B53" s="1852" t="s">
        <v>1185</v>
      </c>
      <c r="C53" s="574">
        <v>157650151.69999999</v>
      </c>
      <c r="D53" s="574">
        <v>139550451</v>
      </c>
      <c r="E53" s="571">
        <f t="shared" si="2"/>
        <v>139550451</v>
      </c>
      <c r="F53" s="571"/>
      <c r="G53" s="571"/>
      <c r="H53" s="571">
        <f t="shared" si="1"/>
        <v>139550451</v>
      </c>
      <c r="I53" s="571"/>
      <c r="J53" s="571"/>
      <c r="K53" s="571"/>
      <c r="L53" s="571"/>
      <c r="M53" s="1924" t="s">
        <v>763</v>
      </c>
    </row>
    <row r="54" spans="2:13" s="563" customFormat="1" ht="27">
      <c r="B54" s="1852" t="s">
        <v>1265</v>
      </c>
      <c r="C54" s="574">
        <v>1002.72</v>
      </c>
      <c r="D54" s="574">
        <v>674</v>
      </c>
      <c r="E54" s="571">
        <f t="shared" si="2"/>
        <v>674</v>
      </c>
      <c r="F54" s="631"/>
      <c r="G54" s="631">
        <f>E54</f>
        <v>674</v>
      </c>
      <c r="H54" s="631"/>
      <c r="I54" s="631"/>
      <c r="J54" s="631"/>
      <c r="K54" s="631"/>
      <c r="L54" s="631"/>
      <c r="M54" s="1925" t="s">
        <v>1070</v>
      </c>
    </row>
    <row r="55" spans="2:13" s="563" customFormat="1" ht="27">
      <c r="B55" s="1852" t="s">
        <v>1266</v>
      </c>
      <c r="C55" s="574">
        <v>46270.990000000005</v>
      </c>
      <c r="D55" s="574">
        <v>31102</v>
      </c>
      <c r="E55" s="571">
        <f t="shared" si="2"/>
        <v>31102</v>
      </c>
      <c r="F55" s="631"/>
      <c r="G55" s="631">
        <f>E55</f>
        <v>31102</v>
      </c>
      <c r="H55" s="631"/>
      <c r="I55" s="631"/>
      <c r="J55" s="631"/>
      <c r="K55" s="631"/>
      <c r="L55" s="631"/>
      <c r="M55" s="1925" t="s">
        <v>1070</v>
      </c>
    </row>
    <row r="56" spans="2:13" s="563" customFormat="1" ht="13.8">
      <c r="B56" s="1852" t="s">
        <v>1128</v>
      </c>
      <c r="C56" s="574">
        <v>2847069.31</v>
      </c>
      <c r="D56" s="574">
        <v>1939726</v>
      </c>
      <c r="E56" s="571">
        <f t="shared" si="2"/>
        <v>1939726</v>
      </c>
      <c r="F56" s="631"/>
      <c r="G56" s="631"/>
      <c r="H56" s="631">
        <f t="shared" ref="H56:H70" si="3">E56</f>
        <v>1939726</v>
      </c>
      <c r="I56" s="631"/>
      <c r="J56" s="631"/>
      <c r="K56" s="631"/>
      <c r="L56" s="631"/>
      <c r="M56" s="1925" t="s">
        <v>1148</v>
      </c>
    </row>
    <row r="57" spans="2:13" s="563" customFormat="1" ht="13.8">
      <c r="B57" s="1852" t="s">
        <v>1189</v>
      </c>
      <c r="C57" s="574">
        <v>17926330.48</v>
      </c>
      <c r="D57" s="574">
        <v>18117327</v>
      </c>
      <c r="E57" s="571">
        <f t="shared" si="2"/>
        <v>18117327</v>
      </c>
      <c r="F57" s="631"/>
      <c r="G57" s="571"/>
      <c r="H57" s="631">
        <f t="shared" si="3"/>
        <v>18117327</v>
      </c>
      <c r="I57" s="631"/>
      <c r="J57" s="631"/>
      <c r="K57" s="631"/>
      <c r="L57" s="631"/>
      <c r="M57" s="1925" t="s">
        <v>1148</v>
      </c>
    </row>
    <row r="58" spans="2:13" s="563" customFormat="1" ht="27">
      <c r="B58" s="1852" t="s">
        <v>1267</v>
      </c>
      <c r="C58" s="574">
        <v>1456510.85</v>
      </c>
      <c r="D58" s="574">
        <v>2135099</v>
      </c>
      <c r="E58" s="571">
        <f t="shared" si="2"/>
        <v>2135099</v>
      </c>
      <c r="F58" s="631"/>
      <c r="G58" s="571"/>
      <c r="H58" s="631">
        <f t="shared" si="3"/>
        <v>2135099</v>
      </c>
      <c r="I58" s="631"/>
      <c r="J58" s="631"/>
      <c r="K58" s="631"/>
      <c r="L58" s="631"/>
      <c r="M58" s="1925" t="s">
        <v>1283</v>
      </c>
    </row>
    <row r="59" spans="2:13" s="563" customFormat="1" ht="40.200000000000003">
      <c r="B59" s="1852" t="s">
        <v>1129</v>
      </c>
      <c r="C59" s="574">
        <v>1186908.23</v>
      </c>
      <c r="D59" s="574">
        <v>1142050</v>
      </c>
      <c r="E59" s="571">
        <f t="shared" si="2"/>
        <v>1142050</v>
      </c>
      <c r="F59" s="631"/>
      <c r="G59" s="631">
        <f>E59</f>
        <v>1142050</v>
      </c>
      <c r="H59" s="631"/>
      <c r="I59" s="631"/>
      <c r="J59" s="631"/>
      <c r="K59" s="631"/>
      <c r="L59" s="631"/>
      <c r="M59" s="1925" t="s">
        <v>1149</v>
      </c>
    </row>
    <row r="60" spans="2:13" s="563" customFormat="1" ht="13.8">
      <c r="B60" s="1852" t="s">
        <v>1130</v>
      </c>
      <c r="C60" s="574">
        <v>1557234.09</v>
      </c>
      <c r="D60" s="574">
        <v>1324983</v>
      </c>
      <c r="E60" s="571">
        <f t="shared" si="2"/>
        <v>1324983</v>
      </c>
      <c r="F60" s="631"/>
      <c r="G60" s="631"/>
      <c r="H60" s="631">
        <f t="shared" si="3"/>
        <v>1324983</v>
      </c>
      <c r="I60" s="631"/>
      <c r="J60" s="631"/>
      <c r="K60" s="631"/>
      <c r="L60" s="631"/>
      <c r="M60" s="1925" t="s">
        <v>1150</v>
      </c>
    </row>
    <row r="61" spans="2:13" s="563" customFormat="1" ht="13.8">
      <c r="B61" s="1852" t="s">
        <v>1190</v>
      </c>
      <c r="C61" s="574">
        <v>28837213.149999999</v>
      </c>
      <c r="D61" s="574">
        <v>28215976</v>
      </c>
      <c r="E61" s="571">
        <f t="shared" si="2"/>
        <v>28215976</v>
      </c>
      <c r="F61" s="631"/>
      <c r="G61" s="631"/>
      <c r="H61" s="631">
        <f t="shared" si="3"/>
        <v>28215976</v>
      </c>
      <c r="I61" s="631"/>
      <c r="J61" s="631"/>
      <c r="K61" s="631"/>
      <c r="L61" s="631"/>
      <c r="M61" s="1925" t="s">
        <v>297</v>
      </c>
    </row>
    <row r="62" spans="2:13" s="563" customFormat="1" ht="13.8">
      <c r="B62" s="1852" t="s">
        <v>1191</v>
      </c>
      <c r="C62" s="574">
        <v>32573737.020000003</v>
      </c>
      <c r="D62" s="574">
        <v>32695354</v>
      </c>
      <c r="E62" s="571">
        <f t="shared" si="2"/>
        <v>32695354</v>
      </c>
      <c r="F62" s="631"/>
      <c r="G62" s="571"/>
      <c r="H62" s="631">
        <f t="shared" si="3"/>
        <v>32695354</v>
      </c>
      <c r="I62" s="631"/>
      <c r="J62" s="631"/>
      <c r="K62" s="631"/>
      <c r="L62" s="631"/>
      <c r="M62" s="1925" t="s">
        <v>297</v>
      </c>
    </row>
    <row r="63" spans="2:13" s="563" customFormat="1" ht="13.8">
      <c r="B63" s="1852" t="s">
        <v>1192</v>
      </c>
      <c r="C63" s="574">
        <v>408742.2</v>
      </c>
      <c r="D63" s="574">
        <v>399855</v>
      </c>
      <c r="E63" s="571">
        <f t="shared" si="2"/>
        <v>399855</v>
      </c>
      <c r="F63" s="631"/>
      <c r="G63" s="631"/>
      <c r="H63" s="631">
        <f t="shared" si="3"/>
        <v>399855</v>
      </c>
      <c r="I63" s="631"/>
      <c r="J63" s="631"/>
      <c r="K63" s="631"/>
      <c r="L63" s="631"/>
      <c r="M63" s="1925" t="s">
        <v>297</v>
      </c>
    </row>
    <row r="64" spans="2:13" s="563" customFormat="1" ht="13.8">
      <c r="B64" s="1852" t="s">
        <v>1193</v>
      </c>
      <c r="C64" s="574">
        <v>311238.87</v>
      </c>
      <c r="D64" s="574">
        <v>313896</v>
      </c>
      <c r="E64" s="571">
        <f t="shared" si="2"/>
        <v>313896</v>
      </c>
      <c r="F64" s="631"/>
      <c r="G64" s="631"/>
      <c r="H64" s="631">
        <f t="shared" si="3"/>
        <v>313896</v>
      </c>
      <c r="I64" s="631"/>
      <c r="J64" s="631"/>
      <c r="K64" s="631"/>
      <c r="L64" s="631"/>
      <c r="M64" s="1952" t="s">
        <v>297</v>
      </c>
    </row>
    <row r="65" spans="2:14" s="563" customFormat="1" ht="13.8">
      <c r="B65" s="1852" t="s">
        <v>1194</v>
      </c>
      <c r="C65" s="574">
        <v>683024.89999999991</v>
      </c>
      <c r="D65" s="574">
        <v>678184</v>
      </c>
      <c r="E65" s="571">
        <f t="shared" si="2"/>
        <v>678184</v>
      </c>
      <c r="F65" s="631"/>
      <c r="G65" s="631"/>
      <c r="H65" s="631">
        <f t="shared" si="3"/>
        <v>678184</v>
      </c>
      <c r="I65" s="631"/>
      <c r="J65" s="631"/>
      <c r="K65" s="631"/>
      <c r="L65" s="631"/>
      <c r="M65" s="1925" t="s">
        <v>297</v>
      </c>
    </row>
    <row r="66" spans="2:14" s="563" customFormat="1" ht="13.8">
      <c r="B66" s="1852" t="s">
        <v>1195</v>
      </c>
      <c r="C66" s="574">
        <v>1031080.2699999998</v>
      </c>
      <c r="D66" s="574">
        <v>1042130</v>
      </c>
      <c r="E66" s="571">
        <f t="shared" si="2"/>
        <v>1042130</v>
      </c>
      <c r="F66" s="631"/>
      <c r="G66" s="631"/>
      <c r="H66" s="631">
        <f t="shared" si="3"/>
        <v>1042130</v>
      </c>
      <c r="I66" s="631"/>
      <c r="J66" s="631"/>
      <c r="K66" s="631"/>
      <c r="L66" s="631"/>
      <c r="M66" s="1925" t="s">
        <v>297</v>
      </c>
    </row>
    <row r="67" spans="2:14" s="563" customFormat="1" ht="13.8">
      <c r="B67" s="1852" t="s">
        <v>1196</v>
      </c>
      <c r="C67" s="574">
        <v>488748.42999999993</v>
      </c>
      <c r="D67" s="574">
        <v>478967</v>
      </c>
      <c r="E67" s="571">
        <f t="shared" si="2"/>
        <v>478967</v>
      </c>
      <c r="F67" s="631"/>
      <c r="G67" s="631"/>
      <c r="H67" s="631">
        <f t="shared" si="3"/>
        <v>478967</v>
      </c>
      <c r="I67" s="631"/>
      <c r="J67" s="631"/>
      <c r="K67" s="631"/>
      <c r="L67" s="631"/>
      <c r="M67" s="1925" t="s">
        <v>297</v>
      </c>
    </row>
    <row r="68" spans="2:14" s="563" customFormat="1" ht="13.8">
      <c r="B68" s="1852" t="s">
        <v>1197</v>
      </c>
      <c r="C68" s="574">
        <v>334330.21000000002</v>
      </c>
      <c r="D68" s="574">
        <v>337100</v>
      </c>
      <c r="E68" s="571">
        <f t="shared" si="2"/>
        <v>337100</v>
      </c>
      <c r="F68" s="631"/>
      <c r="G68" s="631"/>
      <c r="H68" s="631">
        <f t="shared" si="3"/>
        <v>337100</v>
      </c>
      <c r="I68" s="631"/>
      <c r="J68" s="631"/>
      <c r="K68" s="631"/>
      <c r="L68" s="631"/>
      <c r="M68" s="1925" t="s">
        <v>297</v>
      </c>
    </row>
    <row r="69" spans="2:14" s="563" customFormat="1" ht="13.8">
      <c r="B69" s="1852" t="s">
        <v>1198</v>
      </c>
      <c r="C69" s="574">
        <v>2616644.5699999998</v>
      </c>
      <c r="D69" s="574">
        <v>2568386</v>
      </c>
      <c r="E69" s="571">
        <f t="shared" si="2"/>
        <v>2568386</v>
      </c>
      <c r="F69" s="631"/>
      <c r="G69" s="631"/>
      <c r="H69" s="631">
        <f t="shared" si="3"/>
        <v>2568386</v>
      </c>
      <c r="I69" s="631"/>
      <c r="J69" s="631"/>
      <c r="K69" s="631"/>
      <c r="L69" s="631"/>
      <c r="M69" s="631" t="s">
        <v>297</v>
      </c>
    </row>
    <row r="70" spans="2:14" s="563" customFormat="1" ht="13.8">
      <c r="B70" s="1852" t="s">
        <v>1199</v>
      </c>
      <c r="C70" s="1275">
        <v>2579782.36</v>
      </c>
      <c r="D70" s="1275">
        <v>2595865</v>
      </c>
      <c r="E70" s="576">
        <f>D70</f>
        <v>2595865</v>
      </c>
      <c r="F70" s="576"/>
      <c r="G70" s="576"/>
      <c r="H70" s="576">
        <f t="shared" si="3"/>
        <v>2595865</v>
      </c>
      <c r="I70" s="576"/>
      <c r="J70" s="576"/>
      <c r="K70" s="631"/>
      <c r="L70" s="631"/>
      <c r="M70" s="631" t="s">
        <v>297</v>
      </c>
    </row>
    <row r="71" spans="2:14" s="563" customFormat="1" ht="13.8">
      <c r="B71" s="1013" t="s">
        <v>633</v>
      </c>
      <c r="C71" s="577">
        <f t="shared" ref="C71:J71" si="4">SUM(C37:C70)</f>
        <v>251532092.53000003</v>
      </c>
      <c r="D71" s="577">
        <f t="shared" si="4"/>
        <v>236428563.79324389</v>
      </c>
      <c r="E71" s="577">
        <f t="shared" si="4"/>
        <v>236428563.79324389</v>
      </c>
      <c r="F71" s="577">
        <f t="shared" si="4"/>
        <v>0</v>
      </c>
      <c r="G71" s="577">
        <f t="shared" si="4"/>
        <v>1173826</v>
      </c>
      <c r="H71" s="577">
        <f t="shared" si="4"/>
        <v>235254737.79324389</v>
      </c>
      <c r="I71" s="577">
        <f t="shared" si="4"/>
        <v>0</v>
      </c>
      <c r="J71" s="577">
        <f t="shared" si="4"/>
        <v>0</v>
      </c>
      <c r="K71" s="577"/>
      <c r="L71" s="577"/>
      <c r="M71" s="1091"/>
    </row>
    <row r="72" spans="2:14" s="563" customFormat="1" ht="13.8">
      <c r="B72" s="1008" t="s">
        <v>197</v>
      </c>
      <c r="C72" s="631">
        <f>C52</f>
        <v>-7531112.3499999996</v>
      </c>
      <c r="D72" s="631">
        <f>D52</f>
        <v>-5648441.2067561187</v>
      </c>
      <c r="E72" s="631">
        <f t="shared" ref="E72:J72" si="5">E52</f>
        <v>-5648441.2067561187</v>
      </c>
      <c r="F72" s="631">
        <f t="shared" si="5"/>
        <v>0</v>
      </c>
      <c r="G72" s="631">
        <f t="shared" si="5"/>
        <v>0</v>
      </c>
      <c r="H72" s="631">
        <f t="shared" si="5"/>
        <v>-5648441.2067561187</v>
      </c>
      <c r="I72" s="631">
        <f t="shared" si="5"/>
        <v>0</v>
      </c>
      <c r="J72" s="631">
        <f t="shared" si="5"/>
        <v>0</v>
      </c>
      <c r="K72" s="584"/>
      <c r="L72" s="584"/>
      <c r="M72" s="572"/>
    </row>
    <row r="73" spans="2:14" s="563" customFormat="1" ht="13.8">
      <c r="B73" s="1008" t="s">
        <v>423</v>
      </c>
      <c r="C73" s="571"/>
      <c r="D73" s="571"/>
      <c r="E73" s="571"/>
      <c r="F73" s="571"/>
      <c r="G73" s="576"/>
      <c r="H73" s="576"/>
      <c r="I73" s="579"/>
      <c r="J73" s="579"/>
      <c r="K73" s="561"/>
      <c r="L73" s="561"/>
      <c r="M73" s="594"/>
    </row>
    <row r="74" spans="2:14" s="563" customFormat="1" ht="14.4" thickBot="1">
      <c r="B74" s="1008" t="s">
        <v>603</v>
      </c>
      <c r="C74" s="580">
        <f t="shared" ref="C74:J74" si="6">+C71-C72-C73</f>
        <v>259063204.88000003</v>
      </c>
      <c r="D74" s="580">
        <f t="shared" si="6"/>
        <v>242077005</v>
      </c>
      <c r="E74" s="580">
        <f t="shared" si="6"/>
        <v>242077005</v>
      </c>
      <c r="F74" s="580">
        <f t="shared" si="6"/>
        <v>0</v>
      </c>
      <c r="G74" s="580">
        <f t="shared" si="6"/>
        <v>1173826</v>
      </c>
      <c r="H74" s="580">
        <f t="shared" si="6"/>
        <v>240903179</v>
      </c>
      <c r="I74" s="580">
        <f t="shared" si="6"/>
        <v>0</v>
      </c>
      <c r="J74" s="580">
        <f t="shared" si="6"/>
        <v>0</v>
      </c>
      <c r="K74" s="581"/>
      <c r="L74" s="581"/>
      <c r="M74" s="572"/>
      <c r="N74" s="582">
        <f>SUM(M74:M74)</f>
        <v>0</v>
      </c>
    </row>
    <row r="75" spans="2:14" s="563" customFormat="1" ht="14.4" thickTop="1">
      <c r="B75" s="578"/>
      <c r="G75" s="581"/>
      <c r="H75" s="581"/>
      <c r="I75" s="581"/>
      <c r="J75" s="581"/>
      <c r="K75" s="581"/>
      <c r="L75" s="581"/>
      <c r="M75" s="572"/>
      <c r="N75" s="582"/>
    </row>
    <row r="76" spans="2:14" s="563" customFormat="1" ht="13.8">
      <c r="B76" s="578" t="s">
        <v>525</v>
      </c>
      <c r="C76" s="594"/>
      <c r="D76" s="594"/>
      <c r="G76" s="581"/>
      <c r="H76" s="581"/>
      <c r="I76" s="581"/>
      <c r="J76" s="581" t="s">
        <v>525</v>
      </c>
      <c r="K76" s="581"/>
      <c r="L76" s="581"/>
      <c r="M76" s="572"/>
      <c r="N76" s="582"/>
    </row>
    <row r="77" spans="2:14" s="563" customFormat="1">
      <c r="B77" s="583"/>
      <c r="G77" s="582"/>
      <c r="J77" s="569" t="s">
        <v>525</v>
      </c>
      <c r="K77" s="584"/>
      <c r="L77" s="569"/>
      <c r="M77" s="572"/>
    </row>
    <row r="78" spans="2:14" s="563" customFormat="1">
      <c r="B78" s="583"/>
      <c r="J78" s="581"/>
      <c r="K78" s="584"/>
      <c r="L78" s="569"/>
      <c r="M78" s="572"/>
    </row>
    <row r="79" spans="2:14" s="563" customFormat="1" ht="13.8">
      <c r="B79" s="1008" t="s">
        <v>892</v>
      </c>
      <c r="C79" s="1009"/>
      <c r="D79" s="1009"/>
      <c r="E79" s="1009"/>
      <c r="F79" s="1009"/>
      <c r="G79" s="1010"/>
      <c r="H79" s="1010"/>
      <c r="I79" s="1011"/>
      <c r="J79" s="1011"/>
      <c r="K79" s="1011"/>
      <c r="L79" s="582"/>
      <c r="M79" s="572"/>
    </row>
    <row r="80" spans="2:14" s="563" customFormat="1" ht="13.8">
      <c r="B80" s="1008"/>
      <c r="C80" s="1009"/>
      <c r="D80" s="1009"/>
      <c r="E80" s="1009"/>
      <c r="F80" s="1009"/>
      <c r="G80" s="1010"/>
      <c r="H80" s="1010"/>
      <c r="I80" s="1011"/>
      <c r="J80" s="1011"/>
      <c r="K80" s="1011"/>
      <c r="L80" s="582"/>
      <c r="M80" s="572"/>
    </row>
    <row r="81" spans="2:13" s="563" customFormat="1" ht="13.8">
      <c r="B81" s="2004" t="s">
        <v>758</v>
      </c>
      <c r="C81" s="2004"/>
      <c r="D81" s="2004"/>
      <c r="E81" s="2004"/>
      <c r="F81" s="2004"/>
      <c r="G81" s="2004"/>
      <c r="H81" s="2004"/>
      <c r="I81" s="2004"/>
      <c r="J81" s="2004"/>
      <c r="K81" s="2004"/>
      <c r="L81" s="582"/>
      <c r="M81" s="572"/>
    </row>
    <row r="82" spans="2:13" s="563" customFormat="1" ht="12.75" customHeight="1">
      <c r="B82" s="2004" t="s">
        <v>759</v>
      </c>
      <c r="C82" s="2004"/>
      <c r="D82" s="2004"/>
      <c r="E82" s="2004"/>
      <c r="F82" s="2004"/>
      <c r="G82" s="2004"/>
      <c r="H82" s="2004"/>
      <c r="I82" s="2004"/>
      <c r="J82" s="2004"/>
      <c r="K82" s="2004"/>
      <c r="M82" s="572"/>
    </row>
    <row r="83" spans="2:13" s="563" customFormat="1" ht="12.75" customHeight="1">
      <c r="B83" s="1012" t="s">
        <v>73</v>
      </c>
      <c r="C83" s="1010"/>
      <c r="D83" s="1010"/>
      <c r="E83" s="1010"/>
      <c r="F83" s="1010"/>
      <c r="G83" s="1010"/>
      <c r="H83" s="1010"/>
      <c r="I83" s="1011"/>
      <c r="J83" s="1011"/>
      <c r="K83" s="1011"/>
      <c r="M83" s="572"/>
    </row>
    <row r="84" spans="2:13" s="563" customFormat="1" ht="13.8">
      <c r="B84" s="1012" t="s">
        <v>940</v>
      </c>
      <c r="C84" s="1010"/>
      <c r="D84" s="1010"/>
      <c r="E84" s="1010"/>
      <c r="F84" s="1010"/>
      <c r="G84" s="1010"/>
      <c r="H84" s="1010"/>
      <c r="I84" s="1011"/>
      <c r="J84" s="1011"/>
      <c r="K84" s="1011"/>
      <c r="M84" s="572"/>
    </row>
    <row r="85" spans="2:13" s="563" customFormat="1" ht="13.8">
      <c r="B85" s="1012" t="s">
        <v>75</v>
      </c>
      <c r="C85" s="1010"/>
      <c r="D85" s="1010"/>
      <c r="E85" s="1010"/>
      <c r="F85" s="1010"/>
      <c r="G85" s="1010"/>
      <c r="H85" s="1010"/>
      <c r="I85" s="1011"/>
      <c r="J85" s="1011"/>
      <c r="K85" s="1011"/>
      <c r="M85" s="572"/>
    </row>
    <row r="86" spans="2:13" s="563" customFormat="1" ht="27" customHeight="1">
      <c r="B86" s="2004" t="s">
        <v>229</v>
      </c>
      <c r="C86" s="2004"/>
      <c r="D86" s="2004"/>
      <c r="E86" s="2004"/>
      <c r="F86" s="2004"/>
      <c r="G86" s="2004"/>
      <c r="H86" s="2004"/>
      <c r="I86" s="2004"/>
      <c r="J86" s="2004"/>
      <c r="K86" s="2004"/>
      <c r="M86" s="572"/>
    </row>
    <row r="87" spans="2:13" s="563" customFormat="1" ht="12.75" customHeight="1">
      <c r="B87" s="587"/>
      <c r="C87" s="569"/>
      <c r="D87" s="569"/>
      <c r="E87" s="569"/>
      <c r="F87" s="569"/>
      <c r="G87" s="577"/>
      <c r="H87" s="577"/>
      <c r="I87" s="584"/>
      <c r="J87" s="584"/>
      <c r="K87" s="588"/>
      <c r="M87" s="572"/>
    </row>
    <row r="88" spans="2:13" s="563" customFormat="1">
      <c r="B88" s="476" t="s">
        <v>715</v>
      </c>
      <c r="C88" s="569"/>
      <c r="D88" s="569"/>
      <c r="E88" s="569"/>
      <c r="F88" s="569"/>
      <c r="G88" s="577"/>
      <c r="H88" s="577"/>
      <c r="I88" s="584"/>
      <c r="J88" s="584"/>
      <c r="K88" s="584"/>
      <c r="M88" s="572"/>
    </row>
    <row r="89" spans="2:13" s="563" customFormat="1" ht="15.6">
      <c r="B89" s="2008"/>
      <c r="C89" s="2008"/>
      <c r="D89" s="2008"/>
      <c r="E89" s="2008"/>
      <c r="F89" s="2008"/>
      <c r="G89" s="2008"/>
      <c r="H89" s="2008"/>
      <c r="I89" s="2008"/>
      <c r="J89" s="2008"/>
      <c r="K89" s="589"/>
      <c r="M89" s="572"/>
    </row>
    <row r="90" spans="2:13" s="563" customFormat="1" ht="15.6">
      <c r="B90" s="564" t="s">
        <v>407</v>
      </c>
      <c r="C90" s="569"/>
      <c r="D90" s="569"/>
      <c r="E90" s="569"/>
      <c r="F90" s="569"/>
      <c r="G90" s="569"/>
      <c r="H90" s="569"/>
      <c r="I90" s="569"/>
      <c r="J90" s="590"/>
      <c r="K90" s="590"/>
      <c r="M90" s="572"/>
    </row>
    <row r="91" spans="2:13" s="563" customFormat="1" ht="15.6">
      <c r="B91" s="564"/>
      <c r="C91" s="569"/>
      <c r="D91" s="569"/>
      <c r="E91" s="569"/>
      <c r="F91" s="569"/>
      <c r="G91" s="569"/>
      <c r="H91" s="569"/>
      <c r="I91" s="569"/>
      <c r="J91" s="590"/>
      <c r="K91" s="590"/>
      <c r="M91" s="572"/>
    </row>
    <row r="92" spans="2:13" s="563" customFormat="1" ht="13.8" thickBot="1">
      <c r="B92" s="476" t="s">
        <v>527</v>
      </c>
      <c r="C92" s="476" t="s">
        <v>387</v>
      </c>
      <c r="D92" s="476" t="s">
        <v>388</v>
      </c>
      <c r="E92" s="476" t="s">
        <v>389</v>
      </c>
      <c r="F92" s="476" t="s">
        <v>510</v>
      </c>
      <c r="G92" s="476" t="s">
        <v>528</v>
      </c>
      <c r="H92" s="476" t="s">
        <v>526</v>
      </c>
      <c r="I92" s="476" t="s">
        <v>969</v>
      </c>
      <c r="J92" s="476" t="s">
        <v>529</v>
      </c>
      <c r="K92" s="566"/>
      <c r="M92" s="572"/>
    </row>
    <row r="93" spans="2:13" s="563" customFormat="1" ht="13.8" thickBot="1">
      <c r="B93" s="569"/>
      <c r="C93" s="2005" t="s">
        <v>749</v>
      </c>
      <c r="D93" s="2006"/>
      <c r="E93" s="2006"/>
      <c r="F93" s="2006"/>
      <c r="G93" s="2006"/>
      <c r="H93" s="2006"/>
      <c r="I93" s="2006"/>
      <c r="J93" s="2007"/>
      <c r="K93" s="567"/>
      <c r="L93" s="567"/>
      <c r="M93" s="572"/>
    </row>
    <row r="94" spans="2:13" s="563" customFormat="1" ht="30">
      <c r="B94" s="1552"/>
      <c r="K94" s="590"/>
      <c r="M94" s="572"/>
    </row>
    <row r="95" spans="2:13" s="563" customFormat="1" ht="26.4">
      <c r="B95" s="587"/>
      <c r="C95" s="716" t="s">
        <v>384</v>
      </c>
      <c r="D95" s="447" t="s">
        <v>230</v>
      </c>
      <c r="E95" s="802" t="s">
        <v>1184</v>
      </c>
      <c r="F95" s="476" t="s">
        <v>265</v>
      </c>
      <c r="G95" s="447" t="s">
        <v>889</v>
      </c>
      <c r="H95" s="447" t="s">
        <v>891</v>
      </c>
      <c r="I95" s="447"/>
      <c r="J95" s="447"/>
      <c r="K95" s="591"/>
      <c r="L95" s="591"/>
      <c r="M95" s="572"/>
    </row>
    <row r="96" spans="2:13" s="563" customFormat="1">
      <c r="B96" s="590" t="s">
        <v>878</v>
      </c>
      <c r="C96" s="447" t="s">
        <v>344</v>
      </c>
      <c r="D96" s="476" t="str">
        <f>+C96</f>
        <v>Balance</v>
      </c>
      <c r="E96" s="447" t="s">
        <v>603</v>
      </c>
      <c r="F96" s="476" t="s">
        <v>887</v>
      </c>
      <c r="G96" s="447" t="s">
        <v>890</v>
      </c>
      <c r="H96" s="447" t="s">
        <v>876</v>
      </c>
      <c r="I96" s="447" t="s">
        <v>886</v>
      </c>
      <c r="J96" s="447" t="s">
        <v>888</v>
      </c>
      <c r="K96" s="591"/>
      <c r="L96" s="591"/>
      <c r="M96" s="594" t="s">
        <v>525</v>
      </c>
    </row>
    <row r="97" spans="2:13" s="563" customFormat="1" ht="13.8">
      <c r="B97" s="578"/>
      <c r="C97" s="447" t="s">
        <v>206</v>
      </c>
      <c r="D97" s="447" t="s">
        <v>207</v>
      </c>
      <c r="G97" s="447" t="s">
        <v>887</v>
      </c>
      <c r="H97" s="447" t="s">
        <v>887</v>
      </c>
      <c r="I97" s="447" t="s">
        <v>887</v>
      </c>
      <c r="J97" s="447" t="s">
        <v>887</v>
      </c>
      <c r="K97" s="591"/>
      <c r="L97" s="591"/>
      <c r="M97" s="572"/>
    </row>
    <row r="98" spans="2:13" s="563" customFormat="1" ht="13.8">
      <c r="B98" s="345"/>
      <c r="C98" s="569"/>
      <c r="D98" s="569"/>
      <c r="E98" s="569"/>
      <c r="F98" s="569"/>
      <c r="G98" s="591" t="s">
        <v>887</v>
      </c>
      <c r="H98" s="591" t="s">
        <v>887</v>
      </c>
      <c r="I98" s="591" t="s">
        <v>887</v>
      </c>
      <c r="J98" s="591" t="s">
        <v>887</v>
      </c>
      <c r="K98" s="591"/>
      <c r="L98" s="591"/>
      <c r="M98" s="447" t="s">
        <v>716</v>
      </c>
    </row>
    <row r="99" spans="2:13" s="563" customFormat="1" ht="13.8">
      <c r="B99" s="345"/>
      <c r="C99" s="569"/>
      <c r="D99" s="569"/>
      <c r="E99" s="569"/>
      <c r="F99" s="569"/>
      <c r="G99" s="577"/>
      <c r="H99" s="577"/>
      <c r="I99" s="577"/>
      <c r="J99" s="577"/>
      <c r="K99" s="577"/>
      <c r="L99" s="577"/>
      <c r="M99" s="572"/>
    </row>
    <row r="100" spans="2:13" s="563" customFormat="1" ht="13.8">
      <c r="B100" s="1965" t="s">
        <v>410</v>
      </c>
      <c r="C100" s="1966">
        <v>9478039.2599999998</v>
      </c>
      <c r="D100" s="1966">
        <v>10790565</v>
      </c>
      <c r="E100" s="1964">
        <f t="shared" ref="E100:E113" si="7">D100</f>
        <v>10790565</v>
      </c>
      <c r="F100" s="574"/>
      <c r="G100" s="574"/>
      <c r="H100" s="574">
        <f t="shared" ref="H100:H113" si="8">E100</f>
        <v>10790565</v>
      </c>
      <c r="I100" s="574"/>
      <c r="J100" s="574"/>
      <c r="K100" s="630"/>
      <c r="L100" s="575"/>
      <c r="M100" s="226" t="s">
        <v>1284</v>
      </c>
    </row>
    <row r="101" spans="2:13" s="563" customFormat="1" ht="13.8">
      <c r="B101" s="1965" t="s">
        <v>1151</v>
      </c>
      <c r="C101" s="1966">
        <v>524573784.40999997</v>
      </c>
      <c r="D101" s="1966">
        <v>522172111.45000005</v>
      </c>
      <c r="E101" s="1964">
        <f t="shared" si="7"/>
        <v>522172111.45000005</v>
      </c>
      <c r="F101" s="1274"/>
      <c r="G101" s="1274"/>
      <c r="H101" s="1274">
        <f t="shared" si="8"/>
        <v>522172111.45000005</v>
      </c>
      <c r="I101" s="1274"/>
      <c r="J101" s="1274"/>
      <c r="K101" s="1274"/>
      <c r="L101" s="1274"/>
      <c r="M101" s="226" t="s">
        <v>1153</v>
      </c>
    </row>
    <row r="102" spans="2:13" s="563" customFormat="1" ht="13.8">
      <c r="B102" s="1965" t="s">
        <v>687</v>
      </c>
      <c r="C102" s="1966">
        <v>2863697.84</v>
      </c>
      <c r="D102" s="1966">
        <v>3219830.2</v>
      </c>
      <c r="E102" s="1964">
        <f t="shared" si="7"/>
        <v>3219830.2</v>
      </c>
      <c r="F102" s="1541"/>
      <c r="G102" s="1541"/>
      <c r="H102" s="1274">
        <f t="shared" si="8"/>
        <v>3219830.2</v>
      </c>
      <c r="I102" s="1541"/>
      <c r="J102" s="1541"/>
      <c r="K102" s="1541"/>
      <c r="L102" s="1541"/>
      <c r="M102" s="226" t="s">
        <v>1285</v>
      </c>
    </row>
    <row r="103" spans="2:13" s="563" customFormat="1" ht="13.8">
      <c r="B103" s="1965" t="s">
        <v>1057</v>
      </c>
      <c r="C103" s="1966">
        <v>8191044.620000001</v>
      </c>
      <c r="D103" s="1966">
        <v>8827262.2200000025</v>
      </c>
      <c r="E103" s="1964">
        <f t="shared" si="7"/>
        <v>8827262.2200000025</v>
      </c>
      <c r="F103" s="574"/>
      <c r="G103" s="574"/>
      <c r="H103" s="574">
        <f t="shared" si="8"/>
        <v>8827262.2200000025</v>
      </c>
      <c r="I103" s="574"/>
      <c r="J103" s="574"/>
      <c r="K103" s="630"/>
      <c r="L103" s="575"/>
      <c r="M103" s="226" t="s">
        <v>1286</v>
      </c>
    </row>
    <row r="104" spans="2:13" s="563" customFormat="1" ht="13.8">
      <c r="B104" s="1965" t="s">
        <v>688</v>
      </c>
      <c r="C104" s="1966">
        <v>3989248.8899999997</v>
      </c>
      <c r="D104" s="1966">
        <v>4347501.6800000006</v>
      </c>
      <c r="E104" s="1964">
        <f t="shared" si="7"/>
        <v>4347501.6800000006</v>
      </c>
      <c r="F104" s="574"/>
      <c r="G104" s="574"/>
      <c r="H104" s="574">
        <f t="shared" si="8"/>
        <v>4347501.6800000006</v>
      </c>
      <c r="I104" s="574"/>
      <c r="J104" s="574"/>
      <c r="K104" s="630"/>
      <c r="L104" s="575"/>
      <c r="M104" s="226" t="s">
        <v>1287</v>
      </c>
    </row>
    <row r="105" spans="2:13" s="563" customFormat="1" ht="13.8">
      <c r="B105" s="1965" t="s">
        <v>1228</v>
      </c>
      <c r="C105" s="1966">
        <v>47583246.210000001</v>
      </c>
      <c r="D105" s="1966">
        <v>47664824.589999989</v>
      </c>
      <c r="E105" s="1964">
        <f t="shared" si="7"/>
        <v>47664824.589999989</v>
      </c>
      <c r="F105" s="574"/>
      <c r="G105" s="574"/>
      <c r="H105" s="574">
        <f t="shared" si="8"/>
        <v>47664824.589999989</v>
      </c>
      <c r="I105" s="574"/>
      <c r="J105" s="574"/>
      <c r="K105" s="630"/>
      <c r="L105" s="575"/>
      <c r="M105" s="226" t="s">
        <v>1231</v>
      </c>
    </row>
    <row r="106" spans="2:13" s="563" customFormat="1" ht="13.8">
      <c r="B106" s="1965" t="s">
        <v>1230</v>
      </c>
      <c r="C106" s="1966">
        <v>4207354.9300000006</v>
      </c>
      <c r="D106" s="1966">
        <v>4157312.3899999997</v>
      </c>
      <c r="E106" s="1964">
        <f t="shared" si="7"/>
        <v>4157312.3899999997</v>
      </c>
      <c r="F106" s="574"/>
      <c r="G106" s="574"/>
      <c r="H106" s="574">
        <f t="shared" si="8"/>
        <v>4157312.3899999997</v>
      </c>
      <c r="I106" s="574"/>
      <c r="J106" s="574"/>
      <c r="K106" s="630"/>
      <c r="L106" s="575"/>
      <c r="M106" s="226" t="s">
        <v>1232</v>
      </c>
    </row>
    <row r="107" spans="2:13" s="563" customFormat="1" ht="27">
      <c r="B107" s="1965" t="s">
        <v>1058</v>
      </c>
      <c r="C107" s="1966">
        <v>113821.5</v>
      </c>
      <c r="D107" s="1966">
        <v>136389.44</v>
      </c>
      <c r="E107" s="1964">
        <f t="shared" si="7"/>
        <v>136389.44</v>
      </c>
      <c r="F107" s="574"/>
      <c r="G107" s="574"/>
      <c r="H107" s="574">
        <f t="shared" si="8"/>
        <v>136389.44</v>
      </c>
      <c r="I107" s="574"/>
      <c r="J107" s="574"/>
      <c r="K107" s="630"/>
      <c r="L107" s="575"/>
      <c r="M107" s="1165" t="s">
        <v>1060</v>
      </c>
    </row>
    <row r="108" spans="2:13" s="563" customFormat="1" ht="13.8">
      <c r="B108" s="1965" t="s">
        <v>689</v>
      </c>
      <c r="C108" s="1966">
        <v>-2478893.58</v>
      </c>
      <c r="D108" s="1966">
        <v>-2420551.4699999997</v>
      </c>
      <c r="E108" s="1964">
        <f t="shared" si="7"/>
        <v>-2420551.4699999997</v>
      </c>
      <c r="F108" s="574"/>
      <c r="G108" s="574"/>
      <c r="H108" s="574">
        <f t="shared" si="8"/>
        <v>-2420551.4699999997</v>
      </c>
      <c r="I108" s="574"/>
      <c r="J108" s="574"/>
      <c r="K108" s="630"/>
      <c r="L108" s="575"/>
      <c r="M108" s="226" t="s">
        <v>298</v>
      </c>
    </row>
    <row r="109" spans="2:13" s="563" customFormat="1" ht="13.8">
      <c r="B109" s="1965" t="s">
        <v>980</v>
      </c>
      <c r="C109" s="1966">
        <v>-178308360.60999995</v>
      </c>
      <c r="D109" s="1966">
        <v>-178739306.57999998</v>
      </c>
      <c r="E109" s="1964">
        <f t="shared" si="7"/>
        <v>-178739306.57999998</v>
      </c>
      <c r="F109" s="571"/>
      <c r="G109" s="571"/>
      <c r="H109" s="571">
        <f t="shared" si="8"/>
        <v>-178739306.57999998</v>
      </c>
      <c r="I109" s="574"/>
      <c r="J109" s="574"/>
      <c r="K109" s="630"/>
      <c r="L109" s="575"/>
      <c r="M109" s="226" t="s">
        <v>686</v>
      </c>
    </row>
    <row r="110" spans="2:13" s="563" customFormat="1" ht="13.8">
      <c r="B110" s="1965" t="s">
        <v>1152</v>
      </c>
      <c r="C110" s="1966">
        <v>-32849822.150000006</v>
      </c>
      <c r="D110" s="1966">
        <v>-31387601.34</v>
      </c>
      <c r="E110" s="1964">
        <f t="shared" si="7"/>
        <v>-31387601.34</v>
      </c>
      <c r="F110" s="574"/>
      <c r="G110" s="574"/>
      <c r="H110" s="574">
        <f t="shared" si="8"/>
        <v>-31387601.34</v>
      </c>
      <c r="I110" s="574"/>
      <c r="J110" s="574"/>
      <c r="K110" s="630"/>
      <c r="L110" s="575"/>
      <c r="M110" s="226" t="s">
        <v>1154</v>
      </c>
    </row>
    <row r="111" spans="2:13" s="563" customFormat="1" ht="13.8">
      <c r="B111" s="1965" t="s">
        <v>1229</v>
      </c>
      <c r="C111" s="1966">
        <v>-167758.81</v>
      </c>
      <c r="D111" s="1966">
        <v>-338594.38</v>
      </c>
      <c r="E111" s="1964">
        <f t="shared" si="7"/>
        <v>-338594.38</v>
      </c>
      <c r="F111" s="574"/>
      <c r="G111" s="574"/>
      <c r="H111" s="574">
        <f t="shared" si="8"/>
        <v>-338594.38</v>
      </c>
      <c r="I111" s="1551"/>
      <c r="J111" s="574"/>
      <c r="K111" s="630"/>
      <c r="L111" s="575"/>
      <c r="M111" s="226" t="s">
        <v>1329</v>
      </c>
    </row>
    <row r="112" spans="2:13" s="563" customFormat="1" ht="27">
      <c r="B112" s="1965" t="s">
        <v>1059</v>
      </c>
      <c r="C112" s="1967">
        <v>3246731.1699999995</v>
      </c>
      <c r="D112" s="1967">
        <v>3019105.37</v>
      </c>
      <c r="E112" s="1964">
        <f t="shared" si="7"/>
        <v>3019105.37</v>
      </c>
      <c r="F112" s="574"/>
      <c r="G112" s="574"/>
      <c r="H112" s="574">
        <f t="shared" si="8"/>
        <v>3019105.37</v>
      </c>
      <c r="I112" s="1551"/>
      <c r="J112" s="574"/>
      <c r="K112" s="630"/>
      <c r="L112" s="575"/>
      <c r="M112" s="1165" t="s">
        <v>1062</v>
      </c>
    </row>
    <row r="113" spans="2:24" s="563" customFormat="1" ht="26.25" customHeight="1">
      <c r="B113" s="1965" t="s">
        <v>1045</v>
      </c>
      <c r="C113" s="1966">
        <v>-186970</v>
      </c>
      <c r="D113" s="1966">
        <v>-252016</v>
      </c>
      <c r="E113" s="1964">
        <f t="shared" si="7"/>
        <v>-252016</v>
      </c>
      <c r="F113" s="574"/>
      <c r="G113" s="574"/>
      <c r="H113" s="574">
        <f t="shared" si="8"/>
        <v>-252016</v>
      </c>
      <c r="I113" s="574"/>
      <c r="J113" s="574"/>
      <c r="K113" s="630"/>
      <c r="L113" s="575"/>
      <c r="M113" s="1165" t="s">
        <v>1061</v>
      </c>
    </row>
    <row r="114" spans="2:24" s="563" customFormat="1" ht="13.8">
      <c r="B114" s="1013" t="s">
        <v>633</v>
      </c>
      <c r="C114" s="577">
        <f t="shared" ref="C114:J114" si="9">SUM(C100:C113)</f>
        <v>390255163.67999995</v>
      </c>
      <c r="D114" s="577">
        <f t="shared" si="9"/>
        <v>391196832.57000005</v>
      </c>
      <c r="E114" s="577">
        <f t="shared" si="9"/>
        <v>391196832.57000005</v>
      </c>
      <c r="F114" s="577">
        <f t="shared" si="9"/>
        <v>0</v>
      </c>
      <c r="G114" s="577">
        <f t="shared" si="9"/>
        <v>0</v>
      </c>
      <c r="H114" s="577">
        <f t="shared" si="9"/>
        <v>391196832.57000005</v>
      </c>
      <c r="I114" s="577">
        <f t="shared" si="9"/>
        <v>0</v>
      </c>
      <c r="J114" s="577">
        <f t="shared" si="9"/>
        <v>0</v>
      </c>
      <c r="K114" s="577"/>
      <c r="L114" s="577"/>
      <c r="M114" s="572"/>
    </row>
    <row r="115" spans="2:24" s="563" customFormat="1" ht="13.8">
      <c r="B115" s="1008" t="s">
        <v>197</v>
      </c>
      <c r="C115" s="571">
        <f>C109</f>
        <v>-178308360.60999995</v>
      </c>
      <c r="D115" s="571">
        <f>D109</f>
        <v>-178739306.57999998</v>
      </c>
      <c r="E115" s="571">
        <f t="shared" ref="E115:J115" si="10">E109</f>
        <v>-178739306.57999998</v>
      </c>
      <c r="F115" s="571">
        <f t="shared" si="10"/>
        <v>0</v>
      </c>
      <c r="G115" s="571">
        <f t="shared" si="10"/>
        <v>0</v>
      </c>
      <c r="H115" s="571">
        <f t="shared" si="10"/>
        <v>-178739306.57999998</v>
      </c>
      <c r="I115" s="571">
        <f t="shared" si="10"/>
        <v>0</v>
      </c>
      <c r="J115" s="571">
        <f t="shared" si="10"/>
        <v>0</v>
      </c>
      <c r="K115" s="584"/>
      <c r="L115" s="584"/>
      <c r="M115" s="629" t="s">
        <v>525</v>
      </c>
    </row>
    <row r="116" spans="2:24" s="563" customFormat="1" ht="13.8">
      <c r="B116" s="1008" t="s">
        <v>423</v>
      </c>
      <c r="C116" s="571">
        <f>SUM(G116:J116)</f>
        <v>0</v>
      </c>
      <c r="D116" s="571">
        <f>SUM(H116:K116)</f>
        <v>0</v>
      </c>
      <c r="E116" s="571">
        <f>SUM(I116:L116)</f>
        <v>0</v>
      </c>
      <c r="F116" s="571"/>
      <c r="G116" s="571"/>
      <c r="H116" s="571">
        <f>SUM(J116:M116)</f>
        <v>0</v>
      </c>
      <c r="I116" s="571"/>
      <c r="J116" s="571"/>
      <c r="K116" s="561"/>
      <c r="L116" s="561"/>
      <c r="M116" s="572"/>
    </row>
    <row r="117" spans="2:24" s="563" customFormat="1" ht="14.4" thickBot="1">
      <c r="B117" s="1008" t="s">
        <v>603</v>
      </c>
      <c r="C117" s="580">
        <f t="shared" ref="C117:J117" si="11">+C114-C115-C116</f>
        <v>568563524.28999996</v>
      </c>
      <c r="D117" s="580">
        <f t="shared" si="11"/>
        <v>569936139.1500001</v>
      </c>
      <c r="E117" s="580">
        <f t="shared" si="11"/>
        <v>569936139.1500001</v>
      </c>
      <c r="F117" s="580">
        <f t="shared" si="11"/>
        <v>0</v>
      </c>
      <c r="G117" s="580">
        <f t="shared" si="11"/>
        <v>0</v>
      </c>
      <c r="H117" s="580">
        <f t="shared" si="11"/>
        <v>569936139.1500001</v>
      </c>
      <c r="I117" s="580">
        <f t="shared" si="11"/>
        <v>0</v>
      </c>
      <c r="J117" s="580">
        <f t="shared" si="11"/>
        <v>0</v>
      </c>
      <c r="K117" s="581"/>
      <c r="L117" s="581"/>
      <c r="M117" s="572"/>
    </row>
    <row r="118" spans="2:24" s="563" customFormat="1" ht="14.4" thickTop="1">
      <c r="B118" s="578"/>
      <c r="G118" s="581"/>
      <c r="H118" s="581"/>
      <c r="I118" s="581"/>
      <c r="J118" s="581"/>
      <c r="K118" s="581"/>
      <c r="L118" s="581"/>
      <c r="M118" s="572"/>
    </row>
    <row r="119" spans="2:24" s="563" customFormat="1" ht="13.8">
      <c r="B119" s="578"/>
      <c r="C119" s="572"/>
      <c r="D119" s="577"/>
      <c r="G119" s="1388"/>
      <c r="H119" s="581"/>
      <c r="I119" s="581"/>
      <c r="J119" s="581"/>
      <c r="K119" s="581"/>
      <c r="L119" s="581"/>
      <c r="M119" s="594"/>
    </row>
    <row r="120" spans="2:24" s="563" customFormat="1" ht="13.8">
      <c r="B120" s="578"/>
      <c r="D120" s="582"/>
      <c r="E120" s="1539"/>
      <c r="G120" s="1539"/>
      <c r="J120" s="569"/>
      <c r="K120" s="584"/>
      <c r="L120" s="569"/>
      <c r="M120" s="572"/>
    </row>
    <row r="121" spans="2:24" s="563" customFormat="1">
      <c r="G121" s="1540"/>
      <c r="J121" s="582" t="s">
        <v>525</v>
      </c>
      <c r="K121" s="584"/>
      <c r="L121" s="582"/>
      <c r="M121" s="594"/>
    </row>
    <row r="122" spans="2:24" s="563" customFormat="1" ht="13.8">
      <c r="B122" s="1008" t="s">
        <v>894</v>
      </c>
      <c r="C122" s="1009"/>
      <c r="D122" s="1009"/>
      <c r="E122" s="1009"/>
      <c r="G122" s="1010"/>
      <c r="H122" s="1010"/>
      <c r="I122" s="1011"/>
      <c r="J122" s="1011"/>
      <c r="K122" s="1011"/>
      <c r="M122" s="572"/>
    </row>
    <row r="123" spans="2:24" s="563" customFormat="1" ht="13.8">
      <c r="B123" s="1008"/>
      <c r="C123" s="1009"/>
      <c r="D123" s="1009"/>
      <c r="E123" s="1009"/>
      <c r="G123" s="1010"/>
      <c r="H123" s="1010"/>
      <c r="I123" s="1011"/>
      <c r="J123" s="1011"/>
      <c r="K123" s="1011"/>
      <c r="M123" s="572"/>
    </row>
    <row r="124" spans="2:24" s="563" customFormat="1" ht="12.75" customHeight="1">
      <c r="B124" s="2004" t="s">
        <v>758</v>
      </c>
      <c r="C124" s="2004"/>
      <c r="D124" s="2004"/>
      <c r="E124" s="2004"/>
      <c r="F124" s="2004"/>
      <c r="G124" s="2004"/>
      <c r="H124" s="2004"/>
      <c r="I124" s="2004"/>
      <c r="J124" s="2004"/>
      <c r="K124" s="2004"/>
      <c r="M124" s="572"/>
    </row>
    <row r="125" spans="2:24" s="563" customFormat="1" ht="12" customHeight="1">
      <c r="B125" s="2004" t="s">
        <v>759</v>
      </c>
      <c r="C125" s="2004"/>
      <c r="D125" s="2004"/>
      <c r="E125" s="2004"/>
      <c r="F125" s="2004"/>
      <c r="G125" s="2004"/>
      <c r="H125" s="2004"/>
      <c r="I125" s="2004"/>
      <c r="J125" s="2004"/>
      <c r="K125" s="2004"/>
      <c r="M125" s="572"/>
    </row>
    <row r="126" spans="2:24" s="563" customFormat="1" ht="13.8">
      <c r="B126" s="1012" t="s">
        <v>73</v>
      </c>
      <c r="C126" s="1010"/>
      <c r="D126" s="1010"/>
      <c r="E126" s="1010"/>
      <c r="F126" s="1010"/>
      <c r="G126" s="1010"/>
      <c r="H126" s="1010"/>
      <c r="I126" s="1011"/>
      <c r="J126" s="1011"/>
      <c r="K126" s="1011"/>
      <c r="M126" s="572"/>
    </row>
    <row r="127" spans="2:24" s="563" customFormat="1" ht="13.8">
      <c r="B127" s="1012" t="s">
        <v>940</v>
      </c>
      <c r="C127" s="1010"/>
      <c r="D127" s="1010"/>
      <c r="E127" s="1010"/>
      <c r="F127" s="1010"/>
      <c r="G127" s="1010"/>
      <c r="H127" s="1010"/>
      <c r="I127" s="1011"/>
      <c r="J127" s="1011"/>
      <c r="K127" s="1011"/>
      <c r="M127" s="572"/>
    </row>
    <row r="128" spans="2:24" s="563" customFormat="1" ht="13.8">
      <c r="B128" s="1012" t="s">
        <v>75</v>
      </c>
      <c r="C128" s="1010"/>
      <c r="D128" s="1010"/>
      <c r="E128" s="1010"/>
      <c r="F128" s="1010"/>
      <c r="G128" s="1010"/>
      <c r="H128" s="1010"/>
      <c r="I128" s="1011"/>
      <c r="J128" s="1011"/>
      <c r="K128" s="1011"/>
      <c r="M128" s="572"/>
      <c r="X128" s="586" t="s">
        <v>773</v>
      </c>
    </row>
    <row r="129" spans="2:41" s="563" customFormat="1" ht="25.5" customHeight="1">
      <c r="B129" s="2004" t="s">
        <v>229</v>
      </c>
      <c r="C129" s="2004"/>
      <c r="D129" s="2004"/>
      <c r="E129" s="2004"/>
      <c r="F129" s="2004"/>
      <c r="G129" s="2004"/>
      <c r="H129" s="2004"/>
      <c r="I129" s="2004"/>
      <c r="J129" s="2004"/>
      <c r="K129" s="2004"/>
      <c r="M129" s="572"/>
    </row>
    <row r="130" spans="2:41" s="563" customFormat="1" ht="13.8">
      <c r="B130" s="593"/>
      <c r="C130" s="585"/>
      <c r="D130" s="585"/>
      <c r="E130" s="585"/>
      <c r="F130" s="585"/>
      <c r="G130" s="581"/>
      <c r="H130" s="581"/>
      <c r="I130" s="561"/>
      <c r="J130" s="561"/>
      <c r="K130" s="561"/>
      <c r="M130" s="572"/>
    </row>
    <row r="131" spans="2:41" s="563" customFormat="1" ht="13.8">
      <c r="B131" s="593"/>
      <c r="C131" s="585"/>
      <c r="D131" s="585"/>
      <c r="E131" s="585"/>
      <c r="F131" s="585"/>
      <c r="G131" s="581"/>
      <c r="H131" s="581"/>
      <c r="I131" s="561"/>
      <c r="J131" s="561"/>
      <c r="K131" s="561"/>
      <c r="M131" s="572"/>
    </row>
    <row r="132" spans="2:41" s="563" customFormat="1">
      <c r="B132" s="244" t="s">
        <v>715</v>
      </c>
      <c r="C132" s="585"/>
      <c r="D132" s="585"/>
      <c r="E132" s="585"/>
      <c r="F132" s="585"/>
      <c r="G132" s="581"/>
      <c r="H132" s="581"/>
      <c r="I132" s="561"/>
      <c r="J132" s="561"/>
      <c r="K132" s="561"/>
      <c r="M132" s="572"/>
    </row>
    <row r="133" spans="2:41" s="563" customFormat="1" ht="13.8">
      <c r="B133" s="593"/>
      <c r="C133" s="585"/>
      <c r="D133" s="585"/>
      <c r="E133" s="585"/>
      <c r="F133" s="585"/>
      <c r="G133" s="581"/>
      <c r="H133" s="581"/>
      <c r="I133" s="561"/>
      <c r="J133" s="561"/>
      <c r="K133" s="561"/>
      <c r="M133" s="572"/>
    </row>
    <row r="134" spans="2:41" s="563" customFormat="1" ht="15.6">
      <c r="B134" s="564" t="s">
        <v>407</v>
      </c>
      <c r="C134" s="585"/>
      <c r="D134" s="585"/>
      <c r="E134" s="585"/>
      <c r="F134" s="585"/>
      <c r="G134" s="581"/>
      <c r="H134" s="581"/>
      <c r="I134" s="561"/>
      <c r="J134" s="561"/>
      <c r="K134" s="561"/>
      <c r="M134" s="572"/>
    </row>
    <row r="135" spans="2:41" s="563" customFormat="1">
      <c r="B135" s="569"/>
      <c r="C135" s="569"/>
      <c r="D135" s="569"/>
      <c r="E135" s="569"/>
      <c r="F135" s="569"/>
      <c r="G135" s="569"/>
      <c r="H135" s="569"/>
      <c r="I135" s="569"/>
      <c r="J135" s="590"/>
      <c r="K135" s="590"/>
      <c r="M135" s="572"/>
    </row>
    <row r="136" spans="2:41" s="563" customFormat="1">
      <c r="C136" s="476"/>
      <c r="D136" s="476"/>
      <c r="E136" s="476"/>
      <c r="F136" s="476"/>
      <c r="G136" s="476"/>
      <c r="H136" s="476"/>
      <c r="I136" s="476"/>
      <c r="J136" s="476"/>
      <c r="K136" s="566"/>
      <c r="M136" s="572"/>
    </row>
    <row r="137" spans="2:41" s="563" customFormat="1" ht="13.8" thickBot="1">
      <c r="B137" s="476" t="s">
        <v>527</v>
      </c>
      <c r="C137" s="476" t="s">
        <v>387</v>
      </c>
      <c r="D137" s="476" t="s">
        <v>388</v>
      </c>
      <c r="E137" s="476" t="s">
        <v>389</v>
      </c>
      <c r="F137" s="476" t="s">
        <v>510</v>
      </c>
      <c r="G137" s="476" t="s">
        <v>528</v>
      </c>
      <c r="H137" s="476" t="s">
        <v>526</v>
      </c>
      <c r="I137" s="476" t="s">
        <v>969</v>
      </c>
      <c r="J137" s="476" t="s">
        <v>529</v>
      </c>
      <c r="K137" s="567"/>
      <c r="L137" s="567"/>
      <c r="M137" s="572"/>
    </row>
    <row r="138" spans="2:41" s="563" customFormat="1" ht="13.8" thickBot="1">
      <c r="B138" s="583"/>
      <c r="C138" s="2005" t="s">
        <v>749</v>
      </c>
      <c r="D138" s="2006"/>
      <c r="E138" s="2006"/>
      <c r="F138" s="2006"/>
      <c r="G138" s="2006"/>
      <c r="H138" s="2006"/>
      <c r="I138" s="2006"/>
      <c r="J138" s="2007"/>
      <c r="K138" s="567"/>
      <c r="L138" s="567"/>
      <c r="M138" s="572"/>
    </row>
    <row r="139" spans="2:41" s="563" customFormat="1">
      <c r="B139" s="569"/>
      <c r="K139" s="591"/>
      <c r="L139" s="591"/>
      <c r="M139" s="215"/>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c r="AI139" s="404"/>
      <c r="AJ139" s="404"/>
      <c r="AK139" s="404"/>
      <c r="AL139" s="404"/>
      <c r="AM139" s="404"/>
      <c r="AN139" s="404"/>
      <c r="AO139" s="404"/>
    </row>
    <row r="140" spans="2:41" s="563" customFormat="1" ht="26.4">
      <c r="B140" s="590" t="s">
        <v>879</v>
      </c>
      <c r="C140" s="716" t="s">
        <v>384</v>
      </c>
      <c r="D140" s="447" t="s">
        <v>230</v>
      </c>
      <c r="E140" s="802" t="s">
        <v>1184</v>
      </c>
      <c r="F140" s="476" t="s">
        <v>265</v>
      </c>
      <c r="G140" s="447" t="s">
        <v>889</v>
      </c>
      <c r="H140" s="447" t="s">
        <v>891</v>
      </c>
      <c r="I140" s="447"/>
      <c r="J140" s="447"/>
      <c r="K140" s="591"/>
      <c r="L140" s="591"/>
      <c r="M140" s="215"/>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c r="AI140" s="404"/>
      <c r="AJ140" s="404"/>
      <c r="AK140" s="404"/>
      <c r="AL140" s="404"/>
      <c r="AM140" s="404"/>
      <c r="AN140" s="404"/>
      <c r="AO140" s="404"/>
    </row>
    <row r="141" spans="2:41" s="563" customFormat="1">
      <c r="B141" s="569"/>
      <c r="C141" s="447" t="s">
        <v>344</v>
      </c>
      <c r="D141" s="476" t="str">
        <f>+C141</f>
        <v>Balance</v>
      </c>
      <c r="E141" s="447" t="s">
        <v>603</v>
      </c>
      <c r="F141" s="476" t="s">
        <v>887</v>
      </c>
      <c r="G141" s="447" t="s">
        <v>890</v>
      </c>
      <c r="H141" s="447" t="s">
        <v>876</v>
      </c>
      <c r="I141" s="447" t="s">
        <v>886</v>
      </c>
      <c r="J141" s="447" t="s">
        <v>888</v>
      </c>
      <c r="K141" s="591"/>
      <c r="L141" s="591"/>
      <c r="M141" s="447" t="s">
        <v>716</v>
      </c>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row>
    <row r="142" spans="2:41" s="563" customFormat="1" ht="13.8">
      <c r="B142" s="221" t="s">
        <v>525</v>
      </c>
      <c r="C142" s="447" t="s">
        <v>208</v>
      </c>
      <c r="D142" s="447" t="s">
        <v>209</v>
      </c>
      <c r="G142" s="447" t="s">
        <v>887</v>
      </c>
      <c r="H142" s="447" t="s">
        <v>887</v>
      </c>
      <c r="I142" s="447" t="s">
        <v>887</v>
      </c>
      <c r="J142" s="447" t="s">
        <v>887</v>
      </c>
      <c r="K142" s="591"/>
      <c r="L142" s="591"/>
      <c r="M142" s="215"/>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row>
    <row r="143" spans="2:41" s="563" customFormat="1" ht="13.8">
      <c r="B143" s="1852" t="s">
        <v>1328</v>
      </c>
      <c r="C143" s="574">
        <v>0</v>
      </c>
      <c r="D143" s="574">
        <v>1</v>
      </c>
      <c r="E143" s="574"/>
      <c r="F143" s="574"/>
      <c r="G143" s="574"/>
      <c r="H143" s="574"/>
      <c r="I143" s="574"/>
      <c r="J143" s="574"/>
      <c r="K143" s="571"/>
      <c r="L143" s="571"/>
      <c r="M143" s="1924"/>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row>
    <row r="144" spans="2:41" s="563" customFormat="1" ht="27">
      <c r="B144" s="1852" t="s">
        <v>1243</v>
      </c>
      <c r="C144" s="574">
        <v>2853.08</v>
      </c>
      <c r="D144" s="574">
        <v>3330</v>
      </c>
      <c r="E144" s="571">
        <f>D144</f>
        <v>3330</v>
      </c>
      <c r="F144" s="571"/>
      <c r="G144" s="571"/>
      <c r="H144" s="571">
        <f>E144</f>
        <v>3330</v>
      </c>
      <c r="I144" s="571"/>
      <c r="J144" s="571"/>
      <c r="K144" s="571"/>
      <c r="L144" s="571"/>
      <c r="M144" s="1924" t="s">
        <v>1069</v>
      </c>
    </row>
    <row r="145" spans="2:13" s="563" customFormat="1" ht="13.8">
      <c r="B145" s="1852" t="s">
        <v>1259</v>
      </c>
      <c r="C145" s="574">
        <v>1892583.29</v>
      </c>
      <c r="D145" s="574">
        <v>1993378</v>
      </c>
      <c r="E145" s="571">
        <f t="shared" ref="E145:E162" si="12">D145</f>
        <v>1993378</v>
      </c>
      <c r="F145" s="571"/>
      <c r="G145" s="571"/>
      <c r="H145" s="571">
        <f>E145</f>
        <v>1993378</v>
      </c>
      <c r="I145" s="571"/>
      <c r="J145" s="571"/>
      <c r="K145" s="571"/>
      <c r="L145" s="571"/>
      <c r="M145" s="571" t="s">
        <v>192</v>
      </c>
    </row>
    <row r="146" spans="2:13" s="563" customFormat="1" ht="13.8">
      <c r="B146" s="1852" t="s">
        <v>1202</v>
      </c>
      <c r="C146" s="574">
        <v>-78132.860000000015</v>
      </c>
      <c r="D146" s="574">
        <v>-78348</v>
      </c>
      <c r="E146" s="571">
        <f t="shared" si="12"/>
        <v>-78348</v>
      </c>
      <c r="F146" s="571"/>
      <c r="G146" s="571"/>
      <c r="H146" s="571">
        <f>E146</f>
        <v>-78348</v>
      </c>
      <c r="I146" s="571"/>
      <c r="J146" s="571"/>
      <c r="K146" s="571"/>
      <c r="L146" s="571"/>
      <c r="M146" s="571" t="s">
        <v>192</v>
      </c>
    </row>
    <row r="147" spans="2:13" s="563" customFormat="1" ht="13.8">
      <c r="B147" s="1852" t="s">
        <v>1260</v>
      </c>
      <c r="C147" s="574">
        <v>21813.82</v>
      </c>
      <c r="D147" s="574">
        <v>23936</v>
      </c>
      <c r="E147" s="571">
        <f t="shared" si="12"/>
        <v>23936</v>
      </c>
      <c r="F147" s="571"/>
      <c r="G147" s="571"/>
      <c r="H147" s="571">
        <f>E147</f>
        <v>23936</v>
      </c>
      <c r="I147" s="571"/>
      <c r="J147" s="571"/>
      <c r="K147" s="571"/>
      <c r="L147" s="571"/>
      <c r="M147" s="571" t="s">
        <v>192</v>
      </c>
    </row>
    <row r="148" spans="2:13" s="563" customFormat="1" ht="13.8">
      <c r="B148" s="1852" t="s">
        <v>1261</v>
      </c>
      <c r="C148" s="574">
        <v>121733.63</v>
      </c>
      <c r="D148" s="574">
        <v>130792</v>
      </c>
      <c r="E148" s="571">
        <f t="shared" si="12"/>
        <v>130792</v>
      </c>
      <c r="F148" s="574"/>
      <c r="G148" s="574"/>
      <c r="H148" s="574">
        <f t="shared" ref="H148:H161" si="13">E148</f>
        <v>130792</v>
      </c>
      <c r="I148" s="574"/>
      <c r="J148" s="574"/>
      <c r="K148" s="574"/>
      <c r="L148" s="574"/>
      <c r="M148" s="574" t="s">
        <v>192</v>
      </c>
    </row>
    <row r="149" spans="2:13" s="563" customFormat="1" ht="13.8">
      <c r="B149" s="1852" t="s">
        <v>1262</v>
      </c>
      <c r="C149" s="574">
        <v>14552.95</v>
      </c>
      <c r="D149" s="574">
        <v>16595</v>
      </c>
      <c r="E149" s="571">
        <f t="shared" si="12"/>
        <v>16595</v>
      </c>
      <c r="F149" s="574"/>
      <c r="G149" s="574"/>
      <c r="H149" s="574">
        <f t="shared" si="13"/>
        <v>16595</v>
      </c>
      <c r="I149" s="574"/>
      <c r="J149" s="574"/>
      <c r="K149" s="574"/>
      <c r="L149" s="574"/>
      <c r="M149" s="574" t="s">
        <v>192</v>
      </c>
    </row>
    <row r="150" spans="2:13" s="563" customFormat="1" ht="13.8">
      <c r="B150" s="1852" t="s">
        <v>1263</v>
      </c>
      <c r="C150" s="574">
        <v>135495.16</v>
      </c>
      <c r="D150" s="574">
        <v>150367</v>
      </c>
      <c r="E150" s="571">
        <f t="shared" si="12"/>
        <v>150367</v>
      </c>
      <c r="F150" s="574"/>
      <c r="G150" s="574"/>
      <c r="H150" s="574">
        <f t="shared" si="13"/>
        <v>150367</v>
      </c>
      <c r="I150" s="574"/>
      <c r="J150" s="574"/>
      <c r="K150" s="574"/>
      <c r="L150" s="574"/>
      <c r="M150" s="574" t="s">
        <v>192</v>
      </c>
    </row>
    <row r="151" spans="2:13" s="563" customFormat="1" ht="13.8">
      <c r="B151" s="1852" t="s">
        <v>1268</v>
      </c>
      <c r="C151" s="574">
        <v>20738.650000000001</v>
      </c>
      <c r="D151" s="574">
        <v>22065</v>
      </c>
      <c r="E151" s="571">
        <f t="shared" si="12"/>
        <v>22065</v>
      </c>
      <c r="F151" s="574"/>
      <c r="G151" s="574"/>
      <c r="H151" s="574">
        <f t="shared" si="13"/>
        <v>22065</v>
      </c>
      <c r="I151" s="574"/>
      <c r="J151" s="574"/>
      <c r="K151" s="574"/>
      <c r="L151" s="574"/>
      <c r="M151" s="574" t="s">
        <v>930</v>
      </c>
    </row>
    <row r="152" spans="2:13" s="563" customFormat="1" ht="13.8">
      <c r="B152" s="1852" t="s">
        <v>980</v>
      </c>
      <c r="C152" s="574">
        <v>17820511.649999999</v>
      </c>
      <c r="D152" s="574">
        <v>24438439.446999997</v>
      </c>
      <c r="E152" s="571">
        <f>D152</f>
        <v>24438439.446999997</v>
      </c>
      <c r="F152" s="574"/>
      <c r="G152" s="574"/>
      <c r="H152" s="574">
        <f t="shared" si="13"/>
        <v>24438439.446999997</v>
      </c>
      <c r="I152" s="574"/>
      <c r="J152" s="574"/>
      <c r="K152" s="574"/>
      <c r="L152" s="574"/>
      <c r="M152" s="574" t="s">
        <v>1246</v>
      </c>
    </row>
    <row r="153" spans="2:13" s="563" customFormat="1" ht="27">
      <c r="B153" s="1852" t="s">
        <v>1131</v>
      </c>
      <c r="C153" s="574">
        <v>1186908.45</v>
      </c>
      <c r="D153" s="574">
        <v>1142050</v>
      </c>
      <c r="E153" s="571">
        <f t="shared" si="12"/>
        <v>1142050</v>
      </c>
      <c r="F153" s="574"/>
      <c r="G153" s="574">
        <f>E153</f>
        <v>1142050</v>
      </c>
      <c r="H153" s="574"/>
      <c r="I153" s="574"/>
      <c r="J153" s="574"/>
      <c r="K153" s="574"/>
      <c r="L153" s="574"/>
      <c r="M153" s="1719" t="s">
        <v>1156</v>
      </c>
    </row>
    <row r="154" spans="2:13" s="563" customFormat="1" ht="13.8">
      <c r="B154" s="1852" t="s">
        <v>1155</v>
      </c>
      <c r="C154" s="574">
        <v>34784037.979999997</v>
      </c>
      <c r="D154" s="574">
        <v>29665465</v>
      </c>
      <c r="E154" s="571">
        <f>D154</f>
        <v>29665465</v>
      </c>
      <c r="F154" s="574"/>
      <c r="G154" s="574"/>
      <c r="H154" s="574">
        <f t="shared" si="13"/>
        <v>29665465</v>
      </c>
      <c r="I154" s="574"/>
      <c r="J154" s="574"/>
      <c r="K154" s="574"/>
      <c r="L154" s="574"/>
      <c r="M154" s="1719" t="s">
        <v>1288</v>
      </c>
    </row>
    <row r="155" spans="2:13" s="563" customFormat="1" ht="13.8">
      <c r="B155" s="1852" t="s">
        <v>1132</v>
      </c>
      <c r="C155" s="574">
        <v>319253.96000000002</v>
      </c>
      <c r="D155" s="574">
        <v>256096</v>
      </c>
      <c r="E155" s="571">
        <f t="shared" si="12"/>
        <v>256096</v>
      </c>
      <c r="F155" s="574"/>
      <c r="G155" s="574"/>
      <c r="H155" s="574">
        <f t="shared" si="13"/>
        <v>256096</v>
      </c>
      <c r="I155" s="574"/>
      <c r="J155" s="574"/>
      <c r="K155" s="574"/>
      <c r="L155" s="574"/>
      <c r="M155" s="574" t="s">
        <v>1289</v>
      </c>
    </row>
    <row r="156" spans="2:13" s="563" customFormat="1" ht="13.8">
      <c r="B156" s="1852" t="s">
        <v>1269</v>
      </c>
      <c r="C156" s="574">
        <v>32198344.699999999</v>
      </c>
      <c r="D156" s="574">
        <v>32375068</v>
      </c>
      <c r="E156" s="571">
        <f t="shared" si="12"/>
        <v>32375068</v>
      </c>
      <c r="F156" s="1274"/>
      <c r="G156" s="1274"/>
      <c r="H156" s="574">
        <f t="shared" si="13"/>
        <v>32375068</v>
      </c>
      <c r="I156" s="1274"/>
      <c r="J156" s="1274"/>
      <c r="K156" s="1274"/>
      <c r="L156" s="1274"/>
      <c r="M156" s="1274" t="s">
        <v>297</v>
      </c>
    </row>
    <row r="157" spans="2:13" s="563" customFormat="1" ht="13.8">
      <c r="B157" s="1852" t="s">
        <v>1270</v>
      </c>
      <c r="C157" s="574">
        <v>307011.71999999997</v>
      </c>
      <c r="D157" s="574">
        <v>310780</v>
      </c>
      <c r="E157" s="571">
        <f t="shared" si="12"/>
        <v>310780</v>
      </c>
      <c r="F157" s="574"/>
      <c r="G157" s="574"/>
      <c r="H157" s="574">
        <f t="shared" si="13"/>
        <v>310780</v>
      </c>
      <c r="I157" s="574"/>
      <c r="J157" s="574"/>
      <c r="K157" s="574"/>
      <c r="L157" s="574"/>
      <c r="M157" s="574" t="s">
        <v>297</v>
      </c>
    </row>
    <row r="158" spans="2:13" s="563" customFormat="1" ht="13.8">
      <c r="B158" s="1852" t="s">
        <v>1271</v>
      </c>
      <c r="C158" s="574">
        <v>1021293.84</v>
      </c>
      <c r="D158" s="574">
        <v>1037239</v>
      </c>
      <c r="E158" s="571">
        <f>D158</f>
        <v>1037239</v>
      </c>
      <c r="F158" s="574"/>
      <c r="G158" s="574"/>
      <c r="H158" s="574">
        <f t="shared" si="13"/>
        <v>1037239</v>
      </c>
      <c r="I158" s="574"/>
      <c r="J158" s="574"/>
      <c r="K158" s="574"/>
      <c r="L158" s="574"/>
      <c r="M158" s="574" t="s">
        <v>297</v>
      </c>
    </row>
    <row r="159" spans="2:13" s="563" customFormat="1" ht="13.8">
      <c r="B159" s="1852" t="s">
        <v>1272</v>
      </c>
      <c r="C159" s="574">
        <v>329176.01</v>
      </c>
      <c r="D159" s="574">
        <v>332913</v>
      </c>
      <c r="E159" s="571">
        <f>D159</f>
        <v>332913</v>
      </c>
      <c r="F159" s="574"/>
      <c r="G159" s="574"/>
      <c r="H159" s="574">
        <f t="shared" si="13"/>
        <v>332913</v>
      </c>
      <c r="I159" s="574"/>
      <c r="J159" s="574"/>
      <c r="K159" s="574"/>
      <c r="L159" s="574"/>
      <c r="M159" s="574" t="s">
        <v>297</v>
      </c>
    </row>
    <row r="160" spans="2:13" s="563" customFormat="1" ht="13.8">
      <c r="B160" s="1852" t="s">
        <v>1273</v>
      </c>
      <c r="C160" s="574">
        <v>2541838.23</v>
      </c>
      <c r="D160" s="574">
        <v>2566965</v>
      </c>
      <c r="E160" s="571">
        <f t="shared" si="12"/>
        <v>2566965</v>
      </c>
      <c r="F160" s="574"/>
      <c r="G160" s="574"/>
      <c r="H160" s="574">
        <f t="shared" si="13"/>
        <v>2566965</v>
      </c>
      <c r="I160" s="574"/>
      <c r="J160" s="574"/>
      <c r="K160" s="574"/>
      <c r="L160" s="574"/>
      <c r="M160" s="574" t="s">
        <v>297</v>
      </c>
    </row>
    <row r="161" spans="2:13" s="563" customFormat="1" ht="27">
      <c r="B161" s="1852" t="s">
        <v>1244</v>
      </c>
      <c r="C161" s="574">
        <v>17926330.699999999</v>
      </c>
      <c r="D161" s="574">
        <v>18117327</v>
      </c>
      <c r="E161" s="571">
        <f t="shared" si="12"/>
        <v>18117327</v>
      </c>
      <c r="F161" s="574"/>
      <c r="G161" s="574"/>
      <c r="H161" s="574">
        <f t="shared" si="13"/>
        <v>18117327</v>
      </c>
      <c r="I161" s="574"/>
      <c r="J161" s="574"/>
      <c r="K161" s="574"/>
      <c r="L161" s="574"/>
      <c r="M161" s="1719" t="s">
        <v>1245</v>
      </c>
    </row>
    <row r="162" spans="2:13" s="563" customFormat="1" ht="40.200000000000003">
      <c r="B162" s="1852" t="s">
        <v>1274</v>
      </c>
      <c r="C162" s="574">
        <v>186970</v>
      </c>
      <c r="D162" s="574">
        <v>252016</v>
      </c>
      <c r="E162" s="571">
        <f t="shared" si="12"/>
        <v>252016</v>
      </c>
      <c r="F162" s="574"/>
      <c r="G162" s="574"/>
      <c r="H162" s="574">
        <f>E162</f>
        <v>252016</v>
      </c>
      <c r="I162" s="574"/>
      <c r="J162" s="574"/>
      <c r="K162" s="574"/>
      <c r="L162" s="574"/>
      <c r="M162" s="1719" t="s">
        <v>1061</v>
      </c>
    </row>
    <row r="163" spans="2:13" s="563" customFormat="1" ht="13.8">
      <c r="B163" s="1013" t="s">
        <v>633</v>
      </c>
      <c r="C163" s="577">
        <f>SUM(C143:C162)</f>
        <v>110753314.96000001</v>
      </c>
      <c r="D163" s="577">
        <f>SUM(D143:D162)</f>
        <v>112756474.447</v>
      </c>
      <c r="E163" s="577">
        <f>SUM(E143:E162)</f>
        <v>112756473.447</v>
      </c>
      <c r="F163" s="577"/>
      <c r="G163" s="577">
        <f>SUM(G143:G162)</f>
        <v>1142050</v>
      </c>
      <c r="H163" s="577">
        <f>SUM(H143:H162)</f>
        <v>111614423.447</v>
      </c>
      <c r="I163" s="577">
        <f>SUM(I143:I162)</f>
        <v>0</v>
      </c>
      <c r="J163" s="577">
        <f>SUM(J143:J162)</f>
        <v>0</v>
      </c>
      <c r="K163" s="577"/>
      <c r="L163" s="577"/>
      <c r="M163" s="572"/>
    </row>
    <row r="164" spans="2:13" s="563" customFormat="1" ht="13.8">
      <c r="B164" s="1008" t="s">
        <v>197</v>
      </c>
      <c r="C164" s="1740">
        <f>C152</f>
        <v>17820511.649999999</v>
      </c>
      <c r="D164" s="1740">
        <f t="shared" ref="D164:J164" si="14">D152</f>
        <v>24438439.446999997</v>
      </c>
      <c r="E164" s="1740">
        <f>E152</f>
        <v>24438439.446999997</v>
      </c>
      <c r="F164" s="1740">
        <f t="shared" si="14"/>
        <v>0</v>
      </c>
      <c r="G164" s="1740">
        <f t="shared" si="14"/>
        <v>0</v>
      </c>
      <c r="H164" s="1740">
        <f t="shared" si="14"/>
        <v>24438439.446999997</v>
      </c>
      <c r="I164" s="1740">
        <f t="shared" si="14"/>
        <v>0</v>
      </c>
      <c r="J164" s="1740">
        <f t="shared" si="14"/>
        <v>0</v>
      </c>
      <c r="K164" s="584"/>
      <c r="L164" s="584"/>
      <c r="M164" s="572"/>
    </row>
    <row r="165" spans="2:13" s="563" customFormat="1" ht="13.8">
      <c r="B165" s="1008" t="s">
        <v>423</v>
      </c>
      <c r="C165" s="576"/>
      <c r="D165" s="576"/>
      <c r="E165" s="576"/>
      <c r="F165" s="576"/>
      <c r="G165" s="576"/>
      <c r="H165" s="576"/>
      <c r="I165" s="579"/>
      <c r="J165" s="579"/>
      <c r="K165" s="561"/>
      <c r="L165" s="561"/>
      <c r="M165" s="572"/>
    </row>
    <row r="166" spans="2:13" s="563" customFormat="1" ht="14.4" thickBot="1">
      <c r="B166" s="1008" t="s">
        <v>603</v>
      </c>
      <c r="C166" s="580">
        <f>+C163-C164-C165</f>
        <v>92932803.310000002</v>
      </c>
      <c r="D166" s="580">
        <f>+D163-D164-D165</f>
        <v>88318035</v>
      </c>
      <c r="E166" s="580">
        <f t="shared" ref="E166:J166" si="15">+E163-E164-E165</f>
        <v>88318034</v>
      </c>
      <c r="F166" s="580">
        <f t="shared" si="15"/>
        <v>0</v>
      </c>
      <c r="G166" s="580">
        <f t="shared" si="15"/>
        <v>1142050</v>
      </c>
      <c r="H166" s="580">
        <f t="shared" si="15"/>
        <v>87175984</v>
      </c>
      <c r="I166" s="580">
        <f t="shared" si="15"/>
        <v>0</v>
      </c>
      <c r="J166" s="580">
        <f t="shared" si="15"/>
        <v>0</v>
      </c>
      <c r="K166" s="581"/>
      <c r="L166" s="581"/>
      <c r="M166" s="572"/>
    </row>
    <row r="167" spans="2:13" s="563" customFormat="1" ht="14.4" thickTop="1">
      <c r="B167" s="1008"/>
      <c r="G167" s="581"/>
      <c r="H167" s="581"/>
      <c r="I167" s="581"/>
      <c r="J167" s="581"/>
      <c r="K167" s="577"/>
      <c r="L167" s="581"/>
      <c r="M167" s="572"/>
    </row>
    <row r="168" spans="2:13" s="563" customFormat="1" ht="13.8">
      <c r="B168" s="1008" t="s">
        <v>893</v>
      </c>
      <c r="C168" s="585"/>
      <c r="D168" s="585"/>
      <c r="E168" s="585"/>
      <c r="F168" s="585"/>
      <c r="G168" s="581"/>
      <c r="H168" s="581"/>
      <c r="I168" s="561"/>
      <c r="J168" s="561"/>
      <c r="K168" s="561"/>
      <c r="M168" s="572"/>
    </row>
    <row r="169" spans="2:13" s="563" customFormat="1" ht="13.8">
      <c r="B169" s="593"/>
      <c r="C169" s="585"/>
      <c r="D169" s="585"/>
      <c r="E169" s="585"/>
      <c r="F169" s="585"/>
      <c r="G169" s="585"/>
      <c r="H169" s="585"/>
      <c r="I169" s="585"/>
      <c r="J169" s="585"/>
      <c r="K169" s="585"/>
      <c r="M169" s="572"/>
    </row>
    <row r="170" spans="2:13" s="563" customFormat="1" ht="13.8">
      <c r="B170" s="2004" t="s">
        <v>758</v>
      </c>
      <c r="C170" s="2004"/>
      <c r="D170" s="2004"/>
      <c r="E170" s="2004"/>
      <c r="F170" s="2004"/>
      <c r="G170" s="2004"/>
      <c r="H170" s="2004"/>
      <c r="I170" s="2004"/>
      <c r="J170" s="2004"/>
      <c r="K170" s="2004"/>
      <c r="M170" s="572"/>
    </row>
    <row r="171" spans="2:13" s="563" customFormat="1" ht="13.8">
      <c r="B171" s="2004" t="s">
        <v>759</v>
      </c>
      <c r="C171" s="2004"/>
      <c r="D171" s="2004"/>
      <c r="E171" s="2004"/>
      <c r="F171" s="2004"/>
      <c r="G171" s="2004"/>
      <c r="H171" s="2004"/>
      <c r="I171" s="2004"/>
      <c r="J171" s="2004"/>
      <c r="K171" s="2004"/>
      <c r="M171" s="572"/>
    </row>
    <row r="172" spans="2:13" s="563" customFormat="1" ht="13.8">
      <c r="B172" s="1012" t="s">
        <v>73</v>
      </c>
      <c r="C172" s="1010"/>
      <c r="D172" s="1010"/>
      <c r="E172" s="1010"/>
      <c r="F172" s="1010"/>
      <c r="G172" s="1010"/>
      <c r="H172" s="1010"/>
      <c r="I172" s="1011"/>
      <c r="J172" s="1011"/>
      <c r="K172" s="1011"/>
      <c r="M172" s="572"/>
    </row>
    <row r="173" spans="2:13" s="563" customFormat="1" ht="13.8">
      <c r="B173" s="1012" t="s">
        <v>940</v>
      </c>
      <c r="C173" s="1010"/>
      <c r="D173" s="1010"/>
      <c r="E173" s="1010"/>
      <c r="F173" s="1010"/>
      <c r="G173" s="1010"/>
      <c r="H173" s="1010"/>
      <c r="I173" s="1011"/>
      <c r="J173" s="1011"/>
      <c r="K173" s="1011"/>
      <c r="L173" s="597"/>
      <c r="M173" s="597"/>
    </row>
    <row r="174" spans="2:13" s="563" customFormat="1" ht="13.8">
      <c r="B174" s="1012" t="s">
        <v>75</v>
      </c>
      <c r="C174" s="1010"/>
      <c r="D174" s="1010"/>
      <c r="E174" s="1010"/>
      <c r="F174" s="1010"/>
      <c r="G174" s="1010"/>
      <c r="H174" s="1010"/>
      <c r="I174" s="1011"/>
      <c r="J174" s="1011"/>
      <c r="K174" s="1011"/>
      <c r="L174" s="597"/>
      <c r="M174" s="597"/>
    </row>
    <row r="175" spans="2:13" s="563" customFormat="1" ht="32.25" customHeight="1">
      <c r="B175" s="2004" t="s">
        <v>229</v>
      </c>
      <c r="C175" s="2004"/>
      <c r="D175" s="2004"/>
      <c r="E175" s="2004"/>
      <c r="F175" s="2004"/>
      <c r="G175" s="2004"/>
      <c r="H175" s="2004"/>
      <c r="I175" s="2004"/>
      <c r="J175" s="2004"/>
      <c r="K175" s="2004"/>
      <c r="L175" s="597"/>
      <c r="M175" s="597"/>
    </row>
    <row r="176" spans="2:13" s="563" customFormat="1">
      <c r="B176" s="581"/>
      <c r="C176" s="581"/>
      <c r="D176" s="581"/>
      <c r="E176" s="581"/>
      <c r="F176" s="581"/>
      <c r="G176" s="581"/>
      <c r="H176" s="581"/>
      <c r="I176" s="581"/>
      <c r="J176" s="592"/>
      <c r="K176" s="592"/>
      <c r="L176" s="597"/>
      <c r="M176" s="597"/>
    </row>
    <row r="177" spans="2:117" s="563" customFormat="1">
      <c r="B177" s="716"/>
      <c r="C177" s="716"/>
      <c r="D177" s="716"/>
      <c r="E177" s="716"/>
      <c r="F177" s="716"/>
      <c r="G177" s="716"/>
      <c r="H177" s="716"/>
      <c r="I177" s="716"/>
      <c r="J177" s="716"/>
      <c r="K177" s="486"/>
      <c r="L177" s="597"/>
      <c r="M177" s="597"/>
    </row>
    <row r="178" spans="2:117" s="563" customFormat="1">
      <c r="B178" s="583"/>
      <c r="C178" s="2003"/>
      <c r="D178" s="2003"/>
      <c r="E178" s="2003"/>
      <c r="F178" s="2003"/>
      <c r="G178" s="2003"/>
      <c r="H178" s="2003"/>
      <c r="I178" s="2003"/>
      <c r="J178" s="2003"/>
      <c r="K178" s="716"/>
      <c r="L178" s="716"/>
      <c r="M178" s="597"/>
    </row>
    <row r="179" spans="2:117" s="563" customFormat="1">
      <c r="B179" s="583"/>
      <c r="C179" s="581"/>
      <c r="D179" s="581"/>
      <c r="E179" s="581"/>
      <c r="F179" s="581"/>
      <c r="G179" s="716"/>
      <c r="H179" s="716"/>
      <c r="I179" s="716"/>
      <c r="J179" s="716"/>
      <c r="K179" s="716"/>
      <c r="L179" s="716"/>
      <c r="M179" s="597"/>
    </row>
    <row r="180" spans="2:117" s="563" customFormat="1">
      <c r="B180" s="581"/>
      <c r="C180" s="712"/>
      <c r="D180" s="712"/>
      <c r="E180" s="712"/>
      <c r="F180" s="712"/>
      <c r="G180" s="712"/>
      <c r="H180" s="712"/>
      <c r="I180" s="712"/>
      <c r="J180" s="712"/>
      <c r="K180" s="712"/>
      <c r="L180" s="712"/>
      <c r="M180" s="487"/>
      <c r="N180" s="404"/>
      <c r="O180" s="404"/>
      <c r="P180" s="404"/>
      <c r="Q180" s="404"/>
      <c r="R180" s="404"/>
      <c r="S180" s="404"/>
      <c r="T180" s="404"/>
      <c r="U180" s="404"/>
      <c r="V180" s="404"/>
      <c r="W180" s="404"/>
      <c r="X180" s="404"/>
      <c r="Y180" s="404"/>
      <c r="Z180" s="404"/>
      <c r="AA180" s="404"/>
      <c r="AB180" s="404"/>
      <c r="AC180" s="404"/>
      <c r="AD180" s="404"/>
      <c r="AE180" s="404"/>
      <c r="AF180" s="404"/>
      <c r="AG180" s="404"/>
      <c r="AH180" s="404"/>
      <c r="AI180" s="404"/>
      <c r="AJ180" s="404"/>
      <c r="AK180" s="404"/>
      <c r="AL180" s="404"/>
      <c r="AM180" s="404"/>
      <c r="AN180" s="404"/>
      <c r="AO180" s="404"/>
    </row>
    <row r="181" spans="2:117" s="563" customFormat="1">
      <c r="B181" s="592"/>
      <c r="C181" s="581"/>
      <c r="D181" s="581"/>
      <c r="E181" s="581"/>
      <c r="F181" s="581"/>
      <c r="G181" s="712"/>
      <c r="H181" s="712"/>
      <c r="I181" s="712"/>
      <c r="J181" s="712"/>
      <c r="K181" s="712"/>
      <c r="L181" s="712"/>
      <c r="M181" s="487"/>
      <c r="N181" s="404"/>
      <c r="O181" s="404"/>
      <c r="P181" s="404"/>
      <c r="Q181" s="404"/>
      <c r="R181" s="404"/>
      <c r="S181" s="404"/>
      <c r="T181" s="404"/>
      <c r="U181" s="404"/>
      <c r="V181" s="404"/>
      <c r="W181" s="404"/>
      <c r="X181" s="404"/>
      <c r="Y181" s="404"/>
      <c r="Z181" s="404"/>
      <c r="AA181" s="404"/>
      <c r="AB181" s="404"/>
      <c r="AC181" s="404"/>
      <c r="AD181" s="404"/>
      <c r="AE181" s="404"/>
      <c r="AF181" s="404"/>
      <c r="AG181" s="404"/>
      <c r="AH181" s="404"/>
      <c r="AI181" s="404"/>
      <c r="AJ181" s="404"/>
      <c r="AK181" s="404"/>
      <c r="AL181" s="404"/>
      <c r="AM181" s="404"/>
      <c r="AN181" s="404"/>
      <c r="AO181" s="404"/>
    </row>
    <row r="182" spans="2:117" s="563" customFormat="1">
      <c r="B182" s="581"/>
      <c r="C182" s="581"/>
      <c r="D182" s="581"/>
      <c r="E182" s="581"/>
      <c r="F182" s="581"/>
      <c r="G182" s="712"/>
      <c r="H182" s="712"/>
      <c r="I182" s="712"/>
      <c r="J182" s="712"/>
      <c r="K182" s="712"/>
      <c r="L182" s="712"/>
      <c r="M182" s="487"/>
      <c r="N182" s="404"/>
      <c r="O182" s="404"/>
      <c r="P182" s="404"/>
      <c r="Q182" s="404"/>
      <c r="R182" s="404"/>
      <c r="S182" s="404"/>
      <c r="T182" s="404"/>
      <c r="U182" s="404"/>
      <c r="V182" s="404"/>
      <c r="W182" s="404"/>
      <c r="X182" s="404"/>
      <c r="Y182" s="404"/>
      <c r="Z182" s="404"/>
      <c r="AA182" s="404"/>
      <c r="AB182" s="404"/>
      <c r="AC182" s="404"/>
      <c r="AD182" s="404"/>
      <c r="AE182" s="404"/>
      <c r="AF182" s="404"/>
      <c r="AG182" s="404"/>
      <c r="AH182" s="404"/>
      <c r="AI182" s="404"/>
      <c r="AJ182" s="404"/>
      <c r="AK182" s="404"/>
      <c r="AL182" s="404"/>
      <c r="AM182" s="404"/>
      <c r="AN182" s="404"/>
      <c r="AO182" s="404"/>
    </row>
    <row r="183" spans="2:117" s="563" customFormat="1">
      <c r="B183" s="581"/>
      <c r="C183" s="581"/>
      <c r="D183" s="581"/>
      <c r="E183" s="581"/>
      <c r="F183" s="581"/>
      <c r="G183" s="712"/>
      <c r="H183" s="712"/>
      <c r="I183" s="712"/>
      <c r="J183" s="712"/>
      <c r="K183" s="712"/>
      <c r="L183" s="712"/>
      <c r="M183" s="487"/>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row>
    <row r="184" spans="2:117" s="563" customFormat="1" ht="13.8">
      <c r="B184" s="349"/>
      <c r="C184" s="581"/>
      <c r="D184" s="581"/>
      <c r="E184" s="581"/>
      <c r="F184" s="581"/>
      <c r="G184" s="714"/>
      <c r="H184" s="714"/>
      <c r="I184" s="713"/>
      <c r="J184" s="714"/>
      <c r="K184" s="714"/>
      <c r="L184" s="715"/>
      <c r="M184" s="487"/>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572"/>
      <c r="AQ184" s="572"/>
      <c r="AR184" s="572"/>
      <c r="AS184" s="572"/>
      <c r="AT184" s="572"/>
      <c r="AU184" s="572"/>
      <c r="AV184" s="572"/>
      <c r="AW184" s="572"/>
      <c r="AX184" s="572"/>
      <c r="AY184" s="572"/>
      <c r="AZ184" s="572"/>
      <c r="BA184" s="572"/>
      <c r="BB184" s="572"/>
      <c r="BC184" s="572"/>
      <c r="BD184" s="572"/>
      <c r="BE184" s="572"/>
      <c r="BF184" s="572"/>
      <c r="BG184" s="572"/>
      <c r="BH184" s="572"/>
      <c r="BI184" s="572"/>
      <c r="BJ184" s="572"/>
      <c r="BK184" s="572"/>
      <c r="BL184" s="572"/>
      <c r="BM184" s="572"/>
      <c r="BN184" s="572"/>
      <c r="BO184" s="572"/>
      <c r="BP184" s="572"/>
      <c r="BQ184" s="572"/>
      <c r="BR184" s="572"/>
      <c r="BS184" s="572"/>
      <c r="BT184" s="572"/>
      <c r="BU184" s="572"/>
      <c r="BV184" s="572"/>
      <c r="BW184" s="572"/>
      <c r="BX184" s="572"/>
      <c r="BY184" s="572"/>
      <c r="BZ184" s="572"/>
      <c r="CA184" s="572"/>
      <c r="CB184" s="572"/>
      <c r="CC184" s="572"/>
      <c r="CD184" s="572"/>
      <c r="CE184" s="572"/>
      <c r="CF184" s="572"/>
      <c r="CG184" s="572"/>
      <c r="CH184" s="572"/>
      <c r="CI184" s="572"/>
      <c r="CJ184" s="572"/>
      <c r="CK184" s="572"/>
      <c r="CL184" s="572"/>
      <c r="CM184" s="572"/>
      <c r="CN184" s="572"/>
      <c r="CO184" s="572"/>
      <c r="CP184" s="572"/>
      <c r="CQ184" s="572"/>
      <c r="CR184" s="572"/>
      <c r="CS184" s="572"/>
      <c r="CT184" s="572"/>
      <c r="CU184" s="572"/>
      <c r="CV184" s="572"/>
      <c r="CW184" s="572"/>
      <c r="CX184" s="572"/>
      <c r="CY184" s="572"/>
      <c r="CZ184" s="572"/>
      <c r="DA184" s="572"/>
      <c r="DB184" s="572"/>
      <c r="DC184" s="572"/>
      <c r="DD184" s="572"/>
      <c r="DE184" s="572"/>
      <c r="DF184" s="572"/>
      <c r="DG184" s="572"/>
      <c r="DH184" s="572"/>
      <c r="DI184" s="572"/>
      <c r="DJ184" s="572"/>
      <c r="DK184" s="572"/>
      <c r="DL184" s="572"/>
      <c r="DM184" s="572"/>
    </row>
    <row r="185" spans="2:117" s="563" customFormat="1">
      <c r="B185" s="581"/>
      <c r="C185" s="581"/>
      <c r="D185" s="581"/>
      <c r="E185" s="581"/>
      <c r="F185" s="581"/>
      <c r="G185" s="581"/>
      <c r="H185" s="581"/>
      <c r="I185" s="581"/>
      <c r="J185" s="581"/>
      <c r="K185" s="581"/>
      <c r="L185" s="597"/>
      <c r="M185" s="597"/>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2"/>
      <c r="AL185" s="572"/>
      <c r="AM185" s="572"/>
      <c r="AN185" s="572"/>
      <c r="AO185" s="572"/>
      <c r="AP185" s="572"/>
      <c r="AQ185" s="572"/>
      <c r="AR185" s="572"/>
      <c r="AS185" s="572"/>
      <c r="AT185" s="572"/>
      <c r="AU185" s="572"/>
      <c r="AV185" s="572"/>
      <c r="AW185" s="572"/>
      <c r="AX185" s="572"/>
      <c r="AY185" s="572"/>
      <c r="AZ185" s="572"/>
      <c r="BA185" s="572"/>
      <c r="BB185" s="572"/>
      <c r="BC185" s="572"/>
      <c r="BD185" s="572"/>
      <c r="BE185" s="572"/>
      <c r="BF185" s="572"/>
      <c r="BG185" s="572"/>
      <c r="BH185" s="572"/>
      <c r="BI185" s="572"/>
      <c r="BJ185" s="572"/>
      <c r="BK185" s="572"/>
      <c r="BL185" s="572"/>
      <c r="BM185" s="572"/>
      <c r="BN185" s="572"/>
      <c r="BO185" s="572"/>
      <c r="BP185" s="572"/>
      <c r="BQ185" s="572"/>
      <c r="BR185" s="572"/>
      <c r="BS185" s="572"/>
      <c r="BT185" s="572"/>
      <c r="BU185" s="572"/>
      <c r="BV185" s="572"/>
      <c r="BW185" s="572"/>
      <c r="BX185" s="572"/>
      <c r="BY185" s="572"/>
      <c r="BZ185" s="572"/>
      <c r="CA185" s="572"/>
      <c r="CB185" s="572"/>
      <c r="CC185" s="572"/>
      <c r="CD185" s="572"/>
      <c r="CE185" s="572"/>
      <c r="CF185" s="572"/>
      <c r="CG185" s="572"/>
      <c r="CH185" s="572"/>
      <c r="CI185" s="572"/>
      <c r="CJ185" s="572"/>
      <c r="CK185" s="572"/>
      <c r="CL185" s="572"/>
      <c r="CM185" s="572"/>
      <c r="CN185" s="572"/>
      <c r="CO185" s="572"/>
      <c r="CP185" s="572"/>
      <c r="CQ185" s="572"/>
      <c r="CR185" s="572"/>
      <c r="CS185" s="572"/>
      <c r="CT185" s="572"/>
      <c r="CU185" s="572"/>
      <c r="CV185" s="572"/>
      <c r="CW185" s="572"/>
      <c r="CX185" s="572"/>
      <c r="CY185" s="572"/>
      <c r="CZ185" s="572"/>
      <c r="DA185" s="572"/>
      <c r="DB185" s="572"/>
      <c r="DC185" s="572"/>
      <c r="DD185" s="572"/>
      <c r="DE185" s="572"/>
      <c r="DF185" s="572"/>
      <c r="DG185" s="572"/>
      <c r="DH185" s="572"/>
      <c r="DI185" s="572"/>
      <c r="DJ185" s="572"/>
      <c r="DK185" s="572"/>
      <c r="DL185" s="572"/>
      <c r="DM185" s="572"/>
    </row>
    <row r="186" spans="2:117" s="563" customFormat="1">
      <c r="B186" s="581"/>
      <c r="C186" s="581"/>
      <c r="D186" s="581"/>
      <c r="E186" s="581"/>
      <c r="F186" s="581"/>
      <c r="G186" s="581"/>
      <c r="H186" s="581"/>
      <c r="I186" s="581"/>
      <c r="J186" s="581"/>
      <c r="K186" s="581"/>
      <c r="L186" s="597"/>
      <c r="M186" s="597"/>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2"/>
      <c r="AL186" s="572"/>
      <c r="AM186" s="572"/>
      <c r="AN186" s="572"/>
      <c r="AO186" s="572"/>
      <c r="AP186" s="572"/>
      <c r="AQ186" s="572"/>
      <c r="AR186" s="572"/>
      <c r="AS186" s="572"/>
      <c r="AT186" s="572"/>
      <c r="AU186" s="572"/>
      <c r="AV186" s="572"/>
      <c r="AW186" s="572"/>
      <c r="AX186" s="572"/>
      <c r="AY186" s="572"/>
      <c r="AZ186" s="572"/>
      <c r="BA186" s="572"/>
      <c r="BB186" s="572"/>
      <c r="BC186" s="572"/>
      <c r="BD186" s="572"/>
      <c r="BE186" s="572"/>
      <c r="BF186" s="572"/>
      <c r="BG186" s="572"/>
      <c r="BH186" s="572"/>
      <c r="BI186" s="572"/>
      <c r="BJ186" s="572"/>
      <c r="BK186" s="572"/>
      <c r="BL186" s="572"/>
      <c r="BM186" s="572"/>
      <c r="BN186" s="572"/>
      <c r="BO186" s="572"/>
      <c r="BP186" s="572"/>
      <c r="BQ186" s="572"/>
      <c r="BR186" s="572"/>
      <c r="BS186" s="572"/>
      <c r="BT186" s="572"/>
      <c r="BU186" s="572"/>
      <c r="BV186" s="572"/>
      <c r="BW186" s="572"/>
      <c r="BX186" s="572"/>
      <c r="BY186" s="572"/>
      <c r="BZ186" s="572"/>
      <c r="CA186" s="572"/>
      <c r="CB186" s="572"/>
      <c r="CC186" s="572"/>
      <c r="CD186" s="572"/>
      <c r="CE186" s="572"/>
      <c r="CF186" s="572"/>
      <c r="CG186" s="572"/>
      <c r="CH186" s="572"/>
      <c r="CI186" s="572"/>
      <c r="CJ186" s="572"/>
      <c r="CK186" s="572"/>
      <c r="CL186" s="572"/>
      <c r="CM186" s="572"/>
      <c r="CN186" s="572"/>
      <c r="CO186" s="572"/>
      <c r="CP186" s="572"/>
      <c r="CQ186" s="572"/>
      <c r="CR186" s="572"/>
      <c r="CS186" s="572"/>
      <c r="CT186" s="572"/>
      <c r="CU186" s="572"/>
      <c r="CV186" s="572"/>
      <c r="CW186" s="572"/>
      <c r="CX186" s="572"/>
      <c r="CY186" s="572"/>
      <c r="CZ186" s="572"/>
      <c r="DA186" s="572"/>
      <c r="DB186" s="572"/>
      <c r="DC186" s="572"/>
      <c r="DD186" s="572"/>
      <c r="DE186" s="572"/>
      <c r="DF186" s="572"/>
      <c r="DG186" s="572"/>
      <c r="DH186" s="572"/>
      <c r="DI186" s="572"/>
      <c r="DJ186" s="572"/>
      <c r="DK186" s="572"/>
      <c r="DL186" s="572"/>
      <c r="DM186" s="572"/>
    </row>
    <row r="187" spans="2:117" s="563" customFormat="1">
      <c r="B187" s="581"/>
      <c r="C187" s="581"/>
      <c r="D187" s="581"/>
      <c r="E187" s="581"/>
      <c r="F187" s="581"/>
      <c r="G187" s="581"/>
      <c r="H187" s="581"/>
      <c r="I187" s="581"/>
      <c r="J187" s="581"/>
      <c r="K187" s="581"/>
      <c r="L187" s="597"/>
      <c r="M187" s="597"/>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2"/>
      <c r="AL187" s="572"/>
      <c r="AM187" s="572"/>
      <c r="AN187" s="572"/>
      <c r="AO187" s="572"/>
      <c r="AP187" s="572"/>
      <c r="AQ187" s="572"/>
      <c r="AR187" s="572"/>
      <c r="AS187" s="572"/>
      <c r="AT187" s="572"/>
      <c r="AU187" s="572"/>
      <c r="AV187" s="572"/>
      <c r="AW187" s="572"/>
      <c r="AX187" s="572"/>
      <c r="AY187" s="572"/>
      <c r="AZ187" s="572"/>
      <c r="BA187" s="572"/>
      <c r="BB187" s="572"/>
      <c r="BC187" s="572"/>
      <c r="BD187" s="572"/>
      <c r="BE187" s="572"/>
      <c r="BF187" s="572"/>
      <c r="BG187" s="572"/>
      <c r="BH187" s="572"/>
      <c r="BI187" s="572"/>
      <c r="BJ187" s="572"/>
      <c r="BK187" s="572"/>
      <c r="BL187" s="572"/>
      <c r="BM187" s="572"/>
      <c r="BN187" s="572"/>
      <c r="BO187" s="572"/>
      <c r="BP187" s="572"/>
      <c r="BQ187" s="572"/>
      <c r="BR187" s="572"/>
      <c r="BS187" s="572"/>
      <c r="BT187" s="572"/>
      <c r="BU187" s="572"/>
      <c r="BV187" s="572"/>
      <c r="BW187" s="572"/>
      <c r="BX187" s="572"/>
      <c r="BY187" s="572"/>
      <c r="BZ187" s="572"/>
      <c r="CA187" s="572"/>
      <c r="CB187" s="572"/>
      <c r="CC187" s="572"/>
      <c r="CD187" s="572"/>
      <c r="CE187" s="572"/>
      <c r="CF187" s="572"/>
      <c r="CG187" s="572"/>
      <c r="CH187" s="572"/>
      <c r="CI187" s="572"/>
      <c r="CJ187" s="572"/>
      <c r="CK187" s="572"/>
      <c r="CL187" s="572"/>
      <c r="CM187" s="572"/>
      <c r="CN187" s="572"/>
      <c r="CO187" s="572"/>
      <c r="CP187" s="572"/>
      <c r="CQ187" s="572"/>
      <c r="CR187" s="572"/>
      <c r="CS187" s="572"/>
      <c r="CT187" s="572"/>
      <c r="CU187" s="572"/>
      <c r="CV187" s="572"/>
      <c r="CW187" s="572"/>
      <c r="CX187" s="572"/>
      <c r="CY187" s="572"/>
      <c r="CZ187" s="572"/>
      <c r="DA187" s="572"/>
      <c r="DB187" s="572"/>
      <c r="DC187" s="572"/>
      <c r="DD187" s="572"/>
      <c r="DE187" s="572"/>
      <c r="DF187" s="572"/>
      <c r="DG187" s="572"/>
      <c r="DH187" s="572"/>
      <c r="DI187" s="572"/>
      <c r="DJ187" s="572"/>
      <c r="DK187" s="572"/>
      <c r="DL187" s="572"/>
      <c r="DM187" s="572"/>
    </row>
    <row r="188" spans="2:117" s="563" customFormat="1">
      <c r="B188" s="581"/>
      <c r="C188" s="581"/>
      <c r="D188" s="581"/>
      <c r="E188" s="581"/>
      <c r="F188" s="581"/>
      <c r="G188" s="581"/>
      <c r="H188" s="581"/>
      <c r="I188" s="581"/>
      <c r="J188" s="581"/>
      <c r="K188" s="581"/>
      <c r="L188" s="597"/>
      <c r="M188" s="597"/>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2"/>
      <c r="AL188" s="572"/>
      <c r="AM188" s="572"/>
      <c r="AN188" s="572"/>
      <c r="AO188" s="572"/>
      <c r="AP188" s="572"/>
      <c r="AQ188" s="572"/>
      <c r="AR188" s="572"/>
      <c r="AS188" s="572"/>
      <c r="AT188" s="572"/>
      <c r="AU188" s="572"/>
      <c r="AV188" s="572"/>
      <c r="AW188" s="572"/>
      <c r="AX188" s="572"/>
      <c r="AY188" s="572"/>
      <c r="AZ188" s="572"/>
      <c r="BA188" s="572"/>
      <c r="BB188" s="572"/>
      <c r="BC188" s="572"/>
      <c r="BD188" s="572"/>
      <c r="BE188" s="572"/>
      <c r="BF188" s="572"/>
      <c r="BG188" s="572"/>
      <c r="BH188" s="572"/>
      <c r="BI188" s="572"/>
      <c r="BJ188" s="572"/>
      <c r="BK188" s="572"/>
      <c r="BL188" s="572"/>
      <c r="BM188" s="572"/>
      <c r="BN188" s="572"/>
      <c r="BO188" s="572"/>
      <c r="BP188" s="572"/>
      <c r="BQ188" s="572"/>
      <c r="BR188" s="572"/>
      <c r="BS188" s="572"/>
      <c r="BT188" s="572"/>
      <c r="BU188" s="572"/>
      <c r="BV188" s="572"/>
      <c r="BW188" s="572"/>
      <c r="BX188" s="572"/>
      <c r="BY188" s="572"/>
      <c r="BZ188" s="572"/>
      <c r="CA188" s="572"/>
      <c r="CB188" s="572"/>
      <c r="CC188" s="572"/>
      <c r="CD188" s="572"/>
      <c r="CE188" s="572"/>
      <c r="CF188" s="572"/>
      <c r="CG188" s="572"/>
      <c r="CH188" s="572"/>
      <c r="CI188" s="572"/>
      <c r="CJ188" s="572"/>
      <c r="CK188" s="572"/>
      <c r="CL188" s="572"/>
      <c r="CM188" s="572"/>
      <c r="CN188" s="572"/>
      <c r="CO188" s="572"/>
      <c r="CP188" s="572"/>
      <c r="CQ188" s="572"/>
      <c r="CR188" s="572"/>
      <c r="CS188" s="572"/>
      <c r="CT188" s="572"/>
      <c r="CU188" s="572"/>
      <c r="CV188" s="572"/>
      <c r="CW188" s="572"/>
      <c r="CX188" s="572"/>
      <c r="CY188" s="572"/>
      <c r="CZ188" s="572"/>
      <c r="DA188" s="572"/>
      <c r="DB188" s="572"/>
      <c r="DC188" s="572"/>
      <c r="DD188" s="572"/>
      <c r="DE188" s="572"/>
      <c r="DF188" s="572"/>
      <c r="DG188" s="572"/>
      <c r="DH188" s="572"/>
      <c r="DI188" s="572"/>
      <c r="DJ188" s="572"/>
      <c r="DK188" s="572"/>
      <c r="DL188" s="572"/>
      <c r="DM188" s="572"/>
    </row>
    <row r="189" spans="2:117" s="563" customFormat="1">
      <c r="B189" s="581"/>
      <c r="C189" s="581"/>
      <c r="D189" s="581"/>
      <c r="E189" s="581"/>
      <c r="F189" s="581"/>
      <c r="G189" s="581"/>
      <c r="H189" s="581"/>
      <c r="I189" s="581"/>
      <c r="J189" s="581"/>
      <c r="K189" s="581"/>
      <c r="L189" s="597"/>
      <c r="M189" s="597"/>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2"/>
      <c r="AL189" s="572"/>
      <c r="AM189" s="572"/>
      <c r="AN189" s="572"/>
      <c r="AO189" s="572"/>
      <c r="AP189" s="572"/>
      <c r="AQ189" s="572"/>
      <c r="AR189" s="572"/>
      <c r="AS189" s="572"/>
      <c r="AT189" s="572"/>
      <c r="AU189" s="572"/>
      <c r="AV189" s="572"/>
      <c r="AW189" s="572"/>
      <c r="AX189" s="572"/>
      <c r="AY189" s="572"/>
      <c r="AZ189" s="572"/>
      <c r="BA189" s="572"/>
      <c r="BB189" s="572"/>
      <c r="BC189" s="572"/>
      <c r="BD189" s="572"/>
      <c r="BE189" s="572"/>
      <c r="BF189" s="572"/>
      <c r="BG189" s="572"/>
      <c r="BH189" s="572"/>
      <c r="BI189" s="572"/>
      <c r="BJ189" s="572"/>
      <c r="BK189" s="572"/>
      <c r="BL189" s="572"/>
      <c r="BM189" s="572"/>
      <c r="BN189" s="572"/>
      <c r="BO189" s="572"/>
      <c r="BP189" s="572"/>
      <c r="BQ189" s="572"/>
      <c r="BR189" s="572"/>
      <c r="BS189" s="572"/>
      <c r="BT189" s="572"/>
      <c r="BU189" s="572"/>
      <c r="BV189" s="572"/>
      <c r="BW189" s="572"/>
      <c r="BX189" s="572"/>
      <c r="BY189" s="572"/>
      <c r="BZ189" s="572"/>
      <c r="CA189" s="572"/>
      <c r="CB189" s="572"/>
      <c r="CC189" s="572"/>
      <c r="CD189" s="572"/>
      <c r="CE189" s="572"/>
      <c r="CF189" s="572"/>
      <c r="CG189" s="572"/>
      <c r="CH189" s="572"/>
      <c r="CI189" s="572"/>
      <c r="CJ189" s="572"/>
      <c r="CK189" s="572"/>
      <c r="CL189" s="572"/>
      <c r="CM189" s="572"/>
      <c r="CN189" s="572"/>
      <c r="CO189" s="572"/>
      <c r="CP189" s="572"/>
      <c r="CQ189" s="572"/>
      <c r="CR189" s="572"/>
      <c r="CS189" s="572"/>
      <c r="CT189" s="572"/>
      <c r="CU189" s="572"/>
      <c r="CV189" s="572"/>
      <c r="CW189" s="572"/>
      <c r="CX189" s="572"/>
      <c r="CY189" s="572"/>
      <c r="CZ189" s="572"/>
      <c r="DA189" s="572"/>
      <c r="DB189" s="572"/>
      <c r="DC189" s="572"/>
      <c r="DD189" s="572"/>
      <c r="DE189" s="572"/>
      <c r="DF189" s="572"/>
      <c r="DG189" s="572"/>
      <c r="DH189" s="572"/>
      <c r="DI189" s="572"/>
      <c r="DJ189" s="572"/>
      <c r="DK189" s="572"/>
      <c r="DL189" s="572"/>
      <c r="DM189" s="572"/>
    </row>
    <row r="190" spans="2:117" s="563" customFormat="1">
      <c r="B190" s="581"/>
      <c r="C190" s="581"/>
      <c r="D190" s="581"/>
      <c r="E190" s="581"/>
      <c r="F190" s="581"/>
      <c r="G190" s="581"/>
      <c r="H190" s="581"/>
      <c r="I190" s="581"/>
      <c r="J190" s="581"/>
      <c r="K190" s="581"/>
      <c r="L190" s="597"/>
      <c r="M190" s="597"/>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2"/>
      <c r="AL190" s="572"/>
      <c r="AM190" s="572"/>
      <c r="AN190" s="572"/>
      <c r="AO190" s="572"/>
      <c r="AP190" s="572"/>
      <c r="AQ190" s="572"/>
      <c r="AR190" s="572"/>
      <c r="AS190" s="572"/>
      <c r="AT190" s="572"/>
      <c r="AU190" s="572"/>
      <c r="AV190" s="572"/>
      <c r="AW190" s="572"/>
      <c r="AX190" s="572"/>
      <c r="AY190" s="572"/>
      <c r="AZ190" s="572"/>
      <c r="BA190" s="572"/>
      <c r="BB190" s="572"/>
      <c r="BC190" s="572"/>
      <c r="BD190" s="572"/>
      <c r="BE190" s="572"/>
      <c r="BF190" s="572"/>
      <c r="BG190" s="572"/>
      <c r="BH190" s="572"/>
      <c r="BI190" s="572"/>
      <c r="BJ190" s="572"/>
      <c r="BK190" s="572"/>
      <c r="BL190" s="572"/>
      <c r="BM190" s="572"/>
      <c r="BN190" s="572"/>
      <c r="BO190" s="572"/>
      <c r="BP190" s="572"/>
      <c r="BQ190" s="572"/>
      <c r="BR190" s="572"/>
      <c r="BS190" s="572"/>
      <c r="BT190" s="572"/>
      <c r="BU190" s="572"/>
      <c r="BV190" s="572"/>
      <c r="BW190" s="572"/>
      <c r="BX190" s="572"/>
      <c r="BY190" s="572"/>
      <c r="BZ190" s="572"/>
      <c r="CA190" s="572"/>
      <c r="CB190" s="572"/>
      <c r="CC190" s="572"/>
      <c r="CD190" s="572"/>
      <c r="CE190" s="572"/>
      <c r="CF190" s="572"/>
      <c r="CG190" s="572"/>
      <c r="CH190" s="572"/>
      <c r="CI190" s="572"/>
      <c r="CJ190" s="572"/>
      <c r="CK190" s="572"/>
      <c r="CL190" s="572"/>
      <c r="CM190" s="572"/>
      <c r="CN190" s="572"/>
      <c r="CO190" s="572"/>
      <c r="CP190" s="572"/>
      <c r="CQ190" s="572"/>
      <c r="CR190" s="572"/>
      <c r="CS190" s="572"/>
      <c r="CT190" s="572"/>
      <c r="CU190" s="572"/>
      <c r="CV190" s="572"/>
      <c r="CW190" s="572"/>
      <c r="CX190" s="572"/>
      <c r="CY190" s="572"/>
      <c r="CZ190" s="572"/>
      <c r="DA190" s="572"/>
      <c r="DB190" s="572"/>
      <c r="DC190" s="572"/>
      <c r="DD190" s="572"/>
      <c r="DE190" s="572"/>
      <c r="DF190" s="572"/>
      <c r="DG190" s="572"/>
      <c r="DH190" s="572"/>
      <c r="DI190" s="572"/>
      <c r="DJ190" s="572"/>
      <c r="DK190" s="572"/>
      <c r="DL190" s="572"/>
      <c r="DM190" s="572"/>
    </row>
    <row r="191" spans="2:117" s="563" customFormat="1">
      <c r="B191" s="355"/>
      <c r="C191" s="581"/>
      <c r="D191" s="581"/>
      <c r="E191" s="581"/>
      <c r="F191" s="581"/>
      <c r="G191" s="581"/>
      <c r="H191" s="581"/>
      <c r="I191" s="581"/>
      <c r="J191" s="581"/>
      <c r="K191" s="581"/>
      <c r="L191" s="597"/>
      <c r="M191" s="597"/>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2"/>
      <c r="AL191" s="572"/>
      <c r="AM191" s="572"/>
      <c r="AN191" s="572"/>
      <c r="AO191" s="572"/>
      <c r="AP191" s="572"/>
      <c r="AQ191" s="572"/>
      <c r="AR191" s="572"/>
      <c r="AS191" s="572"/>
      <c r="AT191" s="572"/>
      <c r="AU191" s="572"/>
      <c r="AV191" s="572"/>
      <c r="AW191" s="572"/>
      <c r="AX191" s="572"/>
      <c r="AY191" s="572"/>
      <c r="AZ191" s="572"/>
      <c r="BA191" s="572"/>
      <c r="BB191" s="572"/>
      <c r="BC191" s="572"/>
      <c r="BD191" s="572"/>
      <c r="BE191" s="572"/>
      <c r="BF191" s="572"/>
      <c r="BG191" s="572"/>
      <c r="BH191" s="572"/>
      <c r="BI191" s="572"/>
      <c r="BJ191" s="572"/>
      <c r="BK191" s="572"/>
      <c r="BL191" s="572"/>
      <c r="BM191" s="572"/>
      <c r="BN191" s="572"/>
      <c r="BO191" s="572"/>
      <c r="BP191" s="572"/>
      <c r="BQ191" s="572"/>
      <c r="BR191" s="572"/>
      <c r="BS191" s="572"/>
      <c r="BT191" s="572"/>
      <c r="BU191" s="572"/>
      <c r="BV191" s="572"/>
      <c r="BW191" s="572"/>
      <c r="BX191" s="572"/>
      <c r="BY191" s="572"/>
      <c r="BZ191" s="572"/>
      <c r="CA191" s="572"/>
      <c r="CB191" s="572"/>
      <c r="CC191" s="572"/>
      <c r="CD191" s="572"/>
      <c r="CE191" s="572"/>
      <c r="CF191" s="572"/>
      <c r="CG191" s="572"/>
      <c r="CH191" s="572"/>
      <c r="CI191" s="572"/>
      <c r="CJ191" s="572"/>
      <c r="CK191" s="572"/>
      <c r="CL191" s="572"/>
      <c r="CM191" s="572"/>
      <c r="CN191" s="572"/>
      <c r="CO191" s="572"/>
      <c r="CP191" s="572"/>
      <c r="CQ191" s="572"/>
      <c r="CR191" s="572"/>
      <c r="CS191" s="572"/>
      <c r="CT191" s="572"/>
      <c r="CU191" s="572"/>
      <c r="CV191" s="572"/>
      <c r="CW191" s="572"/>
      <c r="CX191" s="572"/>
      <c r="CY191" s="572"/>
      <c r="CZ191" s="572"/>
      <c r="DA191" s="572"/>
      <c r="DB191" s="572"/>
      <c r="DC191" s="572"/>
      <c r="DD191" s="572"/>
      <c r="DE191" s="572"/>
      <c r="DF191" s="572"/>
      <c r="DG191" s="572"/>
      <c r="DH191" s="572"/>
      <c r="DI191" s="572"/>
      <c r="DJ191" s="572"/>
      <c r="DK191" s="572"/>
      <c r="DL191" s="572"/>
      <c r="DM191" s="572"/>
    </row>
    <row r="192" spans="2:117" s="563" customFormat="1">
      <c r="B192" s="581"/>
      <c r="C192" s="581"/>
      <c r="D192" s="581"/>
      <c r="E192" s="581"/>
      <c r="F192" s="581"/>
      <c r="G192" s="581"/>
      <c r="H192" s="581"/>
      <c r="I192" s="581"/>
      <c r="J192" s="581"/>
      <c r="K192" s="581"/>
      <c r="L192" s="597"/>
      <c r="M192" s="597"/>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2"/>
      <c r="AL192" s="572"/>
      <c r="AM192" s="572"/>
      <c r="AN192" s="572"/>
      <c r="AO192" s="572"/>
      <c r="AP192" s="572"/>
      <c r="AQ192" s="572"/>
      <c r="AR192" s="572"/>
      <c r="AS192" s="572"/>
      <c r="AT192" s="572"/>
      <c r="AU192" s="572"/>
      <c r="AV192" s="572"/>
      <c r="AW192" s="572"/>
      <c r="AX192" s="572"/>
      <c r="AY192" s="572"/>
      <c r="AZ192" s="572"/>
      <c r="BA192" s="572"/>
      <c r="BB192" s="572"/>
      <c r="BC192" s="572"/>
      <c r="BD192" s="572"/>
      <c r="BE192" s="572"/>
      <c r="BF192" s="572"/>
      <c r="BG192" s="572"/>
      <c r="BH192" s="572"/>
      <c r="BI192" s="572"/>
      <c r="BJ192" s="572"/>
      <c r="BK192" s="572"/>
      <c r="BL192" s="572"/>
      <c r="BM192" s="572"/>
      <c r="BN192" s="572"/>
      <c r="BO192" s="572"/>
      <c r="BP192" s="572"/>
      <c r="BQ192" s="572"/>
      <c r="BR192" s="572"/>
      <c r="BS192" s="572"/>
      <c r="BT192" s="572"/>
      <c r="BU192" s="572"/>
      <c r="BV192" s="572"/>
      <c r="BW192" s="572"/>
      <c r="BX192" s="572"/>
      <c r="BY192" s="572"/>
      <c r="BZ192" s="572"/>
      <c r="CA192" s="572"/>
      <c r="CB192" s="572"/>
      <c r="CC192" s="572"/>
      <c r="CD192" s="572"/>
      <c r="CE192" s="572"/>
      <c r="CF192" s="572"/>
      <c r="CG192" s="572"/>
      <c r="CH192" s="572"/>
      <c r="CI192" s="572"/>
      <c r="CJ192" s="572"/>
      <c r="CK192" s="572"/>
      <c r="CL192" s="572"/>
      <c r="CM192" s="572"/>
      <c r="CN192" s="572"/>
      <c r="CO192" s="572"/>
      <c r="CP192" s="572"/>
      <c r="CQ192" s="572"/>
      <c r="CR192" s="572"/>
      <c r="CS192" s="572"/>
      <c r="CT192" s="572"/>
      <c r="CU192" s="572"/>
      <c r="CV192" s="572"/>
      <c r="CW192" s="572"/>
      <c r="CX192" s="572"/>
      <c r="CY192" s="572"/>
      <c r="CZ192" s="572"/>
      <c r="DA192" s="572"/>
      <c r="DB192" s="572"/>
      <c r="DC192" s="572"/>
      <c r="DD192" s="572"/>
      <c r="DE192" s="572"/>
      <c r="DF192" s="572"/>
      <c r="DG192" s="572"/>
      <c r="DH192" s="572"/>
      <c r="DI192" s="572"/>
      <c r="DJ192" s="572"/>
      <c r="DK192" s="572"/>
      <c r="DL192" s="572"/>
      <c r="DM192" s="572"/>
    </row>
    <row r="193" spans="2:117" s="563" customFormat="1">
      <c r="B193" s="581"/>
      <c r="C193" s="581"/>
      <c r="D193" s="581"/>
      <c r="E193" s="581"/>
      <c r="F193" s="581"/>
      <c r="G193" s="581"/>
      <c r="H193" s="581"/>
      <c r="I193" s="581"/>
      <c r="J193" s="581"/>
      <c r="K193" s="581"/>
      <c r="L193" s="597"/>
      <c r="M193" s="597"/>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2"/>
      <c r="AL193" s="572"/>
      <c r="AM193" s="572"/>
      <c r="AN193" s="572"/>
      <c r="AO193" s="572"/>
      <c r="AP193" s="572"/>
      <c r="AQ193" s="572"/>
      <c r="AR193" s="572"/>
      <c r="AS193" s="572"/>
      <c r="AT193" s="572"/>
      <c r="AU193" s="572"/>
      <c r="AV193" s="572"/>
      <c r="AW193" s="572"/>
      <c r="AX193" s="572"/>
      <c r="AY193" s="572"/>
      <c r="AZ193" s="572"/>
      <c r="BA193" s="572"/>
      <c r="BB193" s="572"/>
      <c r="BC193" s="572"/>
      <c r="BD193" s="572"/>
      <c r="BE193" s="572"/>
      <c r="BF193" s="572"/>
      <c r="BG193" s="572"/>
      <c r="BH193" s="572"/>
      <c r="BI193" s="572"/>
      <c r="BJ193" s="572"/>
      <c r="BK193" s="572"/>
      <c r="BL193" s="572"/>
      <c r="BM193" s="572"/>
      <c r="BN193" s="572"/>
      <c r="BO193" s="572"/>
      <c r="BP193" s="572"/>
      <c r="BQ193" s="572"/>
      <c r="BR193" s="572"/>
      <c r="BS193" s="572"/>
      <c r="BT193" s="572"/>
      <c r="BU193" s="572"/>
      <c r="BV193" s="572"/>
      <c r="BW193" s="572"/>
      <c r="BX193" s="572"/>
      <c r="BY193" s="572"/>
      <c r="BZ193" s="572"/>
      <c r="CA193" s="572"/>
      <c r="CB193" s="572"/>
      <c r="CC193" s="572"/>
      <c r="CD193" s="572"/>
      <c r="CE193" s="572"/>
      <c r="CF193" s="572"/>
      <c r="CG193" s="572"/>
      <c r="CH193" s="572"/>
      <c r="CI193" s="572"/>
      <c r="CJ193" s="572"/>
      <c r="CK193" s="572"/>
      <c r="CL193" s="572"/>
      <c r="CM193" s="572"/>
      <c r="CN193" s="572"/>
      <c r="CO193" s="572"/>
      <c r="CP193" s="572"/>
      <c r="CQ193" s="572"/>
      <c r="CR193" s="572"/>
      <c r="CS193" s="572"/>
      <c r="CT193" s="572"/>
      <c r="CU193" s="572"/>
      <c r="CV193" s="572"/>
      <c r="CW193" s="572"/>
      <c r="CX193" s="572"/>
      <c r="CY193" s="572"/>
      <c r="CZ193" s="572"/>
      <c r="DA193" s="572"/>
      <c r="DB193" s="572"/>
      <c r="DC193" s="572"/>
      <c r="DD193" s="572"/>
      <c r="DE193" s="572"/>
      <c r="DF193" s="572"/>
      <c r="DG193" s="572"/>
      <c r="DH193" s="572"/>
      <c r="DI193" s="572"/>
      <c r="DJ193" s="572"/>
      <c r="DK193" s="572"/>
      <c r="DL193" s="572"/>
      <c r="DM193" s="572"/>
    </row>
    <row r="194" spans="2:117" s="563" customFormat="1">
      <c r="B194" s="581"/>
      <c r="C194" s="581"/>
      <c r="D194" s="581"/>
      <c r="E194" s="581"/>
      <c r="F194" s="581"/>
      <c r="G194" s="581"/>
      <c r="H194" s="581"/>
      <c r="I194" s="581"/>
      <c r="J194" s="581"/>
      <c r="K194" s="581"/>
      <c r="L194" s="597"/>
      <c r="M194" s="597"/>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572"/>
      <c r="AN194" s="572"/>
      <c r="AO194" s="572"/>
      <c r="AP194" s="572"/>
      <c r="AQ194" s="572"/>
      <c r="AR194" s="572"/>
      <c r="AS194" s="572"/>
      <c r="AT194" s="572"/>
      <c r="AU194" s="572"/>
      <c r="AV194" s="572"/>
      <c r="AW194" s="572"/>
      <c r="AX194" s="572"/>
      <c r="AY194" s="572"/>
      <c r="AZ194" s="572"/>
      <c r="BA194" s="572"/>
      <c r="BB194" s="572"/>
      <c r="BC194" s="572"/>
      <c r="BD194" s="572"/>
      <c r="BE194" s="572"/>
      <c r="BF194" s="572"/>
      <c r="BG194" s="572"/>
      <c r="BH194" s="572"/>
      <c r="BI194" s="572"/>
      <c r="BJ194" s="572"/>
      <c r="BK194" s="572"/>
      <c r="BL194" s="572"/>
      <c r="BM194" s="572"/>
      <c r="BN194" s="572"/>
      <c r="BO194" s="572"/>
      <c r="BP194" s="572"/>
      <c r="BQ194" s="572"/>
      <c r="BR194" s="572"/>
      <c r="BS194" s="572"/>
      <c r="BT194" s="572"/>
      <c r="BU194" s="572"/>
      <c r="BV194" s="572"/>
      <c r="BW194" s="572"/>
      <c r="BX194" s="572"/>
      <c r="BY194" s="572"/>
      <c r="BZ194" s="572"/>
      <c r="CA194" s="572"/>
      <c r="CB194" s="572"/>
      <c r="CC194" s="572"/>
      <c r="CD194" s="572"/>
      <c r="CE194" s="572"/>
      <c r="CF194" s="572"/>
      <c r="CG194" s="572"/>
      <c r="CH194" s="572"/>
      <c r="CI194" s="572"/>
      <c r="CJ194" s="572"/>
      <c r="CK194" s="572"/>
      <c r="CL194" s="572"/>
      <c r="CM194" s="572"/>
      <c r="CN194" s="572"/>
      <c r="CO194" s="572"/>
      <c r="CP194" s="572"/>
      <c r="CQ194" s="572"/>
      <c r="CR194" s="572"/>
      <c r="CS194" s="572"/>
      <c r="CT194" s="572"/>
      <c r="CU194" s="572"/>
      <c r="CV194" s="572"/>
      <c r="CW194" s="572"/>
      <c r="CX194" s="572"/>
      <c r="CY194" s="572"/>
      <c r="CZ194" s="572"/>
      <c r="DA194" s="572"/>
      <c r="DB194" s="572"/>
      <c r="DC194" s="572"/>
      <c r="DD194" s="572"/>
      <c r="DE194" s="572"/>
      <c r="DF194" s="572"/>
      <c r="DG194" s="572"/>
      <c r="DH194" s="572"/>
      <c r="DI194" s="572"/>
      <c r="DJ194" s="572"/>
      <c r="DK194" s="572"/>
      <c r="DL194" s="572"/>
      <c r="DM194" s="572"/>
    </row>
    <row r="195" spans="2:117" s="563" customFormat="1">
      <c r="B195" s="355"/>
      <c r="C195" s="581"/>
      <c r="D195" s="581"/>
      <c r="E195" s="581"/>
      <c r="F195" s="581"/>
      <c r="G195" s="581"/>
      <c r="H195" s="581"/>
      <c r="I195" s="581"/>
      <c r="J195" s="581"/>
      <c r="K195" s="581"/>
      <c r="L195" s="597"/>
      <c r="M195" s="597"/>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2"/>
      <c r="AL195" s="572"/>
      <c r="AM195" s="572"/>
      <c r="AN195" s="572"/>
      <c r="AO195" s="572"/>
      <c r="AP195" s="572"/>
      <c r="AQ195" s="572"/>
      <c r="AR195" s="572"/>
      <c r="AS195" s="572"/>
      <c r="AT195" s="572"/>
      <c r="AU195" s="572"/>
      <c r="AV195" s="572"/>
      <c r="AW195" s="572"/>
      <c r="AX195" s="572"/>
      <c r="AY195" s="572"/>
      <c r="AZ195" s="572"/>
      <c r="BA195" s="572"/>
      <c r="BB195" s="572"/>
      <c r="BC195" s="572"/>
      <c r="BD195" s="572"/>
      <c r="BE195" s="572"/>
      <c r="BF195" s="572"/>
      <c r="BG195" s="572"/>
      <c r="BH195" s="572"/>
      <c r="BI195" s="572"/>
      <c r="BJ195" s="572"/>
      <c r="BK195" s="572"/>
      <c r="BL195" s="572"/>
      <c r="BM195" s="572"/>
      <c r="BN195" s="572"/>
      <c r="BO195" s="572"/>
      <c r="BP195" s="572"/>
      <c r="BQ195" s="572"/>
      <c r="BR195" s="572"/>
      <c r="BS195" s="572"/>
      <c r="BT195" s="572"/>
      <c r="BU195" s="572"/>
      <c r="BV195" s="572"/>
      <c r="BW195" s="572"/>
      <c r="BX195" s="572"/>
      <c r="BY195" s="572"/>
      <c r="BZ195" s="572"/>
      <c r="CA195" s="572"/>
      <c r="CB195" s="572"/>
      <c r="CC195" s="572"/>
      <c r="CD195" s="572"/>
      <c r="CE195" s="572"/>
      <c r="CF195" s="572"/>
      <c r="CG195" s="572"/>
      <c r="CH195" s="572"/>
      <c r="CI195" s="572"/>
      <c r="CJ195" s="572"/>
      <c r="CK195" s="572"/>
      <c r="CL195" s="572"/>
      <c r="CM195" s="572"/>
      <c r="CN195" s="572"/>
      <c r="CO195" s="572"/>
      <c r="CP195" s="572"/>
      <c r="CQ195" s="572"/>
      <c r="CR195" s="572"/>
      <c r="CS195" s="572"/>
      <c r="CT195" s="572"/>
      <c r="CU195" s="572"/>
      <c r="CV195" s="572"/>
      <c r="CW195" s="572"/>
      <c r="CX195" s="572"/>
      <c r="CY195" s="572"/>
      <c r="CZ195" s="572"/>
      <c r="DA195" s="572"/>
      <c r="DB195" s="572"/>
      <c r="DC195" s="572"/>
      <c r="DD195" s="572"/>
      <c r="DE195" s="572"/>
      <c r="DF195" s="572"/>
      <c r="DG195" s="572"/>
      <c r="DH195" s="572"/>
      <c r="DI195" s="572"/>
      <c r="DJ195" s="572"/>
      <c r="DK195" s="572"/>
      <c r="DL195" s="572"/>
      <c r="DM195" s="572"/>
    </row>
    <row r="196" spans="2:117" s="563" customFormat="1">
      <c r="B196" s="581"/>
      <c r="C196" s="581"/>
      <c r="D196" s="581"/>
      <c r="E196" s="581"/>
      <c r="F196" s="581"/>
      <c r="G196" s="581"/>
      <c r="H196" s="581"/>
      <c r="I196" s="581"/>
      <c r="J196" s="581"/>
      <c r="K196" s="581"/>
      <c r="L196" s="597"/>
      <c r="M196" s="597"/>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2"/>
      <c r="AL196" s="572"/>
      <c r="AM196" s="572"/>
      <c r="AN196" s="572"/>
      <c r="AO196" s="572"/>
      <c r="AP196" s="572"/>
      <c r="AQ196" s="572"/>
      <c r="AR196" s="572"/>
      <c r="AS196" s="572"/>
      <c r="AT196" s="572"/>
      <c r="AU196" s="572"/>
      <c r="AV196" s="572"/>
      <c r="AW196" s="572"/>
      <c r="AX196" s="572"/>
      <c r="AY196" s="572"/>
      <c r="AZ196" s="572"/>
      <c r="BA196" s="572"/>
      <c r="BB196" s="572"/>
      <c r="BC196" s="572"/>
      <c r="BD196" s="572"/>
      <c r="BE196" s="572"/>
      <c r="BF196" s="572"/>
      <c r="BG196" s="572"/>
      <c r="BH196" s="572"/>
      <c r="BI196" s="572"/>
      <c r="BJ196" s="572"/>
      <c r="BK196" s="572"/>
      <c r="BL196" s="572"/>
      <c r="BM196" s="572"/>
      <c r="BN196" s="572"/>
      <c r="BO196" s="572"/>
      <c r="BP196" s="572"/>
      <c r="BQ196" s="572"/>
      <c r="BR196" s="572"/>
      <c r="BS196" s="572"/>
      <c r="BT196" s="572"/>
      <c r="BU196" s="572"/>
      <c r="BV196" s="572"/>
      <c r="BW196" s="572"/>
      <c r="BX196" s="572"/>
      <c r="BY196" s="572"/>
      <c r="BZ196" s="572"/>
      <c r="CA196" s="572"/>
      <c r="CB196" s="572"/>
      <c r="CC196" s="572"/>
      <c r="CD196" s="572"/>
      <c r="CE196" s="572"/>
      <c r="CF196" s="572"/>
      <c r="CG196" s="572"/>
      <c r="CH196" s="572"/>
      <c r="CI196" s="572"/>
      <c r="CJ196" s="572"/>
      <c r="CK196" s="572"/>
      <c r="CL196" s="572"/>
      <c r="CM196" s="572"/>
      <c r="CN196" s="572"/>
      <c r="CO196" s="572"/>
      <c r="CP196" s="572"/>
      <c r="CQ196" s="572"/>
      <c r="CR196" s="572"/>
      <c r="CS196" s="572"/>
      <c r="CT196" s="572"/>
      <c r="CU196" s="572"/>
      <c r="CV196" s="572"/>
      <c r="CW196" s="572"/>
      <c r="CX196" s="572"/>
      <c r="CY196" s="572"/>
      <c r="CZ196" s="572"/>
      <c r="DA196" s="572"/>
      <c r="DB196" s="572"/>
      <c r="DC196" s="572"/>
      <c r="DD196" s="572"/>
      <c r="DE196" s="572"/>
      <c r="DF196" s="572"/>
      <c r="DG196" s="572"/>
      <c r="DH196" s="572"/>
      <c r="DI196" s="572"/>
      <c r="DJ196" s="572"/>
      <c r="DK196" s="572"/>
      <c r="DL196" s="572"/>
      <c r="DM196" s="572"/>
    </row>
    <row r="197" spans="2:117" s="563" customFormat="1">
      <c r="B197" s="577"/>
      <c r="C197" s="577"/>
      <c r="D197" s="577"/>
      <c r="E197" s="577"/>
      <c r="F197" s="577"/>
      <c r="G197" s="577"/>
      <c r="H197" s="577"/>
      <c r="I197" s="577"/>
      <c r="J197" s="577"/>
      <c r="K197" s="577"/>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2"/>
      <c r="AL197" s="572"/>
      <c r="AM197" s="572"/>
      <c r="AN197" s="572"/>
      <c r="AO197" s="572"/>
      <c r="AP197" s="572"/>
      <c r="AQ197" s="572"/>
      <c r="AR197" s="572"/>
      <c r="AS197" s="572"/>
      <c r="AT197" s="572"/>
      <c r="AU197" s="572"/>
      <c r="AV197" s="572"/>
      <c r="AW197" s="572"/>
      <c r="AX197" s="572"/>
      <c r="AY197" s="572"/>
      <c r="AZ197" s="572"/>
      <c r="BA197" s="572"/>
      <c r="BB197" s="572"/>
      <c r="BC197" s="572"/>
      <c r="BD197" s="572"/>
      <c r="BE197" s="572"/>
      <c r="BF197" s="572"/>
      <c r="BG197" s="572"/>
      <c r="BH197" s="572"/>
      <c r="BI197" s="572"/>
      <c r="BJ197" s="572"/>
      <c r="BK197" s="572"/>
      <c r="BL197" s="572"/>
      <c r="BM197" s="572"/>
      <c r="BN197" s="572"/>
      <c r="BO197" s="572"/>
      <c r="BP197" s="572"/>
      <c r="BQ197" s="572"/>
      <c r="BR197" s="572"/>
      <c r="BS197" s="572"/>
      <c r="BT197" s="572"/>
      <c r="BU197" s="572"/>
      <c r="BV197" s="572"/>
      <c r="BW197" s="572"/>
      <c r="BX197" s="572"/>
      <c r="BY197" s="572"/>
      <c r="BZ197" s="572"/>
      <c r="CA197" s="572"/>
      <c r="CB197" s="572"/>
      <c r="CC197" s="572"/>
      <c r="CD197" s="572"/>
      <c r="CE197" s="572"/>
      <c r="CF197" s="572"/>
      <c r="CG197" s="572"/>
      <c r="CH197" s="572"/>
      <c r="CI197" s="572"/>
      <c r="CJ197" s="572"/>
      <c r="CK197" s="572"/>
      <c r="CL197" s="572"/>
      <c r="CM197" s="572"/>
      <c r="CN197" s="572"/>
      <c r="CO197" s="572"/>
      <c r="CP197" s="572"/>
      <c r="CQ197" s="572"/>
      <c r="CR197" s="572"/>
      <c r="CS197" s="572"/>
      <c r="CT197" s="572"/>
      <c r="CU197" s="572"/>
      <c r="CV197" s="572"/>
      <c r="CW197" s="572"/>
      <c r="CX197" s="572"/>
      <c r="CY197" s="572"/>
      <c r="CZ197" s="572"/>
      <c r="DA197" s="572"/>
      <c r="DB197" s="572"/>
      <c r="DC197" s="572"/>
      <c r="DD197" s="572"/>
      <c r="DE197" s="572"/>
      <c r="DF197" s="572"/>
      <c r="DG197" s="572"/>
      <c r="DH197" s="572"/>
      <c r="DI197" s="572"/>
      <c r="DJ197" s="572"/>
      <c r="DK197" s="572"/>
      <c r="DL197" s="572"/>
      <c r="DM197" s="572"/>
    </row>
    <row r="198" spans="2:117" s="563" customFormat="1">
      <c r="B198" s="577"/>
      <c r="C198" s="577"/>
      <c r="D198" s="577"/>
      <c r="E198" s="577"/>
      <c r="F198" s="577"/>
      <c r="G198" s="577"/>
      <c r="H198" s="577"/>
      <c r="I198" s="577"/>
      <c r="J198" s="577"/>
      <c r="K198" s="577"/>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2"/>
      <c r="AL198" s="572"/>
      <c r="AM198" s="572"/>
      <c r="AN198" s="572"/>
      <c r="AO198" s="572"/>
      <c r="AP198" s="572"/>
      <c r="AQ198" s="572"/>
      <c r="AR198" s="572"/>
      <c r="AS198" s="572"/>
      <c r="AT198" s="572"/>
      <c r="AU198" s="572"/>
      <c r="AV198" s="572"/>
      <c r="AW198" s="572"/>
      <c r="AX198" s="572"/>
      <c r="AY198" s="572"/>
      <c r="AZ198" s="572"/>
      <c r="BA198" s="572"/>
      <c r="BB198" s="572"/>
      <c r="BC198" s="572"/>
      <c r="BD198" s="572"/>
      <c r="BE198" s="572"/>
      <c r="BF198" s="572"/>
      <c r="BG198" s="572"/>
      <c r="BH198" s="572"/>
      <c r="BI198" s="572"/>
      <c r="BJ198" s="572"/>
      <c r="BK198" s="572"/>
      <c r="BL198" s="572"/>
      <c r="BM198" s="572"/>
      <c r="BN198" s="572"/>
      <c r="BO198" s="572"/>
      <c r="BP198" s="572"/>
      <c r="BQ198" s="572"/>
      <c r="BR198" s="572"/>
      <c r="BS198" s="572"/>
      <c r="BT198" s="572"/>
      <c r="BU198" s="572"/>
      <c r="BV198" s="572"/>
      <c r="BW198" s="572"/>
      <c r="BX198" s="572"/>
      <c r="BY198" s="572"/>
      <c r="BZ198" s="572"/>
      <c r="CA198" s="572"/>
      <c r="CB198" s="572"/>
      <c r="CC198" s="572"/>
      <c r="CD198" s="572"/>
      <c r="CE198" s="572"/>
      <c r="CF198" s="572"/>
      <c r="CG198" s="572"/>
      <c r="CH198" s="572"/>
      <c r="CI198" s="572"/>
      <c r="CJ198" s="572"/>
      <c r="CK198" s="572"/>
      <c r="CL198" s="572"/>
      <c r="CM198" s="572"/>
      <c r="CN198" s="572"/>
      <c r="CO198" s="572"/>
      <c r="CP198" s="572"/>
      <c r="CQ198" s="572"/>
      <c r="CR198" s="572"/>
      <c r="CS198" s="572"/>
      <c r="CT198" s="572"/>
      <c r="CU198" s="572"/>
      <c r="CV198" s="572"/>
      <c r="CW198" s="572"/>
      <c r="CX198" s="572"/>
      <c r="CY198" s="572"/>
      <c r="CZ198" s="572"/>
      <c r="DA198" s="572"/>
      <c r="DB198" s="572"/>
      <c r="DC198" s="572"/>
      <c r="DD198" s="572"/>
      <c r="DE198" s="572"/>
      <c r="DF198" s="572"/>
      <c r="DG198" s="572"/>
      <c r="DH198" s="572"/>
      <c r="DI198" s="572"/>
      <c r="DJ198" s="572"/>
      <c r="DK198" s="572"/>
      <c r="DL198" s="572"/>
      <c r="DM198" s="572"/>
    </row>
    <row r="199" spans="2:117" s="563" customFormat="1">
      <c r="B199" s="569"/>
      <c r="C199" s="569"/>
      <c r="D199" s="569"/>
      <c r="E199" s="569"/>
      <c r="F199" s="569"/>
      <c r="G199" s="569"/>
      <c r="H199" s="569"/>
      <c r="I199" s="569"/>
      <c r="J199" s="569"/>
      <c r="K199" s="569"/>
    </row>
    <row r="200" spans="2:117" s="563" customFormat="1">
      <c r="B200" s="569"/>
      <c r="C200" s="569"/>
      <c r="D200" s="569"/>
      <c r="E200" s="569"/>
      <c r="F200" s="569"/>
      <c r="G200" s="569"/>
      <c r="H200" s="569"/>
      <c r="I200" s="569"/>
      <c r="J200" s="569"/>
      <c r="K200" s="569"/>
    </row>
    <row r="201" spans="2:117" s="563" customFormat="1">
      <c r="B201" s="569"/>
      <c r="C201" s="569"/>
      <c r="D201" s="569"/>
      <c r="E201" s="569"/>
      <c r="F201" s="569"/>
      <c r="G201" s="1368"/>
      <c r="H201" s="1368"/>
      <c r="I201" s="569"/>
      <c r="J201" s="569"/>
      <c r="K201" s="569"/>
    </row>
    <row r="202" spans="2:117" s="563" customFormat="1">
      <c r="B202" s="569"/>
      <c r="C202" s="569"/>
      <c r="D202" s="569"/>
      <c r="E202" s="569"/>
      <c r="F202" s="569"/>
      <c r="G202" s="569"/>
      <c r="H202" s="569"/>
      <c r="I202" s="569"/>
      <c r="J202" s="569"/>
      <c r="K202" s="569"/>
    </row>
    <row r="203" spans="2:117" s="563" customFormat="1">
      <c r="B203" s="569"/>
      <c r="C203" s="569"/>
      <c r="D203" s="569"/>
      <c r="E203" s="569"/>
      <c r="F203" s="569"/>
      <c r="G203" s="569"/>
      <c r="H203" s="569"/>
      <c r="I203" s="569"/>
      <c r="J203" s="569"/>
      <c r="K203" s="569"/>
    </row>
    <row r="204" spans="2:117" s="563" customFormat="1">
      <c r="B204" s="569"/>
      <c r="C204" s="569"/>
      <c r="D204" s="569"/>
      <c r="E204" s="569"/>
      <c r="F204" s="569"/>
      <c r="G204" s="569"/>
      <c r="H204" s="569"/>
      <c r="I204" s="569"/>
      <c r="J204" s="569"/>
      <c r="K204" s="569"/>
    </row>
    <row r="205" spans="2:117" s="563" customFormat="1">
      <c r="G205" s="563" t="s">
        <v>525</v>
      </c>
      <c r="H205" s="569"/>
    </row>
    <row r="206" spans="2:117" s="563" customFormat="1">
      <c r="H206" s="745"/>
    </row>
    <row r="207" spans="2:117" s="563" customFormat="1">
      <c r="H207" s="861"/>
    </row>
    <row r="208" spans="2:117" s="563" customFormat="1">
      <c r="H208" s="745"/>
    </row>
    <row r="209" spans="8:8" s="563" customFormat="1">
      <c r="H209" s="745"/>
    </row>
    <row r="210" spans="8:8" s="563" customFormat="1">
      <c r="H210" s="745"/>
    </row>
    <row r="211" spans="8:8" s="563" customFormat="1"/>
    <row r="212" spans="8:8" s="563" customFormat="1"/>
    <row r="213" spans="8:8" s="563" customFormat="1"/>
    <row r="214" spans="8:8" s="563" customFormat="1"/>
    <row r="215" spans="8:8" s="563" customFormat="1"/>
    <row r="216" spans="8:8" s="563" customFormat="1"/>
    <row r="217" spans="8:8" s="563" customFormat="1"/>
    <row r="218" spans="8:8" s="563" customFormat="1"/>
    <row r="219" spans="8:8" s="563" customFormat="1"/>
    <row r="220" spans="8:8" s="563" customFormat="1"/>
    <row r="221" spans="8:8" s="563" customFormat="1"/>
    <row r="222" spans="8:8" s="563" customFormat="1"/>
    <row r="223" spans="8:8" s="563" customFormat="1"/>
    <row r="224" spans="8:8" s="563" customFormat="1"/>
    <row r="225" s="563" customFormat="1"/>
    <row r="226" s="563" customFormat="1"/>
    <row r="227" s="563" customFormat="1"/>
    <row r="228" s="563" customFormat="1"/>
    <row r="229" s="563" customFormat="1"/>
    <row r="230" s="563" customFormat="1"/>
    <row r="231" s="563" customFormat="1"/>
    <row r="232" s="563" customFormat="1"/>
    <row r="233" s="563" customFormat="1"/>
    <row r="234" s="563" customFormat="1"/>
    <row r="235" s="563" customFormat="1"/>
    <row r="236" s="563" customFormat="1"/>
    <row r="237" s="563" customFormat="1"/>
    <row r="238" s="563" customFormat="1"/>
    <row r="239" s="563" customFormat="1"/>
    <row r="240" s="563" customFormat="1"/>
    <row r="241" s="563" customFormat="1"/>
    <row r="242" s="563" customFormat="1"/>
    <row r="243" s="563" customFormat="1"/>
    <row r="244" s="563" customFormat="1"/>
    <row r="245" s="563" customFormat="1"/>
    <row r="246" s="563" customFormat="1"/>
    <row r="247" s="563" customFormat="1"/>
    <row r="248" s="563" customFormat="1"/>
    <row r="249" s="563" customFormat="1"/>
    <row r="250" s="563" customFormat="1"/>
    <row r="251" s="563" customFormat="1"/>
    <row r="252" s="563" customFormat="1"/>
    <row r="253" s="563" customFormat="1"/>
    <row r="254" s="563" customFormat="1"/>
    <row r="255" s="563" customFormat="1"/>
    <row r="256" s="563" customFormat="1"/>
    <row r="257" s="563" customFormat="1"/>
    <row r="258" s="563" customFormat="1"/>
    <row r="259" s="563" customFormat="1"/>
    <row r="260" s="563" customFormat="1"/>
    <row r="261" s="563" customFormat="1"/>
    <row r="262" s="563" customFormat="1"/>
    <row r="263" s="563" customFormat="1"/>
    <row r="264" s="563" customFormat="1"/>
    <row r="265" s="563" customFormat="1"/>
    <row r="266" s="563" customFormat="1"/>
    <row r="267" s="563" customFormat="1"/>
    <row r="268" s="563" customFormat="1"/>
    <row r="269" s="563" customFormat="1"/>
    <row r="270" s="563" customFormat="1"/>
    <row r="271" s="563" customFormat="1"/>
    <row r="272" s="563" customFormat="1"/>
    <row r="273" s="563" customFormat="1"/>
    <row r="274" s="563" customFormat="1"/>
    <row r="275" s="563" customFormat="1"/>
    <row r="276" s="563" customFormat="1"/>
    <row r="277" s="563" customFormat="1"/>
    <row r="278" s="563" customFormat="1"/>
    <row r="279" s="563" customFormat="1"/>
    <row r="280" s="563" customFormat="1"/>
    <row r="281" s="563" customFormat="1"/>
    <row r="282" s="563" customFormat="1"/>
    <row r="283" s="563" customFormat="1"/>
    <row r="284" s="563" customFormat="1"/>
    <row r="285" s="563" customFormat="1"/>
    <row r="286" s="563" customFormat="1"/>
    <row r="287" s="563" customFormat="1"/>
    <row r="288" s="563" customFormat="1"/>
    <row r="289" s="563" customFormat="1"/>
    <row r="290" s="563" customFormat="1"/>
    <row r="291" s="563" customFormat="1"/>
    <row r="292" s="563" customFormat="1"/>
    <row r="293" s="563" customFormat="1"/>
    <row r="294" s="563" customFormat="1"/>
    <row r="295" s="563" customFormat="1"/>
    <row r="296" s="563" customFormat="1"/>
    <row r="297" s="563" customFormat="1"/>
    <row r="298" s="563" customFormat="1"/>
    <row r="299" s="563" customFormat="1"/>
    <row r="300" s="563" customFormat="1"/>
    <row r="301" s="563" customFormat="1"/>
    <row r="302" s="563" customFormat="1"/>
    <row r="303" s="563" customFormat="1"/>
    <row r="304" s="563" customFormat="1"/>
    <row r="305" s="563" customFormat="1"/>
    <row r="306" s="563" customFormat="1"/>
    <row r="307" s="563" customFormat="1"/>
    <row r="308" s="563" customFormat="1"/>
    <row r="309" s="563" customFormat="1"/>
    <row r="310" s="563" customFormat="1"/>
    <row r="311" s="563" customFormat="1"/>
    <row r="312" s="563" customFormat="1"/>
    <row r="313" s="563" customFormat="1"/>
    <row r="314" s="563" customFormat="1"/>
    <row r="315" s="563" customFormat="1"/>
    <row r="316" s="563" customFormat="1"/>
    <row r="317" s="563" customFormat="1"/>
    <row r="318" s="563" customFormat="1"/>
    <row r="319" s="563" customFormat="1"/>
    <row r="320" s="563" customFormat="1"/>
    <row r="321" s="563" customFormat="1"/>
    <row r="322" s="563" customFormat="1"/>
    <row r="323" s="563" customFormat="1"/>
    <row r="324" s="563" customFormat="1"/>
    <row r="325" s="563" customFormat="1"/>
    <row r="326" s="563" customFormat="1"/>
    <row r="327" s="563" customFormat="1"/>
    <row r="328" s="563" customFormat="1"/>
    <row r="329" s="563" customFormat="1"/>
    <row r="330" s="563" customFormat="1"/>
    <row r="331" s="563" customFormat="1"/>
    <row r="332" s="563" customFormat="1"/>
    <row r="333" s="563" customFormat="1"/>
    <row r="334" s="563" customFormat="1"/>
    <row r="335" s="563" customFormat="1"/>
    <row r="336" s="563" customFormat="1"/>
    <row r="337" s="563" customFormat="1"/>
    <row r="338" s="563" customFormat="1"/>
    <row r="339" s="563" customFormat="1"/>
    <row r="340" s="563" customFormat="1"/>
    <row r="341" s="563" customFormat="1"/>
    <row r="342" s="563" customFormat="1"/>
    <row r="343" s="563" customFormat="1"/>
    <row r="344" s="563" customFormat="1"/>
    <row r="345" s="563" customFormat="1"/>
    <row r="346" s="563" customFormat="1"/>
    <row r="347" s="563" customFormat="1"/>
    <row r="348" s="563" customFormat="1"/>
    <row r="349" s="563" customFormat="1"/>
    <row r="350" s="563" customFormat="1"/>
    <row r="351" s="563" customFormat="1"/>
    <row r="352" s="563" customFormat="1"/>
    <row r="353" s="563" customFormat="1"/>
    <row r="354" s="563" customFormat="1"/>
    <row r="355" s="563" customFormat="1"/>
    <row r="356" s="563" customFormat="1"/>
    <row r="357" s="563" customFormat="1"/>
    <row r="358" s="563" customFormat="1"/>
    <row r="359" s="563" customFormat="1"/>
    <row r="360" s="563" customFormat="1"/>
    <row r="361" s="563" customFormat="1"/>
    <row r="362" s="563" customFormat="1"/>
    <row r="363" s="563" customFormat="1"/>
    <row r="364" s="563" customFormat="1"/>
    <row r="365" s="563" customFormat="1"/>
    <row r="366" s="563" customFormat="1"/>
    <row r="367" s="563" customFormat="1"/>
    <row r="368" s="563" customFormat="1"/>
    <row r="369" s="563" customFormat="1"/>
    <row r="370" s="563" customFormat="1"/>
    <row r="371" s="563" customFormat="1"/>
    <row r="372" s="563" customFormat="1"/>
    <row r="373" s="563" customFormat="1"/>
    <row r="374" s="563" customFormat="1"/>
    <row r="375" s="563" customFormat="1"/>
    <row r="376" s="563" customFormat="1"/>
    <row r="377" s="563" customFormat="1"/>
    <row r="378" s="563" customFormat="1"/>
    <row r="379" s="563" customFormat="1"/>
    <row r="380" s="563" customFormat="1"/>
    <row r="381" s="563" customFormat="1"/>
    <row r="382" s="563" customFormat="1"/>
    <row r="383" s="563" customFormat="1"/>
    <row r="384" s="563" customFormat="1"/>
    <row r="385" s="563" customFormat="1"/>
    <row r="386" s="563" customFormat="1"/>
    <row r="387" s="563" customFormat="1"/>
    <row r="388" s="563" customFormat="1"/>
    <row r="389" s="563" customFormat="1"/>
    <row r="390" s="563" customFormat="1"/>
    <row r="391" s="563" customFormat="1"/>
    <row r="392" s="563" customFormat="1"/>
    <row r="393" s="563" customFormat="1"/>
    <row r="394" s="563" customFormat="1"/>
    <row r="395" s="563" customFormat="1"/>
    <row r="396" s="563" customFormat="1"/>
    <row r="397" s="563" customFormat="1"/>
    <row r="398" s="563" customFormat="1"/>
    <row r="399" s="563" customFormat="1"/>
    <row r="400" s="563" customFormat="1"/>
    <row r="401" s="563" customFormat="1"/>
    <row r="402" s="563" customFormat="1"/>
    <row r="403" s="563" customFormat="1"/>
    <row r="404" s="563" customFormat="1"/>
    <row r="405" s="563" customFormat="1"/>
    <row r="406" s="563" customFormat="1"/>
    <row r="407" s="563" customFormat="1"/>
    <row r="408" s="563" customFormat="1"/>
    <row r="409" s="563" customFormat="1"/>
    <row r="410" s="563" customFormat="1"/>
    <row r="411" s="563" customFormat="1"/>
    <row r="412" s="563" customFormat="1"/>
    <row r="413" s="563" customFormat="1"/>
    <row r="414" s="563" customFormat="1"/>
    <row r="415" s="563" customFormat="1"/>
    <row r="416" s="563" customFormat="1"/>
    <row r="417" s="563" customFormat="1"/>
    <row r="418" s="563" customFormat="1"/>
    <row r="419" s="563" customFormat="1"/>
    <row r="420" s="563" customFormat="1"/>
    <row r="421" s="563" customFormat="1"/>
    <row r="422" s="563" customFormat="1"/>
    <row r="423" s="563" customFormat="1"/>
    <row r="424" s="563" customFormat="1"/>
    <row r="425" s="563" customFormat="1"/>
    <row r="426" s="563" customFormat="1"/>
    <row r="427" s="563" customFormat="1"/>
    <row r="428" s="563" customFormat="1"/>
    <row r="429" s="563" customFormat="1"/>
    <row r="430" s="563" customFormat="1"/>
    <row r="431" s="563" customFormat="1"/>
    <row r="432" s="563" customFormat="1"/>
    <row r="433" s="563" customFormat="1"/>
    <row r="434" s="563" customFormat="1"/>
    <row r="435" s="563" customFormat="1"/>
    <row r="436" s="563" customFormat="1"/>
    <row r="437" s="563" customFormat="1"/>
    <row r="438" s="563" customFormat="1"/>
    <row r="439" s="563" customFormat="1"/>
    <row r="440" s="563" customFormat="1"/>
    <row r="441" s="563" customFormat="1"/>
    <row r="442" s="563" customFormat="1"/>
    <row r="443" s="563" customFormat="1"/>
    <row r="444" s="563" customFormat="1"/>
    <row r="445" s="563" customFormat="1"/>
    <row r="446" s="563" customFormat="1"/>
    <row r="447" s="563" customFormat="1"/>
    <row r="448" s="563" customFormat="1"/>
    <row r="449" s="563" customFormat="1"/>
    <row r="450" s="563" customFormat="1"/>
    <row r="451" s="563" customFormat="1"/>
    <row r="452" s="563" customFormat="1"/>
    <row r="453" s="563" customFormat="1"/>
    <row r="454" s="563" customFormat="1"/>
    <row r="455" s="563" customFormat="1"/>
    <row r="456" s="563" customFormat="1"/>
    <row r="457" s="563" customFormat="1"/>
    <row r="458" s="563" customFormat="1"/>
    <row r="459" s="563" customFormat="1"/>
    <row r="460" s="563" customFormat="1"/>
    <row r="461" s="563" customFormat="1"/>
    <row r="462" s="563" customFormat="1"/>
    <row r="463" s="563" customFormat="1"/>
    <row r="464" s="563" customFormat="1"/>
    <row r="465" s="563" customFormat="1"/>
    <row r="466" s="563" customFormat="1"/>
    <row r="467" s="563" customFormat="1"/>
    <row r="468" s="563" customFormat="1"/>
    <row r="469" s="563" customFormat="1"/>
    <row r="470" s="563" customFormat="1"/>
    <row r="471" s="563" customFormat="1"/>
    <row r="472" s="563" customFormat="1"/>
    <row r="473" s="563" customFormat="1"/>
    <row r="474" s="563" customFormat="1"/>
    <row r="475" s="563" customFormat="1"/>
    <row r="476" s="563" customFormat="1"/>
    <row r="477" s="563" customFormat="1"/>
    <row r="478" s="563" customFormat="1"/>
    <row r="479" s="563" customFormat="1"/>
    <row r="480" s="563" customFormat="1"/>
    <row r="481" s="563" customFormat="1"/>
    <row r="482" s="563" customFormat="1"/>
    <row r="483" s="563" customFormat="1"/>
    <row r="484" s="563" customFormat="1"/>
    <row r="485" s="563" customFormat="1"/>
    <row r="486" s="563" customFormat="1"/>
    <row r="487" s="563" customFormat="1"/>
    <row r="488" s="563" customFormat="1"/>
    <row r="489" s="563" customFormat="1"/>
    <row r="490" s="563" customFormat="1"/>
    <row r="491" s="563" customFormat="1"/>
    <row r="492" s="563" customFormat="1"/>
    <row r="493" s="563" customFormat="1"/>
    <row r="494" s="563" customFormat="1"/>
    <row r="495" s="563" customFormat="1"/>
    <row r="496" s="563" customFormat="1"/>
    <row r="497" s="563" customFormat="1"/>
    <row r="498" s="563" customFormat="1"/>
    <row r="499" s="563" customFormat="1"/>
    <row r="500" s="563" customFormat="1"/>
    <row r="501" s="563" customFormat="1"/>
    <row r="502" s="563" customFormat="1"/>
    <row r="503" s="563" customFormat="1"/>
    <row r="504" s="563" customFormat="1"/>
    <row r="505" s="563" customFormat="1"/>
    <row r="506" s="563" customFormat="1"/>
    <row r="507" s="563" customFormat="1"/>
    <row r="508" s="563" customFormat="1"/>
    <row r="509" s="563" customFormat="1"/>
    <row r="510" s="563" customFormat="1"/>
    <row r="511" s="563" customFormat="1"/>
    <row r="512" s="563" customFormat="1"/>
    <row r="513" s="563" customFormat="1"/>
    <row r="514" s="563" customFormat="1"/>
    <row r="515" s="563" customFormat="1"/>
    <row r="516" s="563" customFormat="1"/>
    <row r="517" s="563" customFormat="1"/>
    <row r="518" s="563" customFormat="1"/>
    <row r="519" s="563" customFormat="1"/>
    <row r="520" s="563" customFormat="1"/>
    <row r="521" s="563" customFormat="1"/>
    <row r="522" s="563" customFormat="1"/>
    <row r="523" s="563" customFormat="1"/>
    <row r="524" s="563" customFormat="1"/>
    <row r="525" s="563" customFormat="1"/>
    <row r="526" s="563" customFormat="1"/>
    <row r="527" s="563" customFormat="1"/>
    <row r="528" s="563" customFormat="1"/>
    <row r="529" s="563" customFormat="1"/>
    <row r="530" s="563" customFormat="1"/>
    <row r="531" s="563" customFormat="1"/>
    <row r="532" s="563" customFormat="1"/>
    <row r="533" s="563" customFormat="1"/>
    <row r="534" s="563" customFormat="1"/>
    <row r="535" s="563" customFormat="1"/>
    <row r="536" s="563" customFormat="1"/>
    <row r="537" s="563" customFormat="1"/>
    <row r="538" s="563" customFormat="1"/>
    <row r="539" s="563" customFormat="1"/>
    <row r="540" s="563" customFormat="1"/>
    <row r="541" s="563" customFormat="1"/>
    <row r="542" s="563" customFormat="1"/>
    <row r="543" s="563" customFormat="1"/>
    <row r="544" s="563" customFormat="1"/>
    <row r="545" s="563" customFormat="1"/>
    <row r="546" s="563" customFormat="1"/>
    <row r="547" s="563" customFormat="1"/>
    <row r="548" s="563" customFormat="1"/>
    <row r="549" s="563" customFormat="1"/>
    <row r="550" s="563" customFormat="1"/>
    <row r="551" s="563" customFormat="1"/>
    <row r="552" s="563" customFormat="1"/>
    <row r="553" s="563" customFormat="1"/>
    <row r="554" s="563" customFormat="1"/>
    <row r="555" s="563" customFormat="1"/>
    <row r="556" s="563" customFormat="1"/>
    <row r="557" s="563" customFormat="1"/>
    <row r="558" s="563" customFormat="1"/>
    <row r="559" s="563" customFormat="1"/>
    <row r="560" s="563" customFormat="1"/>
    <row r="561" s="563" customFormat="1"/>
    <row r="562" s="563" customFormat="1"/>
    <row r="563" s="563" customFormat="1"/>
    <row r="564" s="563" customFormat="1"/>
    <row r="565" s="563" customFormat="1"/>
    <row r="566" s="563" customFormat="1"/>
    <row r="567" s="563" customFormat="1"/>
    <row r="568" s="563" customFormat="1"/>
    <row r="569" s="563" customFormat="1"/>
    <row r="570" s="563" customFormat="1"/>
    <row r="571" s="563" customFormat="1"/>
    <row r="572" s="563" customFormat="1"/>
    <row r="573" s="563" customFormat="1"/>
    <row r="574" s="563" customFormat="1"/>
    <row r="575" s="563" customFormat="1"/>
    <row r="576" s="563" customFormat="1"/>
    <row r="577" s="563" customFormat="1"/>
    <row r="578" s="563" customFormat="1"/>
    <row r="579" s="563" customFormat="1"/>
    <row r="580" s="563" customFormat="1"/>
    <row r="581" s="563" customFormat="1"/>
    <row r="582" s="563" customFormat="1"/>
    <row r="583" s="563" customFormat="1"/>
    <row r="584" s="563" customFormat="1"/>
    <row r="585" s="563" customFormat="1"/>
    <row r="586" s="563" customFormat="1"/>
    <row r="587" s="563" customFormat="1"/>
    <row r="588" s="563" customFormat="1"/>
    <row r="589" s="563" customFormat="1"/>
    <row r="590" s="563" customFormat="1"/>
    <row r="591" s="563" customFormat="1"/>
    <row r="592" s="563" customFormat="1"/>
    <row r="593" s="563" customFormat="1"/>
    <row r="594" s="563" customFormat="1"/>
    <row r="595" s="563" customFormat="1"/>
    <row r="596" s="563" customFormat="1"/>
    <row r="597" s="563" customFormat="1"/>
    <row r="598" s="563" customFormat="1"/>
    <row r="599" s="563" customFormat="1"/>
    <row r="600" s="563" customFormat="1"/>
    <row r="601" s="563" customFormat="1"/>
    <row r="602" s="563" customFormat="1"/>
    <row r="603" s="563" customFormat="1"/>
    <row r="604" s="563" customFormat="1"/>
    <row r="605" s="563" customFormat="1"/>
    <row r="606" s="563" customFormat="1"/>
    <row r="607" s="563" customFormat="1"/>
    <row r="608" s="563" customFormat="1"/>
    <row r="609" s="563" customFormat="1"/>
    <row r="610" s="563" customFormat="1"/>
    <row r="611" s="563" customFormat="1"/>
    <row r="612" s="563" customFormat="1"/>
    <row r="613" s="563" customFormat="1"/>
    <row r="614" s="563" customFormat="1"/>
    <row r="615" s="563" customFormat="1"/>
    <row r="616" s="563" customFormat="1"/>
    <row r="617" s="563" customFormat="1"/>
    <row r="618" s="563" customFormat="1"/>
    <row r="619" s="563" customFormat="1"/>
    <row r="620" s="563" customFormat="1"/>
    <row r="621" s="563" customFormat="1"/>
    <row r="622" s="563" customFormat="1"/>
    <row r="623" s="563" customFormat="1"/>
    <row r="624" s="563" customFormat="1"/>
    <row r="625" s="563" customFormat="1"/>
    <row r="626" s="563" customFormat="1"/>
    <row r="627" s="563" customFormat="1"/>
    <row r="628" s="563" customFormat="1"/>
    <row r="629" s="563" customFormat="1"/>
    <row r="630" s="563" customFormat="1"/>
    <row r="631" s="563" customFormat="1"/>
    <row r="632" s="563" customFormat="1"/>
    <row r="633" s="563" customFormat="1"/>
    <row r="634" s="563" customFormat="1"/>
    <row r="635" s="563" customFormat="1"/>
    <row r="636" s="563" customFormat="1"/>
    <row r="637" s="563" customFormat="1"/>
    <row r="638" s="563" customFormat="1"/>
    <row r="639" s="563" customFormat="1"/>
    <row r="640" s="563" customFormat="1"/>
    <row r="641" s="563" customFormat="1"/>
    <row r="642" s="563" customFormat="1"/>
    <row r="643" s="563" customFormat="1"/>
    <row r="644" s="563" customFormat="1"/>
    <row r="645" s="563" customFormat="1"/>
    <row r="646" s="563" customFormat="1"/>
    <row r="647" s="563" customFormat="1"/>
    <row r="648" s="563" customFormat="1"/>
    <row r="649" s="563" customFormat="1"/>
    <row r="650" s="563" customFormat="1"/>
    <row r="651" s="563" customFormat="1"/>
    <row r="652" s="563" customFormat="1"/>
    <row r="653" s="563" customFormat="1"/>
    <row r="654" s="563" customFormat="1"/>
    <row r="655" s="563" customFormat="1"/>
    <row r="656" s="563" customFormat="1"/>
    <row r="657" s="563" customFormat="1"/>
    <row r="658" s="563" customFormat="1"/>
    <row r="659" s="563" customFormat="1"/>
    <row r="660" s="563" customFormat="1"/>
    <row r="661" s="563" customFormat="1"/>
    <row r="662" s="563" customFormat="1"/>
    <row r="663" s="563" customFormat="1"/>
    <row r="664" s="563" customFormat="1"/>
    <row r="665" s="563" customFormat="1"/>
    <row r="666" s="563" customFormat="1"/>
    <row r="667" s="563" customFormat="1"/>
    <row r="668" s="563" customFormat="1"/>
    <row r="669" s="563" customFormat="1"/>
    <row r="670" s="563" customFormat="1"/>
    <row r="671" s="563" customFormat="1"/>
    <row r="672" s="563" customFormat="1"/>
    <row r="673" s="563" customFormat="1"/>
    <row r="674" s="563" customFormat="1"/>
    <row r="675" s="563" customFormat="1"/>
    <row r="676" s="563" customFormat="1"/>
    <row r="677" s="563" customFormat="1"/>
    <row r="678" s="563" customFormat="1"/>
    <row r="679" s="563" customFormat="1"/>
    <row r="680" s="563" customFormat="1"/>
    <row r="681" s="563" customFormat="1"/>
    <row r="682" s="563" customFormat="1"/>
    <row r="683" s="563" customFormat="1"/>
    <row r="684" s="563" customFormat="1"/>
    <row r="685" s="563" customFormat="1"/>
    <row r="686" s="563" customFormat="1"/>
    <row r="687" s="563" customFormat="1"/>
    <row r="688" s="563" customFormat="1"/>
    <row r="689" s="563" customFormat="1"/>
    <row r="690" s="563" customFormat="1"/>
    <row r="691" s="563" customFormat="1"/>
    <row r="692" s="563" customFormat="1"/>
    <row r="693" s="563" customFormat="1"/>
    <row r="694" s="563" customFormat="1"/>
    <row r="695" s="563" customFormat="1"/>
    <row r="696" s="563" customFormat="1"/>
    <row r="697" s="563" customFormat="1"/>
    <row r="698" s="563" customFormat="1"/>
    <row r="699" s="563" customFormat="1"/>
    <row r="700" s="563" customFormat="1"/>
    <row r="701" s="563" customFormat="1"/>
    <row r="702" s="563" customFormat="1"/>
    <row r="703" s="563" customFormat="1"/>
    <row r="704" s="563" customFormat="1"/>
    <row r="705" s="563" customFormat="1"/>
    <row r="706" s="563" customFormat="1"/>
    <row r="707" s="563" customFormat="1"/>
    <row r="708" s="563" customFormat="1"/>
    <row r="709" s="563" customFormat="1"/>
    <row r="710" s="563" customFormat="1"/>
    <row r="711" s="563" customFormat="1"/>
    <row r="712" s="563" customFormat="1"/>
    <row r="713" s="563" customFormat="1"/>
    <row r="714" s="563" customFormat="1"/>
    <row r="715" s="563" customFormat="1"/>
    <row r="716" s="563" customFormat="1"/>
    <row r="717" s="563" customFormat="1"/>
    <row r="718" s="563" customFormat="1"/>
    <row r="719" s="563" customFormat="1"/>
    <row r="720" s="563" customFormat="1"/>
    <row r="721" s="563" customFormat="1"/>
    <row r="722" s="563" customFormat="1"/>
    <row r="723" s="563" customFormat="1"/>
    <row r="724" s="563" customFormat="1"/>
    <row r="725" s="563" customFormat="1"/>
    <row r="726" s="563" customFormat="1"/>
    <row r="727" s="563" customFormat="1"/>
    <row r="728" s="563" customFormat="1"/>
    <row r="729" s="563" customFormat="1"/>
    <row r="730" s="563" customFormat="1"/>
    <row r="731" s="563" customFormat="1"/>
    <row r="732" s="563" customFormat="1"/>
    <row r="733" s="563" customFormat="1"/>
    <row r="734" s="563" customFormat="1"/>
    <row r="735" s="563" customFormat="1"/>
    <row r="736" s="563" customFormat="1"/>
    <row r="737" s="563" customFormat="1"/>
    <row r="738" s="563" customFormat="1"/>
    <row r="739" s="563" customFormat="1"/>
    <row r="740" s="563" customFormat="1"/>
    <row r="741" s="563" customFormat="1"/>
    <row r="742" s="563" customFormat="1"/>
    <row r="743" s="563" customFormat="1"/>
    <row r="744" s="563" customFormat="1"/>
    <row r="745" s="563" customFormat="1"/>
    <row r="746" s="563" customFormat="1"/>
    <row r="747" s="563" customFormat="1"/>
    <row r="748" s="563" customFormat="1"/>
    <row r="749" s="563" customFormat="1"/>
    <row r="750" s="563" customFormat="1"/>
    <row r="751" s="563" customFormat="1"/>
    <row r="752" s="563" customFormat="1"/>
    <row r="753" s="563" customFormat="1"/>
    <row r="754" s="563" customFormat="1"/>
    <row r="755" s="563" customFormat="1"/>
    <row r="756" s="563" customFormat="1"/>
    <row r="757" s="563" customFormat="1"/>
    <row r="758" s="563" customFormat="1"/>
    <row r="759" s="563" customFormat="1"/>
    <row r="760" s="563" customFormat="1"/>
    <row r="761" s="563" customFormat="1"/>
    <row r="762" s="563" customFormat="1"/>
    <row r="763" s="563" customFormat="1"/>
    <row r="764" s="563" customFormat="1"/>
    <row r="765" s="563" customFormat="1"/>
    <row r="766" s="563" customFormat="1"/>
    <row r="767" s="563" customFormat="1"/>
    <row r="768" s="563" customFormat="1"/>
    <row r="769" s="563" customFormat="1"/>
    <row r="770" s="563" customFormat="1"/>
    <row r="771" s="563" customFormat="1"/>
    <row r="772" s="563" customFormat="1"/>
    <row r="773" s="563" customFormat="1"/>
    <row r="774" s="563" customFormat="1"/>
    <row r="775" s="563" customFormat="1"/>
    <row r="776" s="563" customFormat="1"/>
    <row r="777" s="563" customFormat="1"/>
    <row r="778" s="563" customFormat="1"/>
    <row r="779" s="563" customFormat="1"/>
    <row r="780" s="563" customFormat="1"/>
    <row r="781" s="563" customFormat="1"/>
    <row r="782" s="563" customFormat="1"/>
    <row r="783" s="563" customFormat="1"/>
    <row r="784" s="563" customFormat="1"/>
    <row r="785" s="563" customFormat="1"/>
    <row r="786" s="563" customFormat="1"/>
    <row r="787" s="563" customFormat="1"/>
    <row r="788" s="563" customFormat="1"/>
    <row r="789" s="563" customFormat="1"/>
    <row r="790" s="563" customFormat="1"/>
    <row r="791" s="563" customFormat="1"/>
    <row r="792" s="563" customFormat="1"/>
    <row r="793" s="563" customFormat="1"/>
    <row r="794" s="563" customFormat="1"/>
    <row r="795" s="563" customFormat="1"/>
    <row r="796" s="563" customFormat="1"/>
    <row r="797" s="563" customFormat="1"/>
    <row r="798" s="563" customFormat="1"/>
    <row r="799" s="563" customFormat="1"/>
    <row r="800" s="563" customFormat="1"/>
    <row r="801" s="563" customFormat="1"/>
    <row r="802" s="563" customFormat="1"/>
    <row r="803" s="563" customFormat="1"/>
    <row r="804" s="563" customFormat="1"/>
    <row r="805" s="563" customFormat="1"/>
    <row r="806" s="563" customFormat="1"/>
    <row r="807" s="563" customFormat="1"/>
    <row r="808" s="563" customFormat="1"/>
    <row r="809" s="563" customFormat="1"/>
    <row r="810" s="563" customFormat="1"/>
    <row r="811" s="563" customFormat="1"/>
    <row r="812" s="563" customFormat="1"/>
    <row r="813" s="563" customFormat="1"/>
    <row r="814" s="563" customFormat="1"/>
    <row r="815" s="563" customFormat="1"/>
    <row r="816" s="563" customFormat="1"/>
    <row r="817" s="563" customFormat="1"/>
    <row r="818" s="563" customFormat="1"/>
    <row r="819" s="563" customFormat="1"/>
    <row r="820" s="563" customFormat="1"/>
    <row r="821" s="563" customFormat="1"/>
    <row r="822" s="563" customFormat="1"/>
    <row r="823" s="563" customFormat="1"/>
    <row r="824" s="563" customFormat="1"/>
    <row r="825" s="563" customFormat="1"/>
    <row r="826" s="563" customFormat="1"/>
    <row r="827" s="563" customFormat="1"/>
    <row r="828" s="563" customFormat="1"/>
    <row r="829" s="563" customFormat="1"/>
    <row r="830" s="563" customFormat="1"/>
    <row r="831" s="563" customFormat="1"/>
    <row r="832" s="563" customFormat="1"/>
    <row r="833" s="563" customFormat="1"/>
    <row r="834" s="563" customFormat="1"/>
    <row r="835" s="563" customFormat="1"/>
    <row r="836" s="563" customFormat="1"/>
    <row r="837" s="563" customFormat="1"/>
    <row r="838" s="563" customFormat="1"/>
    <row r="839" s="563" customFormat="1"/>
    <row r="840" s="563" customFormat="1"/>
    <row r="841" s="563" customFormat="1"/>
    <row r="842" s="563" customFormat="1"/>
    <row r="843" s="563" customFormat="1"/>
    <row r="844" s="563" customFormat="1"/>
    <row r="845" s="563" customFormat="1"/>
    <row r="846" s="563" customFormat="1"/>
    <row r="847" s="563" customFormat="1"/>
    <row r="848" s="563" customFormat="1"/>
    <row r="849" s="563" customFormat="1"/>
    <row r="850" s="563" customFormat="1"/>
    <row r="851" s="563" customFormat="1"/>
    <row r="852" s="563" customFormat="1"/>
    <row r="853" s="563" customFormat="1"/>
    <row r="854" s="563" customFormat="1"/>
    <row r="855" s="563" customFormat="1"/>
    <row r="856" s="563" customFormat="1"/>
    <row r="857" s="563" customFormat="1"/>
    <row r="858" s="563" customFormat="1"/>
    <row r="859" s="563" customFormat="1"/>
    <row r="860" s="563" customFormat="1"/>
    <row r="861" s="563" customFormat="1"/>
    <row r="862" s="563" customFormat="1"/>
    <row r="863" s="563" customFormat="1"/>
    <row r="864" s="563" customFormat="1"/>
    <row r="865" s="563" customFormat="1"/>
    <row r="866" s="563" customFormat="1"/>
    <row r="867" s="563" customFormat="1"/>
    <row r="868" s="563" customFormat="1"/>
    <row r="869" s="563" customFormat="1"/>
    <row r="870" s="563" customFormat="1"/>
    <row r="871" s="563" customFormat="1"/>
    <row r="872" s="563" customFormat="1"/>
    <row r="873" s="563" customFormat="1"/>
    <row r="874" s="563" customFormat="1"/>
    <row r="875" s="563" customFormat="1"/>
    <row r="876" s="563" customFormat="1"/>
    <row r="877" s="563" customFormat="1"/>
    <row r="878" s="563" customFormat="1"/>
    <row r="879" s="563" customFormat="1"/>
    <row r="880" s="563" customFormat="1"/>
    <row r="881" s="563" customFormat="1"/>
    <row r="882" s="563" customFormat="1"/>
    <row r="883" s="563" customFormat="1"/>
    <row r="884" s="563" customFormat="1"/>
    <row r="885" s="563" customFormat="1"/>
    <row r="886" s="563" customFormat="1"/>
    <row r="887" s="563" customFormat="1"/>
    <row r="888" s="563" customFormat="1"/>
    <row r="889" s="563" customFormat="1"/>
    <row r="890" s="563" customFormat="1"/>
    <row r="891" s="563" customFormat="1"/>
    <row r="892" s="563" customFormat="1"/>
    <row r="893" s="563" customFormat="1"/>
    <row r="894" s="563" customFormat="1"/>
    <row r="895" s="563" customFormat="1"/>
    <row r="896" s="563" customFormat="1"/>
    <row r="897" s="563" customFormat="1"/>
    <row r="898" s="563" customFormat="1"/>
    <row r="899" s="563" customFormat="1"/>
    <row r="900" s="563" customFormat="1"/>
    <row r="901" s="563" customFormat="1"/>
    <row r="902" s="563" customFormat="1"/>
    <row r="903" s="563" customFormat="1"/>
    <row r="904" s="563" customFormat="1"/>
    <row r="905" s="563" customFormat="1"/>
    <row r="906" s="563" customFormat="1"/>
    <row r="907" s="563" customFormat="1"/>
    <row r="908" s="563" customFormat="1"/>
    <row r="909" s="563" customFormat="1"/>
    <row r="910" s="563" customFormat="1"/>
    <row r="911" s="563" customFormat="1"/>
    <row r="912" s="563" customFormat="1"/>
    <row r="913" s="563" customFormat="1"/>
    <row r="914" s="563" customFormat="1"/>
    <row r="915" s="563" customFormat="1"/>
    <row r="916" s="563" customFormat="1"/>
    <row r="917" s="563" customFormat="1"/>
    <row r="918" s="563" customFormat="1"/>
    <row r="919" s="563" customFormat="1"/>
    <row r="920" s="563" customFormat="1"/>
    <row r="921" s="563" customFormat="1"/>
    <row r="922" s="563" customFormat="1"/>
    <row r="923" s="563" customFormat="1"/>
    <row r="924" s="563" customFormat="1"/>
    <row r="925" s="563" customFormat="1"/>
    <row r="926" s="563" customFormat="1"/>
    <row r="927" s="563" customFormat="1"/>
    <row r="928" s="563" customFormat="1"/>
    <row r="929" s="563" customFormat="1"/>
    <row r="930" s="563" customFormat="1"/>
    <row r="931" s="563" customFormat="1"/>
    <row r="932" s="563" customFormat="1"/>
    <row r="933" s="563" customFormat="1"/>
    <row r="934" s="563" customFormat="1"/>
    <row r="935" s="563" customFormat="1"/>
    <row r="936" s="563" customFormat="1"/>
    <row r="937" s="563" customFormat="1"/>
    <row r="938" s="563" customFormat="1"/>
    <row r="939" s="563" customFormat="1"/>
    <row r="940" s="563" customFormat="1"/>
    <row r="941" s="563" customFormat="1"/>
    <row r="942" s="563" customFormat="1"/>
    <row r="943" s="563" customFormat="1"/>
    <row r="944" s="563" customFormat="1"/>
    <row r="945" s="563" customFormat="1"/>
    <row r="946" s="563" customFormat="1"/>
    <row r="947" s="563" customFormat="1"/>
    <row r="948" s="563" customFormat="1"/>
    <row r="949" s="563" customFormat="1"/>
    <row r="950" s="563" customFormat="1"/>
    <row r="951" s="563" customFormat="1"/>
    <row r="952" s="563" customFormat="1"/>
    <row r="953" s="563" customFormat="1"/>
    <row r="954" s="563" customFormat="1"/>
    <row r="955" s="563" customFormat="1"/>
    <row r="956" s="563" customFormat="1"/>
    <row r="957" s="563" customFormat="1"/>
    <row r="958" s="563" customFormat="1"/>
    <row r="959" s="563" customFormat="1"/>
    <row r="960" s="563" customFormat="1"/>
    <row r="961" s="563" customFormat="1"/>
    <row r="962" s="563" customFormat="1"/>
    <row r="963" s="563" customFormat="1"/>
    <row r="964" s="563" customFormat="1"/>
    <row r="965" s="563" customFormat="1"/>
    <row r="966" s="563" customFormat="1"/>
    <row r="967" s="563" customFormat="1"/>
    <row r="968" s="563" customFormat="1"/>
    <row r="969" s="563" customFormat="1"/>
    <row r="970" s="563" customFormat="1"/>
    <row r="971" s="563" customFormat="1"/>
    <row r="972" s="563" customFormat="1"/>
    <row r="973" s="563" customFormat="1"/>
    <row r="974" s="563" customFormat="1"/>
    <row r="975" s="563" customFormat="1"/>
    <row r="976" s="563" customFormat="1"/>
    <row r="977" s="563" customFormat="1"/>
    <row r="978" s="563" customFormat="1"/>
    <row r="979" s="563" customFormat="1"/>
    <row r="980" s="563" customFormat="1"/>
    <row r="981" s="563" customFormat="1"/>
    <row r="982" s="563" customFormat="1"/>
    <row r="983" s="563" customFormat="1"/>
    <row r="984" s="563" customFormat="1"/>
    <row r="985" s="563" customFormat="1"/>
    <row r="986" s="563" customFormat="1"/>
    <row r="987" s="563" customFormat="1"/>
    <row r="988" s="563" customFormat="1"/>
    <row r="989" s="563" customFormat="1"/>
    <row r="990" s="563" customFormat="1"/>
    <row r="991" s="563" customFormat="1"/>
    <row r="992" s="563" customFormat="1"/>
    <row r="993" s="563" customFormat="1"/>
    <row r="994" s="563" customFormat="1"/>
    <row r="995" s="563" customFormat="1"/>
    <row r="996" s="563" customFormat="1"/>
    <row r="997" s="563" customFormat="1"/>
    <row r="998" s="563" customFormat="1"/>
    <row r="999" s="563" customFormat="1"/>
    <row r="1000" s="563" customFormat="1"/>
    <row r="1001" s="563" customFormat="1"/>
    <row r="1002" s="563" customFormat="1"/>
    <row r="1003" s="563" customFormat="1"/>
    <row r="1004" s="563" customFormat="1"/>
    <row r="1005" s="563" customFormat="1"/>
    <row r="1006" s="563" customFormat="1"/>
    <row r="1007" s="563" customFormat="1"/>
    <row r="1008" s="563" customFormat="1"/>
    <row r="1009" s="563" customFormat="1"/>
    <row r="1010" s="563" customFormat="1"/>
    <row r="1011" s="563" customFormat="1"/>
    <row r="1012" s="563" customFormat="1"/>
    <row r="1013" s="563" customFormat="1"/>
    <row r="1014" s="563" customFormat="1"/>
    <row r="1015" s="563" customFormat="1"/>
    <row r="1016" s="563" customFormat="1"/>
    <row r="1017" s="563" customFormat="1"/>
    <row r="1018" s="563" customFormat="1"/>
    <row r="1019" s="563" customFormat="1"/>
    <row r="1020" s="563" customFormat="1"/>
    <row r="1021" s="563" customFormat="1"/>
    <row r="1022" s="563" customFormat="1"/>
    <row r="1023" s="563" customFormat="1"/>
    <row r="1024" s="563" customFormat="1"/>
    <row r="1025" s="563" customFormat="1"/>
    <row r="1026" s="563" customFormat="1"/>
    <row r="1027" s="563" customFormat="1"/>
    <row r="1028" s="563" customFormat="1"/>
    <row r="1029" s="563" customFormat="1"/>
    <row r="1030" s="563" customFormat="1"/>
    <row r="1031" s="563" customFormat="1"/>
    <row r="1032" s="563" customFormat="1"/>
    <row r="1033" s="563" customFormat="1"/>
    <row r="1034" s="563" customFormat="1"/>
    <row r="1035" s="563" customFormat="1"/>
    <row r="1036" s="563" customFormat="1"/>
    <row r="1037" s="563" customFormat="1"/>
    <row r="1038" s="563" customFormat="1"/>
    <row r="1039" s="563" customFormat="1"/>
    <row r="1040" s="563" customFormat="1"/>
    <row r="1041" s="563" customFormat="1"/>
    <row r="1042" s="563" customFormat="1"/>
    <row r="1043" s="563" customFormat="1"/>
    <row r="1044" s="563" customFormat="1"/>
    <row r="1045" s="563" customFormat="1"/>
    <row r="1046" s="563" customFormat="1"/>
    <row r="1047" s="563" customFormat="1"/>
    <row r="1048" s="563" customFormat="1"/>
    <row r="1049" s="563" customFormat="1"/>
    <row r="1050" s="563" customFormat="1"/>
    <row r="1051" s="563" customFormat="1"/>
    <row r="1052" s="563" customFormat="1"/>
    <row r="1053" s="563" customFormat="1"/>
    <row r="1054" s="563" customFormat="1"/>
    <row r="1055" s="563" customFormat="1"/>
    <row r="1056" s="563" customFormat="1"/>
    <row r="1057" s="563" customFormat="1"/>
    <row r="1058" s="563" customFormat="1"/>
    <row r="1059" s="563" customFormat="1"/>
    <row r="1060" s="563" customFormat="1"/>
    <row r="1061" s="563" customFormat="1"/>
    <row r="1062" s="563" customFormat="1"/>
    <row r="1063" s="563" customFormat="1"/>
    <row r="1064" s="563" customFormat="1"/>
    <row r="1065" s="563" customFormat="1"/>
    <row r="1066" s="563" customFormat="1"/>
    <row r="1067" s="563" customFormat="1"/>
    <row r="1068" s="563" customFormat="1"/>
    <row r="1069" s="563" customFormat="1"/>
    <row r="1070" s="563" customFormat="1"/>
    <row r="1071" s="563" customFormat="1"/>
    <row r="1072" s="563" customFormat="1"/>
    <row r="1073" s="563" customFormat="1"/>
    <row r="1074" s="563" customFormat="1"/>
    <row r="1075" s="563" customFormat="1"/>
    <row r="1076" s="563" customFormat="1"/>
    <row r="1077" s="563" customFormat="1"/>
    <row r="1078" s="563" customFormat="1"/>
    <row r="1079" s="563" customFormat="1"/>
    <row r="1080" s="563" customFormat="1"/>
    <row r="1081" s="563" customFormat="1"/>
    <row r="1082" s="563" customFormat="1"/>
    <row r="1083" s="563" customFormat="1"/>
    <row r="1084" s="563" customFormat="1"/>
    <row r="1085" s="563" customFormat="1"/>
    <row r="1086" s="563" customFormat="1"/>
    <row r="1087" s="563" customFormat="1"/>
    <row r="1088" s="563" customFormat="1"/>
    <row r="1089" s="563" customFormat="1"/>
    <row r="1090" s="563" customFormat="1"/>
    <row r="1091" s="563" customFormat="1"/>
    <row r="1092" s="563" customFormat="1"/>
    <row r="1093" s="563" customFormat="1"/>
    <row r="1094" s="563" customFormat="1"/>
    <row r="1095" s="563" customFormat="1"/>
    <row r="1096" s="563" customFormat="1"/>
    <row r="1097" s="563" customFormat="1"/>
    <row r="1098" s="563" customFormat="1"/>
    <row r="1099" s="563" customFormat="1"/>
    <row r="1100" s="563" customFormat="1"/>
    <row r="1101" s="563" customFormat="1"/>
    <row r="1102" s="563" customFormat="1"/>
    <row r="1103" s="563" customFormat="1"/>
    <row r="1104" s="563" customFormat="1"/>
    <row r="1105" s="563" customFormat="1"/>
    <row r="1106" s="563" customFormat="1"/>
    <row r="1107" s="563" customFormat="1"/>
    <row r="1108" s="563" customFormat="1"/>
    <row r="1109" s="563" customFormat="1"/>
    <row r="1110" s="563" customFormat="1"/>
    <row r="1111" s="563" customFormat="1"/>
    <row r="1112" s="563" customFormat="1"/>
    <row r="1113" s="563" customFormat="1"/>
    <row r="1114" s="563" customFormat="1"/>
    <row r="1115" s="563" customFormat="1"/>
    <row r="1116" s="563" customFormat="1"/>
    <row r="1117" s="563" customFormat="1"/>
    <row r="1118" s="563" customFormat="1"/>
    <row r="1119" s="563" customFormat="1"/>
    <row r="1120" s="563" customFormat="1"/>
    <row r="1121" s="563" customFormat="1"/>
    <row r="1122" s="563" customFormat="1"/>
    <row r="1123" s="563" customFormat="1"/>
    <row r="1124" s="563" customFormat="1"/>
    <row r="1125" s="563" customFormat="1"/>
    <row r="1126" s="563" customFormat="1"/>
    <row r="1127" s="563" customFormat="1"/>
    <row r="1128" s="563" customFormat="1"/>
    <row r="1129" s="563" customFormat="1"/>
    <row r="1130" s="563" customFormat="1"/>
    <row r="1131" s="563" customFormat="1"/>
    <row r="1132" s="563" customFormat="1"/>
    <row r="1133" s="563" customFormat="1"/>
    <row r="1134" s="563" customFormat="1"/>
    <row r="1135" s="563" customFormat="1"/>
    <row r="1136" s="563" customFormat="1"/>
    <row r="1137" s="563" customFormat="1"/>
    <row r="1138" s="563" customFormat="1"/>
    <row r="1139" s="563" customFormat="1"/>
    <row r="1140" s="563" customFormat="1"/>
    <row r="1141" s="563" customFormat="1"/>
    <row r="1142" s="563" customFormat="1"/>
    <row r="1143" s="563" customFormat="1"/>
    <row r="1144" s="563" customFormat="1"/>
    <row r="1145" s="563" customFormat="1"/>
    <row r="1146" s="563" customFormat="1"/>
    <row r="1147" s="563" customFormat="1"/>
    <row r="1148" s="563" customFormat="1"/>
    <row r="1149" s="563" customFormat="1"/>
    <row r="1150" s="563" customFormat="1"/>
    <row r="1151" s="563" customFormat="1"/>
    <row r="1152" s="563" customFormat="1"/>
    <row r="1153" s="563" customFormat="1"/>
    <row r="1154" s="563" customFormat="1"/>
    <row r="1155" s="563" customFormat="1"/>
    <row r="1156" s="563" customFormat="1"/>
    <row r="1157" s="563" customFormat="1"/>
    <row r="1158" s="563" customFormat="1"/>
    <row r="1159" s="563" customFormat="1"/>
    <row r="1160" s="563" customFormat="1"/>
    <row r="1161" s="563" customFormat="1"/>
    <row r="1162" s="563" customFormat="1"/>
    <row r="1163" s="563" customFormat="1"/>
    <row r="1164" s="563" customFormat="1"/>
    <row r="1165" s="563" customFormat="1"/>
    <row r="1166" s="563" customFormat="1"/>
    <row r="1167" s="563" customFormat="1"/>
    <row r="1168" s="563" customFormat="1"/>
    <row r="1169" s="563" customFormat="1"/>
    <row r="1170" s="563" customFormat="1"/>
    <row r="1171" s="563" customFormat="1"/>
    <row r="1172" s="563" customFormat="1"/>
    <row r="1173" s="563" customFormat="1"/>
    <row r="1174" s="563" customFormat="1"/>
    <row r="1175" s="563" customFormat="1"/>
    <row r="1176" s="563" customFormat="1"/>
    <row r="1177" s="563" customFormat="1"/>
    <row r="1178" s="563" customFormat="1"/>
    <row r="1179" s="563" customFormat="1"/>
    <row r="1180" s="563" customFormat="1"/>
    <row r="1181" s="563" customFormat="1"/>
    <row r="1182" s="563" customFormat="1"/>
    <row r="1183" s="563" customFormat="1"/>
    <row r="1184" s="563" customFormat="1"/>
    <row r="1185" s="563" customFormat="1"/>
    <row r="1186" s="563" customFormat="1"/>
    <row r="1187" s="563" customFormat="1"/>
    <row r="1188" s="563" customFormat="1"/>
    <row r="1189" s="563" customFormat="1"/>
    <row r="1190" s="563" customFormat="1"/>
    <row r="1191" s="563" customFormat="1"/>
    <row r="1192" s="563" customFormat="1"/>
    <row r="1193" s="563" customFormat="1"/>
    <row r="1194" s="563" customFormat="1"/>
    <row r="1195" s="563" customFormat="1"/>
    <row r="1196" s="563" customFormat="1"/>
    <row r="1197" s="563" customFormat="1"/>
    <row r="1198" s="563" customFormat="1"/>
    <row r="1199" s="563" customFormat="1"/>
    <row r="1200" s="563" customFormat="1"/>
    <row r="1201" s="563" customFormat="1"/>
    <row r="1202" s="563" customFormat="1"/>
    <row r="1203" s="563" customFormat="1"/>
    <row r="1204" s="563" customFormat="1"/>
    <row r="1205" s="563" customFormat="1"/>
    <row r="1206" s="563" customFormat="1"/>
    <row r="1207" s="563" customFormat="1"/>
    <row r="1208" s="563" customFormat="1"/>
    <row r="1209" s="563" customFormat="1"/>
    <row r="1210" s="563" customFormat="1"/>
    <row r="1211" s="563" customFormat="1"/>
    <row r="1212" s="563" customFormat="1"/>
    <row r="1213" s="563" customFormat="1"/>
    <row r="1214" s="563" customFormat="1"/>
    <row r="1215" s="563" customFormat="1"/>
    <row r="1216" s="563" customFormat="1"/>
    <row r="1217" s="563" customFormat="1"/>
    <row r="1218" s="563" customFormat="1"/>
    <row r="1219" s="563" customFormat="1"/>
    <row r="1220" s="563" customFormat="1"/>
    <row r="1221" s="563" customFormat="1"/>
    <row r="1222" s="563" customFormat="1"/>
    <row r="1223" s="563" customFormat="1"/>
    <row r="1224" s="563" customFormat="1"/>
    <row r="1225" s="563" customFormat="1"/>
    <row r="1226" s="563" customFormat="1"/>
    <row r="1227" s="563" customFormat="1"/>
    <row r="1228" s="563" customFormat="1"/>
    <row r="1229" s="563" customFormat="1"/>
    <row r="1230" s="563" customFormat="1"/>
    <row r="1231" s="563" customFormat="1"/>
    <row r="1232" s="563" customFormat="1"/>
    <row r="1233" s="563" customFormat="1"/>
    <row r="1234" s="563" customFormat="1"/>
    <row r="1235" s="563" customFormat="1"/>
    <row r="1236" s="563" customFormat="1"/>
    <row r="1237" s="563" customFormat="1"/>
    <row r="1238" s="563" customFormat="1"/>
    <row r="1239" s="563" customFormat="1"/>
    <row r="1240" s="563" customFormat="1"/>
    <row r="1241" s="563" customFormat="1"/>
    <row r="1242" s="563" customFormat="1"/>
    <row r="1243" s="563" customFormat="1"/>
    <row r="1244" s="563" customFormat="1"/>
    <row r="1245" s="563" customFormat="1"/>
    <row r="1246" s="563" customFormat="1"/>
    <row r="1247" s="563" customFormat="1"/>
    <row r="1248" s="563" customFormat="1"/>
    <row r="1249" s="563" customFormat="1"/>
    <row r="1250" s="563" customFormat="1"/>
    <row r="1251" s="563" customFormat="1"/>
    <row r="1252" s="563" customFormat="1"/>
    <row r="1253" s="563" customFormat="1"/>
    <row r="1254" s="563" customFormat="1"/>
    <row r="1255" s="563" customFormat="1"/>
    <row r="1256" s="563" customFormat="1"/>
    <row r="1257" s="563" customFormat="1"/>
    <row r="1258" s="563" customFormat="1"/>
    <row r="1259" s="563" customFormat="1"/>
    <row r="1260" s="563" customFormat="1"/>
    <row r="1261" s="563" customFormat="1"/>
    <row r="1262" s="563" customFormat="1"/>
    <row r="1263" s="563" customFormat="1"/>
    <row r="1264" s="563" customFormat="1"/>
    <row r="1265" s="563" customFormat="1"/>
    <row r="1266" s="563" customFormat="1"/>
    <row r="1267" s="563" customFormat="1"/>
    <row r="1268" s="563" customFormat="1"/>
    <row r="1269" s="563" customFormat="1"/>
    <row r="1270" s="563" customFormat="1"/>
    <row r="1271" s="563" customFormat="1"/>
    <row r="1272" s="563" customFormat="1"/>
    <row r="1273" s="563" customFormat="1"/>
    <row r="1274" s="563" customFormat="1"/>
    <row r="1275" s="563" customFormat="1"/>
    <row r="1276" s="563" customFormat="1"/>
    <row r="1277" s="563" customFormat="1"/>
    <row r="1278" s="563" customFormat="1"/>
    <row r="1279" s="563" customFormat="1"/>
    <row r="1280" s="563" customFormat="1"/>
    <row r="1281" s="563" customFormat="1"/>
    <row r="1282" s="563" customFormat="1"/>
    <row r="1283" s="563" customFormat="1"/>
    <row r="1284" s="563" customFormat="1"/>
    <row r="1285" s="563" customFormat="1"/>
    <row r="1286" s="563" customFormat="1"/>
    <row r="1287" s="563" customFormat="1"/>
    <row r="1288" s="563" customFormat="1"/>
    <row r="1289" s="563" customFormat="1"/>
    <row r="1290" s="563" customFormat="1"/>
    <row r="1291" s="563" customFormat="1"/>
    <row r="1292" s="563" customFormat="1"/>
    <row r="1293" s="563" customFormat="1"/>
    <row r="1294" s="563" customFormat="1"/>
    <row r="1295" s="563" customFormat="1"/>
    <row r="1296" s="563" customFormat="1"/>
    <row r="1297" s="563" customFormat="1"/>
    <row r="1298" s="563" customFormat="1"/>
    <row r="1299" s="563" customFormat="1"/>
    <row r="1300" s="563" customFormat="1"/>
    <row r="1301" s="563" customFormat="1"/>
    <row r="1302" s="563" customFormat="1"/>
    <row r="1303" s="563" customFormat="1"/>
    <row r="1304" s="563" customFormat="1"/>
    <row r="1305" s="563" customFormat="1"/>
    <row r="1306" s="563" customFormat="1"/>
    <row r="1307" s="563" customFormat="1"/>
    <row r="1308" s="563" customFormat="1"/>
    <row r="1309" s="563" customFormat="1"/>
    <row r="1310" s="563" customFormat="1"/>
    <row r="1311" s="563" customFormat="1"/>
    <row r="1312" s="563" customFormat="1"/>
    <row r="1313" s="563" customFormat="1"/>
    <row r="1314" s="563" customFormat="1"/>
    <row r="1315" s="563" customFormat="1"/>
    <row r="1316" s="563" customFormat="1"/>
    <row r="1317" s="563" customFormat="1"/>
    <row r="1318" s="563" customFormat="1"/>
    <row r="1319" s="563" customFormat="1"/>
    <row r="1320" s="563" customFormat="1"/>
    <row r="1321" s="563" customFormat="1"/>
    <row r="1322" s="563" customFormat="1"/>
    <row r="1323" s="563" customFormat="1"/>
    <row r="1324" s="563" customFormat="1"/>
    <row r="1325" s="563" customFormat="1"/>
    <row r="1326" s="563" customFormat="1"/>
    <row r="1327" s="563" customFormat="1"/>
    <row r="1328" s="563" customFormat="1"/>
    <row r="1329" s="563" customFormat="1"/>
    <row r="1330" s="563" customFormat="1"/>
    <row r="1331" s="563" customFormat="1"/>
    <row r="1332" s="563" customFormat="1"/>
    <row r="1333" s="563" customFormat="1"/>
    <row r="1334" s="563" customFormat="1"/>
    <row r="1335" s="563" customFormat="1"/>
    <row r="1336" s="563" customFormat="1"/>
    <row r="1337" s="563" customFormat="1"/>
    <row r="1338" s="563" customFormat="1"/>
    <row r="1339" s="563" customFormat="1"/>
    <row r="1340" s="563" customFormat="1"/>
    <row r="1341" s="563" customFormat="1"/>
    <row r="1342" s="563" customFormat="1"/>
    <row r="1343" s="563" customFormat="1"/>
    <row r="1344" s="563" customFormat="1"/>
    <row r="1345" s="563" customFormat="1"/>
    <row r="1346" s="563" customFormat="1"/>
    <row r="1347" s="563" customFormat="1"/>
    <row r="1348" s="563" customFormat="1"/>
    <row r="1349" s="563" customFormat="1"/>
    <row r="1350" s="563" customFormat="1"/>
    <row r="1351" s="563" customFormat="1"/>
    <row r="1352" s="563" customFormat="1"/>
    <row r="1353" s="563" customFormat="1"/>
    <row r="1354" s="563" customFormat="1"/>
    <row r="1355" s="563" customFormat="1"/>
    <row r="1356" s="563" customFormat="1"/>
    <row r="1357" s="563" customFormat="1"/>
    <row r="1358" s="563" customFormat="1"/>
    <row r="1359" s="563" customFormat="1"/>
    <row r="1360" s="563" customFormat="1"/>
    <row r="1361" s="563" customFormat="1"/>
    <row r="1362" s="563" customFormat="1"/>
    <row r="1363" s="563" customFormat="1"/>
    <row r="1364" s="563" customFormat="1"/>
    <row r="1365" s="563" customFormat="1"/>
    <row r="1366" s="563" customFormat="1"/>
    <row r="1367" s="563" customFormat="1"/>
    <row r="1368" s="563" customFormat="1"/>
    <row r="1369" s="563" customFormat="1"/>
    <row r="1370" s="563" customFormat="1"/>
    <row r="1371" s="563" customFormat="1"/>
    <row r="1372" s="563" customFormat="1"/>
    <row r="1373" s="563" customFormat="1"/>
    <row r="1374" s="563" customFormat="1"/>
    <row r="1375" s="563" customFormat="1"/>
    <row r="1376" s="563" customFormat="1"/>
    <row r="1377" s="563" customFormat="1"/>
    <row r="1378" s="563" customFormat="1"/>
    <row r="1379" s="563" customFormat="1"/>
    <row r="1380" s="563" customFormat="1"/>
    <row r="1381" s="563" customFormat="1"/>
    <row r="1382" s="563" customFormat="1"/>
    <row r="1383" s="563" customFormat="1"/>
    <row r="1384" s="563" customFormat="1"/>
    <row r="1385" s="563" customFormat="1"/>
    <row r="1386" s="563" customFormat="1"/>
    <row r="1387" s="563" customFormat="1"/>
    <row r="1388" s="563" customFormat="1"/>
    <row r="1389" s="563" customFormat="1"/>
    <row r="1390" s="563" customFormat="1"/>
    <row r="1391" s="563" customFormat="1"/>
    <row r="1392" s="563" customFormat="1"/>
    <row r="1393" s="563" customFormat="1"/>
    <row r="1394" s="563" customFormat="1"/>
    <row r="1395" s="563" customFormat="1"/>
    <row r="1396" s="563" customFormat="1"/>
    <row r="1397" s="563" customFormat="1"/>
    <row r="1398" s="563" customFormat="1"/>
    <row r="1399" s="563" customFormat="1"/>
    <row r="1400" s="563" customFormat="1"/>
    <row r="1401" s="563" customFormat="1"/>
    <row r="1402" s="563" customFormat="1"/>
    <row r="1403" s="563" customFormat="1"/>
    <row r="1404" s="563" customFormat="1"/>
    <row r="1405" s="563" customFormat="1"/>
    <row r="1406" s="563" customFormat="1"/>
    <row r="1407" s="563" customFormat="1"/>
    <row r="1408" s="563" customFormat="1"/>
    <row r="1409" s="563" customFormat="1"/>
    <row r="1410" s="563" customFormat="1"/>
    <row r="1411" s="563" customFormat="1"/>
    <row r="1412" s="563" customFormat="1"/>
    <row r="1413" s="563" customFormat="1"/>
    <row r="1414" s="563" customFormat="1"/>
    <row r="1415" s="563" customFormat="1"/>
    <row r="1416" s="563" customFormat="1"/>
    <row r="1417" s="563" customFormat="1"/>
    <row r="1418" s="563" customFormat="1"/>
    <row r="1419" s="563" customFormat="1"/>
    <row r="1420" s="563" customFormat="1"/>
    <row r="1421" s="563" customFormat="1"/>
    <row r="1422" s="563" customFormat="1"/>
    <row r="1423" s="563" customFormat="1"/>
    <row r="1424" s="563" customFormat="1"/>
    <row r="1425" s="563" customFormat="1"/>
    <row r="1426" s="563" customFormat="1"/>
    <row r="1427" s="563" customFormat="1"/>
    <row r="1428" s="563" customFormat="1"/>
    <row r="1429" s="563" customFormat="1"/>
    <row r="1430" s="563" customFormat="1"/>
    <row r="1431" s="563" customFormat="1"/>
    <row r="1432" s="563" customFormat="1"/>
    <row r="1433" s="563" customFormat="1"/>
    <row r="1434" s="563" customFormat="1"/>
    <row r="1435" s="563" customFormat="1"/>
    <row r="1436" s="563" customFormat="1"/>
    <row r="1437" s="563" customFormat="1"/>
    <row r="1438" s="563" customFormat="1"/>
    <row r="1439" s="563" customFormat="1"/>
    <row r="1440" s="563" customFormat="1"/>
    <row r="1441" s="563" customFormat="1"/>
    <row r="1442" s="563" customFormat="1"/>
    <row r="1443" s="563" customFormat="1"/>
    <row r="1444" s="563" customFormat="1"/>
    <row r="1445" s="563" customFormat="1"/>
    <row r="1446" s="563" customFormat="1"/>
    <row r="1447" s="563" customFormat="1"/>
    <row r="1448" s="563" customFormat="1"/>
    <row r="1449" s="563" customFormat="1"/>
    <row r="1450" s="563" customFormat="1"/>
    <row r="1451" s="563" customFormat="1"/>
    <row r="1452" s="563" customFormat="1"/>
    <row r="1453" s="563" customFormat="1"/>
    <row r="1454" s="563" customFormat="1"/>
    <row r="1455" s="563" customFormat="1"/>
    <row r="1456" s="563" customFormat="1"/>
    <row r="1457" s="563" customFormat="1"/>
    <row r="1458" s="563" customFormat="1"/>
    <row r="1459" s="563" customFormat="1"/>
    <row r="1460" s="563" customFormat="1"/>
    <row r="1461" s="563" customFormat="1"/>
    <row r="1462" s="563" customFormat="1"/>
    <row r="1463" s="563" customFormat="1"/>
    <row r="1464" s="563" customFormat="1"/>
    <row r="1465" s="563" customFormat="1"/>
    <row r="1466" s="563" customFormat="1"/>
    <row r="1467" s="563" customFormat="1"/>
    <row r="1468" s="563" customFormat="1"/>
    <row r="1469" s="563" customFormat="1"/>
    <row r="1470" s="563" customFormat="1"/>
    <row r="1471" s="563" customFormat="1"/>
    <row r="1472" s="563" customFormat="1"/>
    <row r="1473" s="563" customFormat="1"/>
    <row r="1474" s="563" customFormat="1"/>
    <row r="1475" s="563" customFormat="1"/>
    <row r="1476" s="563" customFormat="1"/>
    <row r="1477" s="563" customFormat="1"/>
    <row r="1478" s="563" customFormat="1"/>
    <row r="1479" s="563" customFormat="1"/>
    <row r="1480" s="563" customFormat="1"/>
    <row r="1481" s="563" customFormat="1"/>
    <row r="1482" s="563" customFormat="1"/>
    <row r="1483" s="563" customFormat="1"/>
    <row r="1484" s="563" customFormat="1"/>
    <row r="1485" s="563" customFormat="1"/>
    <row r="1486" s="563" customFormat="1"/>
    <row r="1487" s="563" customFormat="1"/>
    <row r="1488" s="563" customFormat="1"/>
    <row r="1489" s="563" customFormat="1"/>
    <row r="1490" s="563" customFormat="1"/>
    <row r="1491" s="563" customFormat="1"/>
    <row r="1492" s="563" customFormat="1"/>
    <row r="1493" s="563" customFormat="1"/>
    <row r="1494" s="563" customFormat="1"/>
    <row r="1495" s="563" customFormat="1"/>
    <row r="1496" s="563" customFormat="1"/>
    <row r="1497" s="563" customFormat="1"/>
    <row r="1498" s="563" customFormat="1"/>
    <row r="1499" s="563" customFormat="1"/>
    <row r="1500" s="563" customFormat="1"/>
    <row r="1501" s="563" customFormat="1"/>
    <row r="1502" s="563" customFormat="1"/>
    <row r="1503" s="563" customFormat="1"/>
    <row r="1504" s="563" customFormat="1"/>
    <row r="1505" s="563" customFormat="1"/>
    <row r="1506" s="563" customFormat="1"/>
    <row r="1507" s="563" customFormat="1"/>
    <row r="1508" s="563" customFormat="1"/>
    <row r="1509" s="563" customFormat="1"/>
    <row r="1510" s="563" customFormat="1"/>
    <row r="1511" s="563" customFormat="1"/>
    <row r="1512" s="563" customFormat="1"/>
    <row r="1513" s="563" customFormat="1"/>
    <row r="1514" s="563" customFormat="1"/>
    <row r="1515" s="563" customFormat="1"/>
    <row r="1516" s="563" customFormat="1"/>
    <row r="1517" s="563" customFormat="1"/>
    <row r="1518" s="563" customFormat="1"/>
    <row r="1519" s="563" customFormat="1"/>
    <row r="1520" s="563" customFormat="1"/>
    <row r="1521" s="563" customFormat="1"/>
    <row r="1522" s="563" customFormat="1"/>
    <row r="1523" s="563" customFormat="1"/>
    <row r="1524" s="563" customFormat="1"/>
    <row r="1525" s="563" customFormat="1"/>
    <row r="1526" s="563" customFormat="1"/>
    <row r="1527" s="563" customFormat="1"/>
    <row r="1528" s="563" customFormat="1"/>
    <row r="1529" s="563" customFormat="1"/>
    <row r="1530" s="563" customFormat="1"/>
    <row r="1531" s="563" customFormat="1"/>
    <row r="1532" s="563" customFormat="1"/>
    <row r="1533" s="563" customFormat="1"/>
    <row r="1534" s="563" customFormat="1"/>
    <row r="1535" s="563" customFormat="1"/>
    <row r="1536" s="563" customFormat="1"/>
    <row r="1537" s="563" customFormat="1"/>
    <row r="1538" s="563" customFormat="1"/>
    <row r="1539" s="563" customFormat="1"/>
    <row r="1540" s="563" customFormat="1"/>
    <row r="1541" s="563" customFormat="1"/>
    <row r="1542" s="563" customFormat="1"/>
    <row r="1543" s="563" customFormat="1"/>
    <row r="1544" s="563" customFormat="1"/>
    <row r="1545" s="563" customFormat="1"/>
    <row r="1546" s="563" customFormat="1"/>
    <row r="1547" s="563" customFormat="1"/>
    <row r="1548" s="563" customFormat="1"/>
    <row r="1549" s="563" customFormat="1"/>
    <row r="1550" s="563" customFormat="1"/>
    <row r="1551" s="563" customFormat="1"/>
    <row r="1552" s="563" customFormat="1"/>
    <row r="1553" s="563" customFormat="1"/>
    <row r="1554" s="563" customFormat="1"/>
    <row r="1555" s="563" customFormat="1"/>
    <row r="1556" s="563" customFormat="1"/>
    <row r="1557" s="563" customFormat="1"/>
    <row r="1558" s="563" customFormat="1"/>
    <row r="1559" s="563" customFormat="1"/>
    <row r="1560" s="563" customFormat="1"/>
    <row r="1561" s="563" customFormat="1"/>
    <row r="1562" s="563" customFormat="1"/>
    <row r="1563" s="563" customFormat="1"/>
    <row r="1564" s="563" customFormat="1"/>
    <row r="1565" s="563" customFormat="1"/>
    <row r="1566" s="563" customFormat="1"/>
    <row r="1567" s="563" customFormat="1"/>
    <row r="1568" s="563" customFormat="1"/>
    <row r="1569" s="563" customFormat="1"/>
    <row r="1570" s="563" customFormat="1"/>
    <row r="1571" s="563" customFormat="1"/>
    <row r="1572" s="563" customFormat="1"/>
    <row r="1573" s="563" customFormat="1"/>
    <row r="1574" s="563" customFormat="1"/>
    <row r="1575" s="563" customFormat="1"/>
    <row r="1576" s="563" customFormat="1"/>
    <row r="1577" s="563" customFormat="1"/>
    <row r="1578" s="563" customFormat="1"/>
    <row r="1579" s="563" customFormat="1"/>
    <row r="1580" s="563" customFormat="1"/>
    <row r="1581" s="563" customFormat="1"/>
    <row r="1582" s="563" customFormat="1"/>
    <row r="1583" s="563" customFormat="1"/>
    <row r="1584" s="563" customFormat="1"/>
    <row r="1585" s="563" customFormat="1"/>
    <row r="1586" s="563" customFormat="1"/>
    <row r="1587" s="563" customFormat="1"/>
    <row r="1588" s="563" customFormat="1"/>
    <row r="1589" s="563" customFormat="1"/>
    <row r="1590" s="563" customFormat="1"/>
    <row r="1591" s="563" customFormat="1"/>
    <row r="1592" s="563" customFormat="1"/>
    <row r="1593" s="563" customFormat="1"/>
    <row r="1594" s="563" customFormat="1"/>
    <row r="1595" s="563" customFormat="1"/>
    <row r="1596" s="563" customFormat="1"/>
    <row r="1597" s="563" customFormat="1"/>
    <row r="1598" s="563" customFormat="1"/>
    <row r="1599" s="563" customFormat="1"/>
    <row r="1600" s="563" customFormat="1"/>
    <row r="1601" s="563" customFormat="1"/>
    <row r="1602" s="563" customFormat="1"/>
    <row r="1603" s="563" customFormat="1"/>
    <row r="1604" s="563" customFormat="1"/>
    <row r="1605" s="563" customFormat="1"/>
    <row r="1606" s="563" customFormat="1"/>
    <row r="1607" s="563" customFormat="1"/>
    <row r="1608" s="563" customFormat="1"/>
    <row r="1609" s="563" customFormat="1"/>
    <row r="1610" s="563" customFormat="1"/>
    <row r="1611" s="563" customFormat="1"/>
    <row r="1612" s="563" customFormat="1"/>
    <row r="1613" s="563" customFormat="1"/>
    <row r="1614" s="563" customFormat="1"/>
    <row r="1615" s="563" customFormat="1"/>
    <row r="1616" s="563" customFormat="1"/>
    <row r="1617" s="563" customFormat="1"/>
    <row r="1618" s="563" customFormat="1"/>
    <row r="1619" s="563" customFormat="1"/>
    <row r="1620" s="563" customFormat="1"/>
    <row r="1621" s="563" customFormat="1"/>
    <row r="1622" s="563" customFormat="1"/>
    <row r="1623" s="563" customFormat="1"/>
    <row r="1624" s="563" customFormat="1"/>
    <row r="1625" s="563" customFormat="1"/>
    <row r="1626" s="563" customFormat="1"/>
    <row r="1627" s="563" customFormat="1"/>
    <row r="1628" s="563" customFormat="1"/>
    <row r="1629" s="563" customFormat="1"/>
    <row r="1630" s="563" customFormat="1"/>
    <row r="1631" s="563" customFormat="1"/>
    <row r="1632" s="563" customFormat="1"/>
    <row r="1633" s="563" customFormat="1"/>
    <row r="1634" s="563" customFormat="1"/>
    <row r="1635" s="563" customFormat="1"/>
    <row r="1636" s="563" customFormat="1"/>
    <row r="1637" s="563" customFormat="1"/>
    <row r="1638" s="563" customFormat="1"/>
    <row r="1639" s="563" customFormat="1"/>
    <row r="1640" s="563" customFormat="1"/>
    <row r="1641" s="563" customFormat="1"/>
    <row r="1642" s="563" customFormat="1"/>
    <row r="1643" s="563" customFormat="1"/>
    <row r="1644" s="563" customFormat="1"/>
    <row r="1645" s="563" customFormat="1"/>
    <row r="1646" s="563" customFormat="1"/>
    <row r="1647" s="563" customFormat="1"/>
    <row r="1648" s="563" customFormat="1"/>
    <row r="1649" s="563" customFormat="1"/>
    <row r="1650" s="563" customFormat="1"/>
    <row r="1651" s="563" customFormat="1"/>
    <row r="1652" s="563" customFormat="1"/>
    <row r="1653" s="563" customFormat="1"/>
    <row r="1654" s="563" customFormat="1"/>
    <row r="1655" s="563" customFormat="1"/>
    <row r="1656" s="563" customFormat="1"/>
    <row r="1657" s="563" customFormat="1"/>
    <row r="1658" s="563" customFormat="1"/>
    <row r="1659" s="563" customFormat="1"/>
    <row r="1660" s="563" customFormat="1"/>
    <row r="1661" s="563" customFormat="1"/>
    <row r="1662" s="563" customFormat="1"/>
    <row r="1663" s="563" customFormat="1"/>
    <row r="1664" s="563" customFormat="1"/>
    <row r="1665" s="563" customFormat="1"/>
    <row r="1666" s="563" customFormat="1"/>
    <row r="1667" s="563" customFormat="1"/>
    <row r="1668" s="563" customFormat="1"/>
    <row r="1669" s="563" customFormat="1"/>
    <row r="1670" s="563" customFormat="1"/>
    <row r="1671" s="563" customFormat="1"/>
    <row r="1672" s="563" customFormat="1"/>
    <row r="1673" s="563" customFormat="1"/>
    <row r="1674" s="563" customFormat="1"/>
    <row r="1675" s="563" customFormat="1"/>
    <row r="1676" s="563" customFormat="1"/>
    <row r="1677" s="563" customFormat="1"/>
    <row r="1678" s="563" customFormat="1"/>
    <row r="1679" s="563" customFormat="1"/>
    <row r="1680" s="563" customFormat="1"/>
    <row r="1681" s="563" customFormat="1"/>
    <row r="1682" s="563" customFormat="1"/>
    <row r="1683" s="563" customFormat="1"/>
    <row r="1684" s="563" customFormat="1"/>
    <row r="1685" s="563" customFormat="1"/>
    <row r="1686" s="563" customFormat="1"/>
    <row r="1687" s="563" customFormat="1"/>
    <row r="1688" s="563" customFormat="1"/>
    <row r="1689" s="563" customFormat="1"/>
    <row r="1690" s="563" customFormat="1"/>
    <row r="1691" s="563" customFormat="1"/>
    <row r="1692" s="563" customFormat="1"/>
    <row r="1693" s="563" customFormat="1"/>
    <row r="1694" s="563" customFormat="1"/>
    <row r="1695" s="563" customFormat="1"/>
    <row r="1696" s="563" customFormat="1"/>
    <row r="1697" s="563" customFormat="1"/>
    <row r="1698" s="563" customFormat="1"/>
    <row r="1699" s="563" customFormat="1"/>
    <row r="1700" s="563" customFormat="1"/>
    <row r="1701" s="563" customFormat="1"/>
    <row r="1702" s="563" customFormat="1"/>
    <row r="1703" s="563" customFormat="1"/>
    <row r="1704" s="563" customFormat="1"/>
    <row r="1705" s="563" customFormat="1"/>
    <row r="1706" s="563" customFormat="1"/>
    <row r="1707" s="563" customFormat="1"/>
    <row r="1708" s="563" customFormat="1"/>
    <row r="1709" s="563" customFormat="1"/>
    <row r="1710" s="563" customFormat="1"/>
    <row r="1711" s="563" customFormat="1"/>
    <row r="1712" s="563" customFormat="1"/>
    <row r="1713" s="563" customFormat="1"/>
    <row r="1714" s="563" customFormat="1"/>
    <row r="1715" s="563" customFormat="1"/>
    <row r="1716" s="563" customFormat="1"/>
    <row r="1717" s="563" customFormat="1"/>
    <row r="1718" s="563" customFormat="1"/>
    <row r="1719" s="563" customFormat="1"/>
    <row r="1720" s="563" customFormat="1"/>
    <row r="1721" s="563" customFormat="1"/>
    <row r="1722" s="563" customFormat="1"/>
    <row r="1723" s="563" customFormat="1"/>
    <row r="1724" s="563" customFormat="1"/>
    <row r="1725" s="563" customFormat="1"/>
    <row r="1726" s="563" customFormat="1"/>
    <row r="1727" s="563" customFormat="1"/>
    <row r="1728" s="563" customFormat="1"/>
    <row r="1729" s="563" customFormat="1"/>
    <row r="1730" s="563" customFormat="1"/>
    <row r="1731" s="563" customFormat="1"/>
    <row r="1732" s="563" customFormat="1"/>
    <row r="1733" s="563" customFormat="1"/>
    <row r="1734" s="563" customFormat="1"/>
    <row r="1735" s="563" customFormat="1"/>
    <row r="1736" s="563" customFormat="1"/>
    <row r="1737" s="563" customFormat="1"/>
    <row r="1738" s="563" customFormat="1"/>
    <row r="1739" s="563" customFormat="1"/>
    <row r="1740" s="563" customFormat="1"/>
    <row r="1741" s="563" customFormat="1"/>
    <row r="1742" s="563" customFormat="1"/>
    <row r="1743" s="563" customFormat="1"/>
    <row r="1744" s="563" customFormat="1"/>
    <row r="1745" s="563" customFormat="1"/>
    <row r="1746" s="563" customFormat="1"/>
    <row r="1747" s="563" customFormat="1"/>
    <row r="1748" s="563" customFormat="1"/>
    <row r="1749" s="563" customFormat="1"/>
    <row r="1750" s="563" customFormat="1"/>
    <row r="1751" s="563" customFormat="1"/>
    <row r="1752" s="563" customFormat="1"/>
    <row r="1753" s="563" customFormat="1"/>
    <row r="1754" s="563" customFormat="1"/>
    <row r="1755" s="563" customFormat="1"/>
    <row r="1756" s="563" customFormat="1"/>
    <row r="1757" s="563" customFormat="1"/>
    <row r="1758" s="563" customFormat="1"/>
    <row r="1759" s="563" customFormat="1"/>
    <row r="1760" s="563" customFormat="1"/>
    <row r="1761" s="563" customFormat="1"/>
    <row r="1762" s="563" customFormat="1"/>
    <row r="1763" s="563" customFormat="1"/>
    <row r="1764" s="563" customFormat="1"/>
    <row r="1765" s="563" customFormat="1"/>
    <row r="1766" s="563" customFormat="1"/>
    <row r="1767" s="563" customFormat="1"/>
    <row r="1768" s="563" customFormat="1"/>
    <row r="1769" s="563" customFormat="1"/>
    <row r="1770" s="563" customFormat="1"/>
    <row r="1771" s="563" customFormat="1"/>
    <row r="1772" s="563" customFormat="1"/>
    <row r="1773" s="563" customFormat="1"/>
    <row r="1774" s="563" customFormat="1"/>
    <row r="1775" s="563" customFormat="1"/>
    <row r="1776" s="563" customFormat="1"/>
    <row r="1777" s="563" customFormat="1"/>
    <row r="1778" s="563" customFormat="1"/>
    <row r="1779" s="563" customFormat="1"/>
    <row r="1780" s="563" customFormat="1"/>
    <row r="1781" s="563" customFormat="1"/>
    <row r="1782" s="563" customFormat="1"/>
    <row r="1783" s="563" customFormat="1"/>
    <row r="1784" s="563" customFormat="1"/>
    <row r="1785" s="563" customFormat="1"/>
    <row r="1786" s="563" customFormat="1"/>
    <row r="1787" s="563" customFormat="1"/>
    <row r="1788" s="563" customFormat="1"/>
    <row r="1789" s="563" customFormat="1"/>
    <row r="1790" s="563" customFormat="1"/>
    <row r="1791" s="563" customFormat="1"/>
    <row r="1792" s="563" customFormat="1"/>
    <row r="1793" s="563" customFormat="1"/>
    <row r="1794" s="563" customFormat="1"/>
    <row r="1795" s="563" customFormat="1"/>
    <row r="1796" s="563" customFormat="1"/>
    <row r="1797" s="563" customFormat="1"/>
    <row r="1798" s="563" customFormat="1"/>
    <row r="1799" s="563" customFormat="1"/>
    <row r="1800" s="563" customFormat="1"/>
    <row r="1801" s="563" customFormat="1"/>
    <row r="1802" s="563" customFormat="1"/>
    <row r="1803" s="563" customFormat="1"/>
    <row r="1804" s="563" customFormat="1"/>
    <row r="1805" s="563" customFormat="1"/>
    <row r="1806" s="563" customFormat="1"/>
    <row r="1807" s="563" customFormat="1"/>
    <row r="1808" s="563" customFormat="1"/>
    <row r="1809" s="563" customFormat="1"/>
    <row r="1810" s="563" customFormat="1"/>
    <row r="1811" s="563" customFormat="1"/>
    <row r="1812" s="563" customFormat="1"/>
    <row r="1813" s="563" customFormat="1"/>
    <row r="1814" s="563" customFormat="1"/>
    <row r="1815" s="563" customFormat="1"/>
    <row r="1816" s="563" customFormat="1"/>
    <row r="1817" s="563" customFormat="1"/>
    <row r="1818" s="563" customFormat="1"/>
    <row r="1819" s="563" customFormat="1"/>
    <row r="1820" s="563" customFormat="1"/>
    <row r="1821" s="563" customFormat="1"/>
    <row r="1822" s="563" customFormat="1"/>
    <row r="1823" s="563" customFormat="1"/>
    <row r="1824" s="563" customFormat="1"/>
    <row r="1825" s="563" customFormat="1"/>
    <row r="1826" s="563" customFormat="1"/>
    <row r="1827" s="563" customFormat="1"/>
    <row r="1828" s="563" customFormat="1"/>
    <row r="1829" s="563" customFormat="1"/>
    <row r="1830" s="563" customFormat="1"/>
    <row r="1831" s="563" customFormat="1"/>
    <row r="1832" s="563" customFormat="1"/>
    <row r="1833" s="563" customFormat="1"/>
    <row r="1834" s="563" customFormat="1"/>
    <row r="1835" s="563" customFormat="1"/>
    <row r="1836" s="563" customFormat="1"/>
    <row r="1837" s="563" customFormat="1"/>
    <row r="1838" s="563" customFormat="1"/>
    <row r="1839" s="563" customFormat="1"/>
    <row r="1840" s="563" customFormat="1"/>
    <row r="1841" s="563" customFormat="1"/>
    <row r="1842" s="563" customFormat="1"/>
    <row r="1843" s="563" customFormat="1"/>
    <row r="1844" s="563" customFormat="1"/>
    <row r="1845" s="563" customFormat="1"/>
    <row r="1846" s="563" customFormat="1"/>
    <row r="1847" s="563" customFormat="1"/>
    <row r="1848" s="563" customFormat="1"/>
    <row r="1849" s="563" customFormat="1"/>
    <row r="1850" s="563" customFormat="1"/>
    <row r="1851" s="563" customFormat="1"/>
    <row r="1852" s="563" customFormat="1"/>
    <row r="1853" s="563" customFormat="1"/>
    <row r="1854" s="563" customFormat="1"/>
    <row r="1855" s="563" customFormat="1"/>
    <row r="1856" s="563" customFormat="1"/>
    <row r="1857" s="563" customFormat="1"/>
    <row r="1858" s="563" customFormat="1"/>
    <row r="1859" s="563" customFormat="1"/>
    <row r="1860" s="563" customFormat="1"/>
    <row r="1861" s="563" customFormat="1"/>
    <row r="1862" s="563" customFormat="1"/>
    <row r="1863" s="563" customFormat="1"/>
    <row r="1864" s="563" customFormat="1"/>
    <row r="1865" s="563" customFormat="1"/>
    <row r="1866" s="563" customFormat="1"/>
    <row r="1867" s="563" customFormat="1"/>
    <row r="1868" s="563" customFormat="1"/>
    <row r="1869" s="563" customFormat="1"/>
    <row r="1870" s="563" customFormat="1"/>
    <row r="1871" s="563" customFormat="1"/>
    <row r="1872" s="563" customFormat="1"/>
    <row r="1873" s="563" customFormat="1"/>
    <row r="1874" s="563" customFormat="1"/>
    <row r="1875" s="563" customFormat="1"/>
    <row r="1876" s="563" customFormat="1"/>
    <row r="1877" s="563" customFormat="1"/>
    <row r="1878" s="563" customFormat="1"/>
    <row r="1879" s="563" customFormat="1"/>
    <row r="1880" s="563" customFormat="1"/>
    <row r="1881" s="563" customFormat="1"/>
    <row r="1882" s="563" customFormat="1"/>
    <row r="1883" s="563" customFormat="1"/>
    <row r="1884" s="563" customFormat="1"/>
    <row r="1885" s="563" customFormat="1"/>
    <row r="1886" s="563" customFormat="1"/>
    <row r="1887" s="563" customFormat="1"/>
    <row r="1888" s="563" customFormat="1"/>
    <row r="1889" s="563" customFormat="1"/>
    <row r="1890" s="563" customFormat="1"/>
    <row r="1891" s="563" customFormat="1"/>
    <row r="1892" s="563" customFormat="1"/>
    <row r="1893" s="563" customFormat="1"/>
    <row r="1894" s="563" customFormat="1"/>
    <row r="1895" s="563" customFormat="1"/>
    <row r="1896" s="563" customFormat="1"/>
    <row r="1897" s="563" customFormat="1"/>
    <row r="1898" s="563" customFormat="1"/>
    <row r="1899" s="563" customFormat="1"/>
    <row r="1900" s="563" customFormat="1"/>
    <row r="1901" s="563" customFormat="1"/>
    <row r="1902" s="563" customFormat="1"/>
    <row r="1903" s="563" customFormat="1"/>
    <row r="1904" s="563" customFormat="1"/>
    <row r="1905" s="563" customFormat="1"/>
    <row r="1906" s="563" customFormat="1"/>
    <row r="1907" s="563" customFormat="1"/>
    <row r="1908" s="563" customFormat="1"/>
    <row r="1909" s="563" customFormat="1"/>
    <row r="1910" s="563" customFormat="1"/>
    <row r="1911" s="563" customFormat="1"/>
    <row r="1912" s="563" customFormat="1"/>
    <row r="1913" s="563" customFormat="1"/>
    <row r="1914" s="563" customFormat="1"/>
    <row r="1915" s="563" customFormat="1"/>
    <row r="1916" s="563" customFormat="1"/>
    <row r="1917" s="563" customFormat="1"/>
    <row r="1918" s="563" customFormat="1"/>
    <row r="1919" s="563" customFormat="1"/>
    <row r="1920" s="563" customFormat="1"/>
    <row r="1921" s="563" customFormat="1"/>
    <row r="1922" s="563" customFormat="1"/>
    <row r="1923" s="563" customFormat="1"/>
    <row r="1924" s="563" customFormat="1"/>
    <row r="1925" s="563" customFormat="1"/>
    <row r="1926" s="563" customFormat="1"/>
    <row r="1927" s="563" customFormat="1"/>
    <row r="1928" s="563" customFormat="1"/>
    <row r="1929" s="563" customFormat="1"/>
    <row r="1930" s="563" customFormat="1"/>
    <row r="1931" s="563" customFormat="1"/>
    <row r="1932" s="563" customFormat="1"/>
    <row r="1933" s="563" customFormat="1"/>
    <row r="1934" s="563" customFormat="1"/>
    <row r="1935" s="563" customFormat="1"/>
    <row r="1936" s="563" customFormat="1"/>
    <row r="1937" s="563" customFormat="1"/>
    <row r="1938" s="563" customFormat="1"/>
    <row r="1939" s="563" customFormat="1"/>
    <row r="1940" s="563" customFormat="1"/>
    <row r="1941" s="563" customFormat="1"/>
    <row r="1942" s="563" customFormat="1"/>
    <row r="1943" s="563" customFormat="1"/>
    <row r="1944" s="563" customFormat="1"/>
    <row r="1945" s="563" customFormat="1"/>
    <row r="1946" s="563" customFormat="1"/>
    <row r="1947" s="563" customFormat="1"/>
    <row r="1948" s="563" customFormat="1"/>
    <row r="1949" s="563" customFormat="1"/>
    <row r="1950" s="563" customFormat="1"/>
    <row r="1951" s="563" customFormat="1"/>
    <row r="1952" s="563" customFormat="1"/>
    <row r="1953" s="563" customFormat="1"/>
    <row r="1954" s="563" customFormat="1"/>
    <row r="1955" s="563" customFormat="1"/>
    <row r="1956" s="563" customFormat="1"/>
    <row r="1957" s="563" customFormat="1"/>
    <row r="1958" s="563" customFormat="1"/>
    <row r="1959" s="563" customFormat="1"/>
    <row r="1960" s="563" customFormat="1"/>
    <row r="1961" s="563" customFormat="1"/>
    <row r="1962" s="563" customFormat="1"/>
    <row r="1963" s="563" customFormat="1"/>
    <row r="1964" s="563" customFormat="1"/>
    <row r="1965" s="563" customFormat="1"/>
    <row r="1966" s="563" customFormat="1"/>
    <row r="1967" s="563" customFormat="1"/>
    <row r="1968" s="563" customFormat="1"/>
    <row r="1969" s="563" customFormat="1"/>
    <row r="1970" s="563" customFormat="1"/>
    <row r="1971" s="563" customFormat="1"/>
    <row r="1972" s="563" customFormat="1"/>
    <row r="1973" s="563" customFormat="1"/>
    <row r="1974" s="563" customFormat="1"/>
    <row r="1975" s="563" customFormat="1"/>
    <row r="1976" s="563" customFormat="1"/>
    <row r="1977" s="563" customFormat="1"/>
    <row r="1978" s="563" customFormat="1"/>
    <row r="1979" s="563" customFormat="1"/>
    <row r="1980" s="563" customFormat="1"/>
    <row r="1981" s="563" customFormat="1"/>
    <row r="1982" s="563" customFormat="1"/>
    <row r="1983" s="563" customFormat="1"/>
    <row r="1984" s="563" customFormat="1"/>
    <row r="1985" s="563" customFormat="1"/>
    <row r="1986" s="563" customFormat="1"/>
    <row r="1987" s="563" customFormat="1"/>
    <row r="1988" s="563" customFormat="1"/>
    <row r="1989" s="563" customFormat="1"/>
    <row r="1990" s="563" customFormat="1"/>
    <row r="1991" s="563" customFormat="1"/>
    <row r="1992" s="563" customFormat="1"/>
    <row r="1993" s="563" customFormat="1"/>
    <row r="1994" s="563" customFormat="1"/>
    <row r="1995" s="563" customFormat="1"/>
    <row r="1996" s="563" customFormat="1"/>
    <row r="1997" s="563" customFormat="1"/>
    <row r="1998" s="563" customFormat="1"/>
    <row r="1999" s="563" customFormat="1"/>
    <row r="2000" s="563" customFormat="1"/>
    <row r="2001" s="563" customFormat="1"/>
    <row r="2002" s="563" customFormat="1"/>
    <row r="2003" s="563" customFormat="1"/>
    <row r="2004" s="563" customFormat="1"/>
    <row r="2005" s="563" customFormat="1"/>
    <row r="2006" s="563" customFormat="1"/>
    <row r="2007" s="563" customFormat="1"/>
    <row r="2008" s="563" customFormat="1"/>
    <row r="2009" s="563" customFormat="1"/>
    <row r="2010" s="563" customFormat="1"/>
    <row r="2011" s="563" customFormat="1"/>
    <row r="2012" s="563" customFormat="1"/>
    <row r="2013" s="563" customFormat="1"/>
    <row r="2014" s="563" customFormat="1"/>
    <row r="2015" s="563" customFormat="1"/>
    <row r="2016" s="563" customFormat="1"/>
    <row r="2017" s="563" customFormat="1"/>
    <row r="2018" s="563" customFormat="1"/>
    <row r="2019" s="563" customFormat="1"/>
    <row r="2020" s="563" customFormat="1"/>
    <row r="2021" s="563" customFormat="1"/>
    <row r="2022" s="563" customFormat="1"/>
    <row r="2023" s="563" customFormat="1"/>
    <row r="2024" s="563" customFormat="1"/>
    <row r="2025" s="563" customFormat="1"/>
    <row r="2026" s="563" customFormat="1"/>
    <row r="2027" s="563" customFormat="1"/>
    <row r="2028" s="563" customFormat="1"/>
    <row r="2029" s="563" customFormat="1"/>
    <row r="2030" s="563" customFormat="1"/>
    <row r="2031" s="563" customFormat="1"/>
    <row r="2032" s="563" customFormat="1"/>
    <row r="2033" s="563" customFormat="1"/>
    <row r="2034" s="563" customFormat="1"/>
    <row r="2035" s="563" customFormat="1"/>
    <row r="2036" s="563" customFormat="1"/>
    <row r="2037" s="563" customFormat="1"/>
    <row r="2038" s="563" customFormat="1"/>
    <row r="2039" s="563" customFormat="1"/>
    <row r="2040" s="563" customFormat="1"/>
    <row r="2041" s="563" customFormat="1"/>
    <row r="2042" s="563" customFormat="1"/>
    <row r="2043" s="563" customFormat="1"/>
    <row r="2044" s="563" customFormat="1"/>
    <row r="2045" s="563" customFormat="1"/>
    <row r="2046" s="563" customFormat="1"/>
    <row r="2047" s="563" customFormat="1"/>
    <row r="2048" s="563" customFormat="1"/>
    <row r="2049" s="563" customFormat="1"/>
    <row r="2050" s="563" customFormat="1"/>
    <row r="2051" s="563" customFormat="1"/>
    <row r="2052" s="563" customFormat="1"/>
    <row r="2053" s="563" customFormat="1"/>
    <row r="2054" s="563" customFormat="1"/>
    <row r="2055" s="563" customFormat="1"/>
    <row r="2056" s="563" customFormat="1"/>
    <row r="2057" s="563" customFormat="1"/>
    <row r="2058" s="563" customFormat="1"/>
    <row r="2059" s="563" customFormat="1"/>
    <row r="2060" s="563" customFormat="1"/>
    <row r="2061" s="563" customFormat="1"/>
    <row r="2062" s="563" customFormat="1"/>
    <row r="2063" s="563" customFormat="1"/>
    <row r="2064" s="563" customFormat="1"/>
    <row r="2065" s="563" customFormat="1"/>
    <row r="2066" s="563" customFormat="1"/>
    <row r="2067" s="563" customFormat="1"/>
    <row r="2068" s="563" customFormat="1"/>
    <row r="2069" s="563" customFormat="1"/>
    <row r="2070" s="563" customFormat="1"/>
    <row r="2071" s="563" customFormat="1"/>
    <row r="2072" s="563" customFormat="1"/>
    <row r="2073" s="563" customFormat="1"/>
    <row r="2074" s="563" customFormat="1"/>
    <row r="2075" s="563" customFormat="1"/>
    <row r="2076" s="563" customFormat="1"/>
    <row r="2077" s="563" customFormat="1"/>
    <row r="2078" s="563" customFormat="1"/>
    <row r="2079" s="563" customFormat="1"/>
    <row r="2080" s="563" customFormat="1"/>
    <row r="2081" s="563" customFormat="1"/>
    <row r="2082" s="563" customFormat="1"/>
    <row r="2083" s="563" customFormat="1"/>
    <row r="2084" s="563" customFormat="1"/>
    <row r="2085" s="563" customFormat="1"/>
    <row r="2086" s="563" customFormat="1"/>
    <row r="2087" s="563" customFormat="1"/>
    <row r="2088" s="563" customFormat="1"/>
    <row r="2089" s="563" customFormat="1"/>
    <row r="2090" s="563" customFormat="1"/>
    <row r="2091" s="563" customFormat="1"/>
    <row r="2092" s="563" customFormat="1"/>
    <row r="2093" s="563" customFormat="1"/>
    <row r="2094" s="563" customFormat="1"/>
    <row r="2095" s="563" customFormat="1"/>
    <row r="2096" s="563" customFormat="1"/>
    <row r="2097" s="563" customFormat="1"/>
    <row r="2098" s="563" customFormat="1"/>
    <row r="2099" s="563" customFormat="1"/>
    <row r="2100" s="563" customFormat="1"/>
    <row r="2101" s="563" customFormat="1"/>
    <row r="2102" s="563" customFormat="1"/>
    <row r="2103" s="563" customFormat="1"/>
    <row r="2104" s="563" customFormat="1"/>
    <row r="2105" s="563" customFormat="1"/>
    <row r="2106" s="563" customFormat="1"/>
    <row r="2107" s="563" customFormat="1"/>
    <row r="2108" s="563" customFormat="1"/>
    <row r="2109" s="563" customFormat="1"/>
    <row r="2110" s="563" customFormat="1"/>
    <row r="2111" s="563" customFormat="1"/>
    <row r="2112" s="563" customFormat="1"/>
    <row r="2113" s="563" customFormat="1"/>
    <row r="2114" s="563" customFormat="1"/>
    <row r="2115" s="563" customFormat="1"/>
    <row r="2116" s="563" customFormat="1"/>
    <row r="2117" s="563" customFormat="1"/>
    <row r="2118" s="563" customFormat="1"/>
    <row r="2119" s="563" customFormat="1"/>
    <row r="2120" s="563" customFormat="1"/>
    <row r="2121" s="563" customFormat="1"/>
    <row r="2122" s="563" customFormat="1"/>
    <row r="2123" s="563" customFormat="1"/>
    <row r="2124" s="563" customFormat="1"/>
    <row r="2125" s="563" customFormat="1"/>
    <row r="2126" s="563" customFormat="1"/>
    <row r="2127" s="563" customFormat="1"/>
    <row r="2128" s="563" customFormat="1"/>
    <row r="2129" s="563" customFormat="1"/>
    <row r="2130" s="563" customFormat="1"/>
    <row r="2131" s="563" customFormat="1"/>
    <row r="2132" s="563" customFormat="1"/>
    <row r="2133" s="563" customFormat="1"/>
    <row r="2134" s="563" customFormat="1"/>
    <row r="2135" s="563" customFormat="1"/>
    <row r="2136" s="563" customFormat="1"/>
    <row r="2137" s="563" customFormat="1"/>
    <row r="2138" s="563" customFormat="1"/>
    <row r="2139" s="563" customFormat="1"/>
    <row r="2140" s="563" customFormat="1"/>
    <row r="2141" s="563" customFormat="1"/>
    <row r="2142" s="563" customFormat="1"/>
    <row r="2143" s="563" customFormat="1"/>
    <row r="2144" s="563" customFormat="1"/>
    <row r="2145" s="563" customFormat="1"/>
    <row r="2146" s="563" customFormat="1"/>
    <row r="2147" s="563" customFormat="1"/>
    <row r="2148" s="563" customFormat="1"/>
    <row r="2149" s="563" customFormat="1"/>
    <row r="2150" s="563" customFormat="1"/>
    <row r="2151" s="563" customFormat="1"/>
    <row r="2152" s="563" customFormat="1"/>
    <row r="2153" s="563" customFormat="1"/>
    <row r="2154" s="563" customFormat="1"/>
    <row r="2155" s="563" customFormat="1"/>
    <row r="2156" s="563" customFormat="1"/>
    <row r="2157" s="563" customFormat="1"/>
    <row r="2158" s="563" customFormat="1"/>
    <row r="2159" s="563" customFormat="1"/>
    <row r="2160" s="563" customFormat="1"/>
    <row r="2161" s="563" customFormat="1"/>
    <row r="2162" s="563" customFormat="1"/>
    <row r="2163" s="563" customFormat="1"/>
    <row r="2164" s="563" customFormat="1"/>
    <row r="2165" s="563" customFormat="1"/>
    <row r="2166" s="563" customFormat="1"/>
    <row r="2167" s="563" customFormat="1"/>
    <row r="2168" s="563" customFormat="1"/>
    <row r="2169" s="563" customFormat="1"/>
    <row r="2170" s="563" customFormat="1"/>
    <row r="2171" s="563" customFormat="1"/>
    <row r="2172" s="563" customFormat="1"/>
    <row r="2173" s="563" customFormat="1"/>
    <row r="2174" s="563" customFormat="1"/>
    <row r="2175" s="563" customFormat="1"/>
    <row r="2176" s="563" customFormat="1"/>
    <row r="2177" s="563" customFormat="1"/>
    <row r="2178" s="563" customFormat="1"/>
    <row r="2179" s="563" customFormat="1"/>
    <row r="2180" s="563" customFormat="1"/>
    <row r="2181" s="563" customFormat="1"/>
    <row r="2182" s="563" customFormat="1"/>
    <row r="2183" s="563" customFormat="1"/>
    <row r="2184" s="563" customFormat="1"/>
    <row r="2185" s="563" customFormat="1"/>
    <row r="2186" s="563" customFormat="1"/>
    <row r="2187" s="563" customFormat="1"/>
    <row r="2188" s="563" customFormat="1"/>
    <row r="2189" s="563" customFormat="1"/>
    <row r="2190" s="563" customFormat="1"/>
    <row r="2191" s="563" customFormat="1"/>
    <row r="2192" s="563" customFormat="1"/>
    <row r="2193" s="563" customFormat="1"/>
    <row r="2194" s="563" customFormat="1"/>
    <row r="2195" s="563" customFormat="1"/>
    <row r="2196" s="563" customFormat="1"/>
    <row r="2197" s="563" customFormat="1"/>
    <row r="2198" s="563" customFormat="1"/>
    <row r="2199" s="563" customFormat="1"/>
    <row r="2200" s="563" customFormat="1"/>
    <row r="2201" s="563" customFormat="1"/>
    <row r="2202" s="563" customFormat="1"/>
    <row r="2203" s="563" customFormat="1"/>
    <row r="2204" s="563" customFormat="1"/>
    <row r="2205" s="563" customFormat="1"/>
    <row r="2206" s="563" customFormat="1"/>
    <row r="2207" s="563" customFormat="1"/>
    <row r="2208" s="563" customFormat="1"/>
    <row r="2209" s="563" customFormat="1"/>
    <row r="2210" s="563" customFormat="1"/>
    <row r="2211" s="563" customFormat="1"/>
    <row r="2212" s="563" customFormat="1"/>
    <row r="2213" s="563" customFormat="1"/>
    <row r="2214" s="563" customFormat="1"/>
    <row r="2215" s="563" customFormat="1"/>
    <row r="2216" s="563" customFormat="1"/>
    <row r="2217" s="563" customFormat="1"/>
    <row r="2218" s="563" customFormat="1"/>
    <row r="2219" s="563" customFormat="1"/>
    <row r="2220" s="563" customFormat="1"/>
    <row r="2221" s="563" customFormat="1"/>
    <row r="2222" s="563" customFormat="1"/>
    <row r="2223" s="563" customFormat="1"/>
    <row r="2224" s="563" customFormat="1"/>
    <row r="2225" s="563" customFormat="1"/>
    <row r="2226" s="563" customFormat="1"/>
    <row r="2227" s="563" customFormat="1"/>
    <row r="2228" s="563" customFormat="1"/>
    <row r="2229" s="563" customFormat="1"/>
    <row r="2230" s="563" customFormat="1"/>
    <row r="2231" s="563" customFormat="1"/>
    <row r="2232" s="563" customFormat="1"/>
    <row r="2233" s="563" customFormat="1"/>
    <row r="2234" s="563" customFormat="1"/>
    <row r="2235" s="563" customFormat="1"/>
    <row r="2236" s="563" customFormat="1"/>
    <row r="2237" s="563" customFormat="1"/>
    <row r="2238" s="563" customFormat="1"/>
    <row r="2239" s="563" customFormat="1"/>
    <row r="2240" s="563" customFormat="1"/>
    <row r="2241" s="563" customFormat="1"/>
    <row r="2242" s="563" customFormat="1"/>
    <row r="2243" s="563" customFormat="1"/>
    <row r="2244" s="563" customFormat="1"/>
    <row r="2245" s="563" customFormat="1"/>
    <row r="2246" s="563" customFormat="1"/>
    <row r="2247" s="563" customFormat="1"/>
    <row r="2248" s="563" customFormat="1"/>
    <row r="2249" s="563" customFormat="1"/>
    <row r="2250" s="563" customFormat="1"/>
    <row r="2251" s="563" customFormat="1"/>
    <row r="2252" s="563" customFormat="1"/>
    <row r="2253" s="563" customFormat="1"/>
    <row r="2254" s="563" customFormat="1"/>
    <row r="2255" s="563" customFormat="1"/>
    <row r="2256" s="563" customFormat="1"/>
    <row r="2257" s="563" customFormat="1"/>
    <row r="2258" s="563" customFormat="1"/>
    <row r="2259" s="563" customFormat="1"/>
    <row r="2260" s="563" customFormat="1"/>
    <row r="2261" s="563" customFormat="1"/>
    <row r="2262" s="563" customFormat="1"/>
    <row r="2263" s="563" customFormat="1"/>
    <row r="2264" s="563" customFormat="1"/>
    <row r="2265" s="563" customFormat="1"/>
    <row r="2266" s="563" customFormat="1"/>
    <row r="2267" s="563" customFormat="1"/>
    <row r="2268" s="563" customFormat="1"/>
    <row r="2269" s="563" customFormat="1"/>
    <row r="2270" s="563" customFormat="1"/>
    <row r="2271" s="563" customFormat="1"/>
    <row r="2272" s="563" customFormat="1"/>
    <row r="2273" s="563" customFormat="1"/>
    <row r="2274" s="563" customFormat="1"/>
    <row r="2275" s="563" customFormat="1"/>
    <row r="2276" s="563" customFormat="1"/>
    <row r="2277" s="563" customFormat="1"/>
    <row r="2278" s="563" customFormat="1"/>
    <row r="2279" s="563" customFormat="1"/>
    <row r="2280" s="563" customFormat="1"/>
    <row r="2281" s="563" customFormat="1"/>
    <row r="2282" s="563" customFormat="1"/>
    <row r="2283" s="563" customFormat="1"/>
    <row r="2284" s="563" customFormat="1"/>
    <row r="2285" s="563" customFormat="1"/>
    <row r="2286" s="563" customFormat="1"/>
    <row r="2287" s="563" customFormat="1"/>
    <row r="2288" s="563" customFormat="1"/>
    <row r="2289" s="563" customFormat="1"/>
    <row r="2290" s="563" customFormat="1"/>
    <row r="2291" s="563" customFormat="1"/>
    <row r="2292" s="563" customFormat="1"/>
    <row r="2293" s="563" customFormat="1"/>
    <row r="2294" s="563" customFormat="1"/>
    <row r="2295" s="563" customFormat="1"/>
    <row r="2296" s="563" customFormat="1"/>
    <row r="2297" s="563" customFormat="1"/>
    <row r="2298" s="563" customFormat="1"/>
    <row r="2299" s="563" customFormat="1"/>
    <row r="2300" s="563" customFormat="1"/>
    <row r="2301" s="563" customFormat="1"/>
    <row r="2302" s="563" customFormat="1"/>
    <row r="2303" s="563" customFormat="1"/>
    <row r="2304" s="563" customFormat="1"/>
    <row r="2305" s="563" customFormat="1"/>
    <row r="2306" s="563" customFormat="1"/>
    <row r="2307" s="563" customFormat="1"/>
    <row r="2308" s="563" customFormat="1"/>
    <row r="2309" s="563" customFormat="1"/>
    <row r="2310" s="563" customFormat="1"/>
    <row r="2311" s="563" customFormat="1"/>
    <row r="2312" s="563" customFormat="1"/>
    <row r="2313" s="563" customFormat="1"/>
    <row r="2314" s="563" customFormat="1"/>
    <row r="2315" s="563" customFormat="1"/>
    <row r="2316" s="563" customFormat="1"/>
    <row r="2317" s="563" customFormat="1"/>
    <row r="2318" s="563" customFormat="1"/>
    <row r="2319" s="563" customFormat="1"/>
    <row r="2320" s="563" customFormat="1"/>
    <row r="2321" s="563" customFormat="1"/>
    <row r="2322" s="563" customFormat="1"/>
    <row r="2323" s="563" customFormat="1"/>
    <row r="2324" s="563" customFormat="1"/>
    <row r="2325" s="563" customFormat="1"/>
    <row r="2326" s="563" customFormat="1"/>
    <row r="2327" s="563" customFormat="1"/>
    <row r="2328" s="563" customFormat="1"/>
    <row r="2329" s="563" customFormat="1"/>
    <row r="2330" s="563" customFormat="1"/>
    <row r="2331" s="563" customFormat="1"/>
    <row r="2332" s="563" customFormat="1"/>
    <row r="2333" s="563" customFormat="1"/>
    <row r="2334" s="563" customFormat="1"/>
    <row r="2335" s="563" customFormat="1"/>
    <row r="2336" s="563" customFormat="1"/>
    <row r="2337" s="563" customFormat="1"/>
    <row r="2338" s="563" customFormat="1"/>
    <row r="2339" s="563" customFormat="1"/>
    <row r="2340" s="563" customFormat="1"/>
    <row r="2341" s="563" customFormat="1"/>
    <row r="2342" s="563" customFormat="1"/>
    <row r="2343" s="563" customFormat="1"/>
    <row r="2344" s="563" customFormat="1"/>
    <row r="2345" s="563" customFormat="1"/>
    <row r="2346" s="563" customFormat="1"/>
    <row r="2347" s="563" customFormat="1"/>
    <row r="2348" s="563" customFormat="1"/>
    <row r="2349" s="563" customFormat="1"/>
    <row r="2350" s="563" customFormat="1"/>
    <row r="2351" s="563" customFormat="1"/>
    <row r="2352" s="563" customFormat="1"/>
    <row r="2353" s="563" customFormat="1"/>
    <row r="2354" s="563" customFormat="1"/>
    <row r="2355" s="563" customFormat="1"/>
    <row r="2356" s="563" customFormat="1"/>
    <row r="2357" s="563" customFormat="1"/>
    <row r="2358" s="563" customFormat="1"/>
    <row r="2359" s="563" customFormat="1"/>
    <row r="2360" s="563" customFormat="1"/>
    <row r="2361" s="563" customFormat="1"/>
    <row r="2362" s="563" customFormat="1"/>
    <row r="2363" s="563" customFormat="1"/>
    <row r="2364" s="563" customFormat="1"/>
    <row r="2365" s="563" customFormat="1"/>
    <row r="2366" s="563" customFormat="1"/>
    <row r="2367" s="563" customFormat="1"/>
    <row r="2368" s="563" customFormat="1"/>
    <row r="2369" s="563" customFormat="1"/>
    <row r="2370" s="563" customFormat="1"/>
    <row r="2371" s="563" customFormat="1"/>
    <row r="2372" s="563" customFormat="1"/>
    <row r="2373" s="563" customFormat="1"/>
    <row r="2374" s="563" customFormat="1"/>
    <row r="2375" s="563" customFormat="1"/>
    <row r="2376" s="563" customFormat="1"/>
    <row r="2377" s="563" customFormat="1"/>
    <row r="2378" s="563" customFormat="1"/>
    <row r="2379" s="563" customFormat="1"/>
    <row r="2380" s="563" customFormat="1"/>
    <row r="2381" s="563" customFormat="1"/>
    <row r="2382" s="563" customFormat="1"/>
    <row r="2383" s="563" customFormat="1"/>
    <row r="2384" s="563" customFormat="1"/>
    <row r="2385" s="563" customFormat="1"/>
    <row r="2386" s="563" customFormat="1"/>
    <row r="2387" s="563" customFormat="1"/>
    <row r="2388" s="563" customFormat="1"/>
    <row r="2389" s="563" customFormat="1"/>
    <row r="2390" s="563" customFormat="1"/>
    <row r="2391" s="563" customFormat="1"/>
    <row r="2392" s="563" customFormat="1"/>
    <row r="2393" s="563" customFormat="1"/>
    <row r="2394" s="563" customFormat="1"/>
    <row r="2395" s="563" customFormat="1"/>
    <row r="2396" s="563" customFormat="1"/>
    <row r="2397" s="563" customFormat="1"/>
    <row r="2398" s="563" customFormat="1"/>
    <row r="2399" s="563" customFormat="1"/>
    <row r="2400" s="563" customFormat="1"/>
    <row r="2401" s="563" customFormat="1"/>
    <row r="2402" s="563" customFormat="1"/>
    <row r="2403" s="563" customFormat="1"/>
    <row r="2404" s="563" customFormat="1"/>
    <row r="2405" s="563" customFormat="1"/>
    <row r="2406" s="563" customFormat="1"/>
    <row r="2407" s="563" customFormat="1"/>
    <row r="2408" s="563" customFormat="1"/>
    <row r="2409" s="563" customFormat="1"/>
    <row r="2410" s="563" customFormat="1"/>
    <row r="2411" s="563" customFormat="1"/>
    <row r="2412" s="563" customFormat="1"/>
    <row r="2413" s="563" customFormat="1"/>
    <row r="2414" s="563" customFormat="1"/>
    <row r="2415" s="563" customFormat="1"/>
    <row r="2416" s="563" customFormat="1"/>
    <row r="2417" s="563" customFormat="1"/>
    <row r="2418" s="563" customFormat="1"/>
    <row r="2419" s="563" customFormat="1"/>
    <row r="2420" s="563" customFormat="1"/>
    <row r="2421" s="563" customFormat="1"/>
    <row r="2422" s="563" customFormat="1"/>
    <row r="2423" s="563" customFormat="1"/>
    <row r="2424" s="563" customFormat="1"/>
    <row r="2425" s="563" customFormat="1"/>
    <row r="2426" s="563" customFormat="1"/>
    <row r="2427" s="563" customFormat="1"/>
    <row r="2428" s="563" customFormat="1"/>
    <row r="2429" s="563" customFormat="1"/>
    <row r="2430" s="563" customFormat="1"/>
    <row r="2431" s="563" customFormat="1"/>
    <row r="2432" s="563" customFormat="1"/>
    <row r="2433" s="563" customFormat="1"/>
    <row r="2434" s="563" customFormat="1"/>
    <row r="2435" s="563" customFormat="1"/>
    <row r="2436" s="563" customFormat="1"/>
    <row r="2437" s="563" customFormat="1"/>
    <row r="2438" s="563" customFormat="1"/>
    <row r="2439" s="563" customFormat="1"/>
    <row r="2440" s="563" customFormat="1"/>
    <row r="2441" s="563" customFormat="1"/>
    <row r="2442" s="563" customFormat="1"/>
    <row r="2443" s="563" customFormat="1"/>
    <row r="2444" s="563" customFormat="1"/>
    <row r="2445" s="563" customFormat="1"/>
    <row r="2446" s="563" customFormat="1"/>
    <row r="2447" s="563" customFormat="1"/>
    <row r="2448" s="563" customFormat="1"/>
    <row r="2449" s="563" customFormat="1"/>
    <row r="2450" s="563" customFormat="1"/>
    <row r="2451" s="563" customFormat="1"/>
    <row r="2452" s="563" customFormat="1"/>
    <row r="2453" s="563" customFormat="1"/>
    <row r="2454" s="563" customFormat="1"/>
    <row r="2455" s="563" customFormat="1"/>
    <row r="2456" s="563" customFormat="1"/>
    <row r="2457" s="563" customFormat="1"/>
    <row r="2458" s="563" customFormat="1"/>
    <row r="2459" s="563" customFormat="1"/>
    <row r="2460" s="563" customFormat="1"/>
    <row r="2461" s="563" customFormat="1"/>
    <row r="2462" s="563" customFormat="1"/>
    <row r="2463" s="563" customFormat="1"/>
    <row r="2464" s="563" customFormat="1"/>
    <row r="2465" s="563" customFormat="1"/>
    <row r="2466" s="563" customFormat="1"/>
    <row r="2467" s="563" customFormat="1"/>
    <row r="2468" s="563" customFormat="1"/>
    <row r="2469" s="563" customFormat="1"/>
    <row r="2470" s="563" customFormat="1"/>
    <row r="2471" s="563" customFormat="1"/>
    <row r="2472" s="563" customFormat="1"/>
    <row r="2473" s="563" customFormat="1"/>
    <row r="2474" s="563" customFormat="1"/>
    <row r="2475" s="563" customFormat="1"/>
    <row r="2476" s="563" customFormat="1"/>
    <row r="2477" s="563" customFormat="1"/>
    <row r="2478" s="563" customFormat="1"/>
    <row r="2479" s="563" customFormat="1"/>
    <row r="2480" s="563" customFormat="1"/>
    <row r="2481" s="563" customFormat="1"/>
    <row r="2482" s="563" customFormat="1"/>
    <row r="2483" s="563" customFormat="1"/>
    <row r="2484" s="563" customFormat="1"/>
    <row r="2485" s="563" customFormat="1"/>
    <row r="2486" s="563" customFormat="1"/>
    <row r="2487" s="563" customFormat="1"/>
    <row r="2488" s="563" customFormat="1"/>
    <row r="2489" s="563" customFormat="1"/>
    <row r="2490" s="563" customFormat="1"/>
    <row r="2491" s="563" customFormat="1"/>
    <row r="2492" s="563" customFormat="1"/>
    <row r="2493" s="563" customFormat="1"/>
    <row r="2494" s="563" customFormat="1"/>
    <row r="2495" s="563" customFormat="1"/>
    <row r="2496" s="563" customFormat="1"/>
    <row r="2497" s="563" customFormat="1"/>
    <row r="2498" s="563" customFormat="1"/>
    <row r="2499" s="563" customFormat="1"/>
    <row r="2500" s="563" customFormat="1"/>
    <row r="2501" s="563" customFormat="1"/>
    <row r="2502" s="563" customFormat="1"/>
    <row r="2503" s="563" customFormat="1"/>
    <row r="2504" s="563" customFormat="1"/>
    <row r="2505" s="563" customFormat="1"/>
    <row r="2506" s="563" customFormat="1"/>
    <row r="2507" s="563" customFormat="1"/>
    <row r="2508" s="563" customFormat="1"/>
    <row r="2509" s="563" customFormat="1"/>
    <row r="2510" s="563" customFormat="1"/>
    <row r="2511" s="563" customFormat="1"/>
    <row r="2512" s="563" customFormat="1"/>
    <row r="2513" s="563" customFormat="1"/>
    <row r="2514" s="563" customFormat="1"/>
    <row r="2515" s="563" customFormat="1"/>
    <row r="2516" s="563" customFormat="1"/>
    <row r="2517" s="563" customFormat="1"/>
    <row r="2518" s="563" customFormat="1"/>
    <row r="2519" s="563" customFormat="1"/>
    <row r="2520" s="563" customFormat="1"/>
    <row r="2521" s="563" customFormat="1"/>
    <row r="2522" s="563" customFormat="1"/>
    <row r="2523" s="563" customFormat="1"/>
    <row r="2524" s="563" customFormat="1"/>
    <row r="2525" s="563" customFormat="1"/>
    <row r="2526" s="563" customFormat="1"/>
    <row r="2527" s="563" customFormat="1"/>
    <row r="2528" s="563" customFormat="1"/>
    <row r="2529" s="563" customFormat="1"/>
    <row r="2530" s="563" customFormat="1"/>
    <row r="2531" s="563" customFormat="1"/>
    <row r="2532" s="563" customFormat="1"/>
    <row r="2533" s="563" customFormat="1"/>
    <row r="2534" s="563" customFormat="1"/>
    <row r="2535" s="563" customFormat="1"/>
    <row r="2536" s="563" customFormat="1"/>
    <row r="2537" s="563" customFormat="1"/>
    <row r="2538" s="563" customFormat="1"/>
    <row r="2539" s="563" customFormat="1"/>
    <row r="2540" s="563" customFormat="1"/>
    <row r="2541" s="563" customFormat="1"/>
    <row r="2542" s="563" customFormat="1"/>
    <row r="2543" s="563" customFormat="1"/>
    <row r="2544" s="563" customFormat="1"/>
    <row r="2545" s="563" customFormat="1"/>
    <row r="2546" s="563" customFormat="1"/>
    <row r="2547" s="563" customFormat="1"/>
    <row r="2548" s="563" customFormat="1"/>
    <row r="2549" s="563" customFormat="1"/>
    <row r="2550" s="563" customFormat="1"/>
    <row r="2551" s="563" customFormat="1"/>
    <row r="2552" s="563" customFormat="1"/>
    <row r="2553" s="563" customFormat="1"/>
    <row r="2554" s="563" customFormat="1"/>
    <row r="2555" s="563" customFormat="1"/>
    <row r="2556" s="563" customFormat="1"/>
    <row r="2557" s="563" customFormat="1"/>
    <row r="2558" s="563" customFormat="1"/>
    <row r="2559" s="563" customFormat="1"/>
    <row r="2560" s="563" customFormat="1"/>
    <row r="2561" s="563" customFormat="1"/>
    <row r="2562" s="563" customFormat="1"/>
    <row r="2563" s="563" customFormat="1"/>
    <row r="2564" s="563" customFormat="1"/>
    <row r="2565" s="563" customFormat="1"/>
    <row r="2566" s="563" customFormat="1"/>
    <row r="2567" s="563" customFormat="1"/>
    <row r="2568" s="563" customFormat="1"/>
    <row r="2569" s="563" customFormat="1"/>
    <row r="2570" s="563" customFormat="1"/>
    <row r="2571" s="563" customFormat="1"/>
    <row r="2572" s="563" customFormat="1"/>
    <row r="2573" s="563" customFormat="1"/>
    <row r="2574" s="563" customFormat="1"/>
    <row r="2575" s="563" customFormat="1"/>
    <row r="2576" s="563" customFormat="1"/>
    <row r="2577" s="563" customFormat="1"/>
    <row r="2578" s="563" customFormat="1"/>
    <row r="2579" s="563" customFormat="1"/>
    <row r="2580" s="563" customFormat="1"/>
    <row r="2581" s="563" customFormat="1"/>
    <row r="2582" s="563" customFormat="1"/>
    <row r="2583" s="563" customFormat="1"/>
    <row r="2584" s="563" customFormat="1"/>
    <row r="2585" s="563" customFormat="1"/>
    <row r="2586" s="563" customFormat="1"/>
    <row r="2587" s="563" customFormat="1"/>
    <row r="2588" s="563" customFormat="1"/>
    <row r="2589" s="563" customFormat="1"/>
    <row r="2590" s="563" customFormat="1"/>
    <row r="2591" s="563" customFormat="1"/>
    <row r="2592" s="563" customFormat="1"/>
    <row r="2593" s="563" customFormat="1"/>
    <row r="2594" s="563" customFormat="1"/>
    <row r="2595" s="563" customFormat="1"/>
    <row r="2596" s="563" customFormat="1"/>
    <row r="2597" s="563" customFormat="1"/>
    <row r="2598" s="563" customFormat="1"/>
    <row r="2599" s="563" customFormat="1"/>
    <row r="2600" s="563" customFormat="1"/>
    <row r="2601" s="563" customFormat="1"/>
    <row r="2602" s="563" customFormat="1"/>
    <row r="2603" s="563" customFormat="1"/>
    <row r="2604" s="563" customFormat="1"/>
    <row r="2605" s="563" customFormat="1"/>
    <row r="2606" s="563" customFormat="1"/>
    <row r="2607" s="563" customFormat="1"/>
    <row r="2608" s="563" customFormat="1"/>
    <row r="2609" s="563" customFormat="1"/>
    <row r="2610" s="563" customFormat="1"/>
    <row r="2611" s="563" customFormat="1"/>
    <row r="2612" s="563" customFormat="1"/>
    <row r="2613" s="563" customFormat="1"/>
    <row r="2614" s="563" customFormat="1"/>
    <row r="2615" s="563" customFormat="1"/>
    <row r="2616" s="563" customFormat="1"/>
    <row r="2617" s="563" customFormat="1"/>
    <row r="2618" s="563" customFormat="1"/>
    <row r="2619" s="563" customFormat="1"/>
    <row r="2620" s="563" customFormat="1"/>
    <row r="2621" s="563" customFormat="1"/>
    <row r="2622" s="563" customFormat="1"/>
    <row r="2623" s="563" customFormat="1"/>
    <row r="2624" s="563" customFormat="1"/>
    <row r="2625" s="563" customFormat="1"/>
    <row r="2626" s="563" customFormat="1"/>
    <row r="2627" s="563" customFormat="1"/>
    <row r="2628" s="563" customFormat="1"/>
    <row r="2629" s="563" customFormat="1"/>
    <row r="2630" s="563" customFormat="1"/>
    <row r="2631" s="563" customFormat="1"/>
    <row r="2632" s="563" customFormat="1"/>
    <row r="2633" s="563" customFormat="1"/>
    <row r="2634" s="563" customFormat="1"/>
    <row r="2635" s="563" customFormat="1"/>
    <row r="2636" s="563" customFormat="1"/>
    <row r="2637" s="563" customFormat="1"/>
    <row r="2638" s="563" customFormat="1"/>
    <row r="2639" s="563" customFormat="1"/>
    <row r="2640" s="563" customFormat="1"/>
    <row r="2641" s="563" customFormat="1"/>
    <row r="2642" s="563" customFormat="1"/>
    <row r="2643" s="563" customFormat="1"/>
    <row r="2644" s="563" customFormat="1"/>
    <row r="2645" s="563" customFormat="1"/>
    <row r="2646" s="563" customFormat="1"/>
    <row r="2647" s="563" customFormat="1"/>
    <row r="2648" s="563" customFormat="1"/>
    <row r="2649" s="563" customFormat="1"/>
    <row r="2650" s="563" customFormat="1"/>
    <row r="2651" s="563" customFormat="1"/>
    <row r="2652" s="563" customFormat="1"/>
    <row r="2653" s="563" customFormat="1"/>
    <row r="2654" s="563" customFormat="1"/>
    <row r="2655" s="563" customFormat="1"/>
    <row r="2656" s="563" customFormat="1"/>
    <row r="2657" s="563" customFormat="1"/>
    <row r="2658" s="563" customFormat="1"/>
    <row r="2659" s="563" customFormat="1"/>
    <row r="2660" s="563" customFormat="1"/>
    <row r="2661" s="563" customFormat="1"/>
    <row r="2662" s="563" customFormat="1"/>
    <row r="2663" s="563" customFormat="1"/>
    <row r="2664" s="563" customFormat="1"/>
    <row r="2665" s="563" customFormat="1"/>
    <row r="2666" s="563" customFormat="1"/>
    <row r="2667" s="563" customFormat="1"/>
    <row r="2668" s="563" customFormat="1"/>
    <row r="2669" s="563" customFormat="1"/>
    <row r="2670" s="563" customFormat="1"/>
    <row r="2671" s="563" customFormat="1"/>
    <row r="2672" s="563" customFormat="1"/>
    <row r="2673" s="563" customFormat="1"/>
    <row r="2674" s="563" customFormat="1"/>
    <row r="2675" s="563" customFormat="1"/>
    <row r="2676" s="563" customFormat="1"/>
    <row r="2677" s="563" customFormat="1"/>
    <row r="2678" s="563" customFormat="1"/>
    <row r="2679" s="563" customFormat="1"/>
    <row r="2680" s="563" customFormat="1"/>
    <row r="2681" s="563" customFormat="1"/>
    <row r="2682" s="563" customFormat="1"/>
    <row r="2683" s="563" customFormat="1"/>
    <row r="2684" s="563" customFormat="1"/>
    <row r="2685" s="563" customFormat="1"/>
    <row r="2686" s="563" customFormat="1"/>
    <row r="2687" s="563" customFormat="1"/>
    <row r="2688" s="563" customFormat="1"/>
    <row r="2689" s="563" customFormat="1"/>
    <row r="2690" s="563" customFormat="1"/>
    <row r="2691" s="563" customFormat="1"/>
    <row r="2692" s="563" customFormat="1"/>
    <row r="2693" s="563" customFormat="1"/>
    <row r="2694" s="563" customFormat="1"/>
    <row r="2695" s="563" customFormat="1"/>
    <row r="2696" s="563" customFormat="1"/>
    <row r="2697" s="563" customFormat="1"/>
    <row r="2698" s="563" customFormat="1"/>
    <row r="2699" s="563" customFormat="1"/>
    <row r="2700" s="563" customFormat="1"/>
    <row r="2701" s="563" customFormat="1"/>
    <row r="2702" s="563" customFormat="1"/>
    <row r="2703" s="563" customFormat="1"/>
    <row r="2704" s="563" customFormat="1"/>
    <row r="2705" s="563" customFormat="1"/>
    <row r="2706" s="563" customFormat="1"/>
    <row r="2707" s="563" customFormat="1"/>
    <row r="2708" s="563" customFormat="1"/>
    <row r="2709" s="563" customFormat="1"/>
    <row r="2710" s="563" customFormat="1"/>
    <row r="2711" s="563" customFormat="1"/>
    <row r="2712" s="563" customFormat="1"/>
    <row r="2713" s="563" customFormat="1"/>
    <row r="2714" s="563" customFormat="1"/>
    <row r="2715" s="563" customFormat="1"/>
    <row r="2716" s="563" customFormat="1"/>
    <row r="2717" s="563" customFormat="1"/>
    <row r="2718" s="563" customFormat="1"/>
    <row r="2719" s="563" customFormat="1"/>
    <row r="2720" s="563" customFormat="1"/>
    <row r="2721" s="563" customFormat="1"/>
    <row r="2722" s="563" customFormat="1"/>
    <row r="2723" s="563" customFormat="1"/>
    <row r="2724" s="563" customFormat="1"/>
    <row r="2725" s="563" customFormat="1"/>
    <row r="2726" s="563" customFormat="1"/>
    <row r="2727" s="563" customFormat="1"/>
    <row r="2728" s="563" customFormat="1"/>
    <row r="2729" s="563" customFormat="1"/>
    <row r="2730" s="563" customFormat="1"/>
    <row r="2731" s="563" customFormat="1"/>
    <row r="2732" s="563" customFormat="1"/>
    <row r="2733" s="563" customFormat="1"/>
    <row r="2734" s="563" customFormat="1"/>
    <row r="2735" s="563" customFormat="1"/>
    <row r="2736" s="563" customFormat="1"/>
    <row r="2737" s="563" customFormat="1"/>
    <row r="2738" s="563" customFormat="1"/>
    <row r="2739" s="563" customFormat="1"/>
    <row r="2740" s="563" customFormat="1"/>
    <row r="2741" s="563" customFormat="1"/>
    <row r="2742" s="563" customFormat="1"/>
    <row r="2743" s="563" customFormat="1"/>
    <row r="2744" s="563" customFormat="1"/>
    <row r="2745" s="563" customFormat="1"/>
    <row r="2746" s="563" customFormat="1"/>
    <row r="2747" s="563" customFormat="1"/>
    <row r="2748" s="563" customFormat="1"/>
    <row r="2749" s="563" customFormat="1"/>
    <row r="2750" s="563" customFormat="1"/>
    <row r="2751" s="563" customFormat="1"/>
    <row r="2752" s="563" customFormat="1"/>
    <row r="2753" s="563" customFormat="1"/>
    <row r="2754" s="563" customFormat="1"/>
    <row r="2755" s="563" customFormat="1"/>
    <row r="2756" s="563" customFormat="1"/>
    <row r="2757" s="563" customFormat="1"/>
    <row r="2758" s="563" customFormat="1"/>
    <row r="2759" s="563" customFormat="1"/>
    <row r="2760" s="563" customFormat="1"/>
    <row r="2761" s="563" customFormat="1"/>
    <row r="2762" s="563" customFormat="1"/>
    <row r="2763" s="563" customFormat="1"/>
    <row r="2764" s="563" customFormat="1"/>
    <row r="2765" s="563" customFormat="1"/>
    <row r="2766" s="563" customFormat="1"/>
    <row r="2767" s="563" customFormat="1"/>
    <row r="2768" s="563" customFormat="1"/>
    <row r="2769" s="563" customFormat="1"/>
    <row r="2770" s="563" customFormat="1"/>
    <row r="2771" s="563" customFormat="1"/>
    <row r="2772" s="563" customFormat="1"/>
    <row r="2773" s="563" customFormat="1"/>
    <row r="2774" s="563" customFormat="1"/>
    <row r="2775" s="563" customFormat="1"/>
    <row r="2776" s="563" customFormat="1"/>
    <row r="2777" s="563" customFormat="1"/>
    <row r="2778" s="563" customFormat="1"/>
    <row r="2779" s="563" customFormat="1"/>
    <row r="2780" s="563" customFormat="1"/>
    <row r="2781" s="563" customFormat="1"/>
    <row r="2782" s="563" customFormat="1"/>
    <row r="2783" s="563" customFormat="1"/>
    <row r="2784" s="563" customFormat="1"/>
    <row r="2785" s="563" customFormat="1"/>
    <row r="2786" s="563" customFormat="1"/>
    <row r="2787" s="563" customFormat="1"/>
    <row r="2788" s="563" customFormat="1"/>
    <row r="2789" s="563" customFormat="1"/>
    <row r="2790" s="563" customFormat="1"/>
    <row r="2791" s="563" customFormat="1"/>
    <row r="2792" s="563" customFormat="1"/>
    <row r="2793" s="563" customFormat="1"/>
    <row r="2794" s="563" customFormat="1"/>
    <row r="2795" s="563" customFormat="1"/>
    <row r="2796" s="563" customFormat="1"/>
    <row r="2797" s="563" customFormat="1"/>
    <row r="2798" s="563" customFormat="1"/>
    <row r="2799" s="563" customFormat="1"/>
    <row r="2800" s="563" customFormat="1"/>
    <row r="2801" s="563" customFormat="1"/>
    <row r="2802" s="563" customFormat="1"/>
    <row r="2803" s="563" customFormat="1"/>
    <row r="2804" s="563" customFormat="1"/>
    <row r="2805" s="563" customFormat="1"/>
    <row r="2806" s="563" customFormat="1"/>
    <row r="2807" s="563" customFormat="1"/>
    <row r="2808" s="563" customFormat="1"/>
    <row r="2809" s="563" customFormat="1"/>
    <row r="2810" s="563" customFormat="1"/>
    <row r="2811" s="563" customFormat="1"/>
    <row r="2812" s="563" customFormat="1"/>
    <row r="2813" s="563" customFormat="1"/>
    <row r="2814" s="563" customFormat="1"/>
    <row r="2815" s="563" customFormat="1"/>
    <row r="2816" s="563" customFormat="1"/>
    <row r="2817" s="563" customFormat="1"/>
    <row r="2818" s="563" customFormat="1"/>
    <row r="2819" s="563" customFormat="1"/>
    <row r="2820" s="563" customFormat="1"/>
    <row r="2821" s="563" customFormat="1"/>
    <row r="2822" s="563" customFormat="1"/>
    <row r="2823" s="563" customFormat="1"/>
    <row r="2824" s="563" customFormat="1"/>
    <row r="2825" s="563" customFormat="1"/>
    <row r="2826" s="563" customFormat="1"/>
    <row r="2827" s="563" customFormat="1"/>
    <row r="2828" s="563" customFormat="1"/>
    <row r="2829" s="563" customFormat="1"/>
    <row r="2830" s="563" customFormat="1"/>
    <row r="2831" s="563" customFormat="1"/>
    <row r="2832" s="563" customFormat="1"/>
    <row r="2833" s="563" customFormat="1"/>
    <row r="2834" s="563" customFormat="1"/>
    <row r="2835" s="563" customFormat="1"/>
    <row r="2836" s="563" customFormat="1"/>
    <row r="2837" s="563" customFormat="1"/>
    <row r="2838" s="563" customFormat="1"/>
    <row r="2839" s="563" customFormat="1"/>
    <row r="2840" s="563" customFormat="1"/>
    <row r="2841" s="563" customFormat="1"/>
    <row r="2842" s="563" customFormat="1"/>
    <row r="2843" s="563" customFormat="1"/>
    <row r="2844" s="563" customFormat="1"/>
    <row r="2845" s="563" customFormat="1"/>
    <row r="2846" s="563" customFormat="1"/>
    <row r="2847" s="563" customFormat="1"/>
    <row r="2848" s="563" customFormat="1"/>
    <row r="2849" s="563" customFormat="1"/>
    <row r="2850" s="563" customFormat="1"/>
    <row r="2851" s="563" customFormat="1"/>
    <row r="2852" s="563" customFormat="1"/>
    <row r="2853" s="563" customFormat="1"/>
    <row r="2854" s="563" customFormat="1"/>
    <row r="2855" s="563" customFormat="1"/>
    <row r="2856" s="563" customFormat="1"/>
    <row r="2857" s="563" customFormat="1"/>
    <row r="2858" s="563" customFormat="1"/>
    <row r="2859" s="563" customFormat="1"/>
    <row r="2860" s="563" customFormat="1"/>
    <row r="2861" s="563" customFormat="1"/>
    <row r="2862" s="563" customFormat="1"/>
    <row r="2863" s="563" customFormat="1"/>
    <row r="2864" s="563" customFormat="1"/>
    <row r="2865" s="563" customFormat="1"/>
    <row r="2866" s="563" customFormat="1"/>
    <row r="2867" s="563" customFormat="1"/>
    <row r="2868" s="563" customFormat="1"/>
    <row r="2869" s="563" customFormat="1"/>
    <row r="2870" s="563" customFormat="1"/>
    <row r="2871" s="563" customFormat="1"/>
    <row r="2872" s="563" customFormat="1"/>
    <row r="2873" s="563" customFormat="1"/>
    <row r="2874" s="563" customFormat="1"/>
    <row r="2875" s="563" customFormat="1"/>
    <row r="2876" s="563" customFormat="1"/>
    <row r="2877" s="563" customFormat="1"/>
    <row r="2878" s="563" customFormat="1"/>
    <row r="2879" s="563" customFormat="1"/>
    <row r="2880" s="563" customFormat="1"/>
    <row r="2881" s="563" customFormat="1"/>
    <row r="2882" s="563" customFormat="1"/>
    <row r="2883" s="563" customFormat="1"/>
    <row r="2884" s="563" customFormat="1"/>
    <row r="2885" s="563" customFormat="1"/>
    <row r="2886" s="563" customFormat="1"/>
    <row r="2887" s="563" customFormat="1"/>
    <row r="2888" s="563" customFormat="1"/>
    <row r="2889" s="563" customFormat="1"/>
    <row r="2890" s="563" customFormat="1"/>
    <row r="2891" s="563" customFormat="1"/>
    <row r="2892" s="563" customFormat="1"/>
    <row r="2893" s="563" customFormat="1"/>
    <row r="2894" s="563" customFormat="1"/>
    <row r="2895" s="563" customFormat="1"/>
    <row r="2896" s="563" customFormat="1"/>
    <row r="2897" s="563" customFormat="1"/>
    <row r="2898" s="563" customFormat="1"/>
    <row r="2899" s="563" customFormat="1"/>
    <row r="2900" s="563" customFormat="1"/>
    <row r="2901" s="563" customFormat="1"/>
    <row r="2902" s="563" customFormat="1"/>
    <row r="2903" s="563" customFormat="1"/>
    <row r="2904" s="563" customFormat="1"/>
    <row r="2905" s="563" customFormat="1"/>
    <row r="2906" s="563" customFormat="1"/>
    <row r="2907" s="563" customFormat="1"/>
    <row r="2908" s="563" customFormat="1"/>
    <row r="2909" s="563" customFormat="1"/>
    <row r="2910" s="563" customFormat="1"/>
    <row r="2911" s="563" customFormat="1"/>
    <row r="2912" s="563" customFormat="1"/>
    <row r="2913" s="563" customFormat="1"/>
    <row r="2914" s="563" customFormat="1"/>
    <row r="2915" s="563" customFormat="1"/>
    <row r="2916" s="563" customFormat="1"/>
    <row r="2917" s="563" customFormat="1"/>
    <row r="2918" s="563" customFormat="1"/>
    <row r="2919" s="563" customFormat="1"/>
    <row r="2920" s="563" customFormat="1"/>
    <row r="2921" s="563" customFormat="1"/>
    <row r="2922" s="563" customFormat="1"/>
    <row r="2923" s="563" customFormat="1"/>
    <row r="2924" s="563" customFormat="1"/>
    <row r="2925" s="563" customFormat="1"/>
    <row r="2926" s="563" customFormat="1"/>
    <row r="2927" s="563" customFormat="1"/>
    <row r="2928" s="563" customFormat="1"/>
    <row r="2929" s="563" customFormat="1"/>
    <row r="2930" s="563" customFormat="1"/>
    <row r="2931" s="563" customFormat="1"/>
    <row r="2932" s="563" customFormat="1"/>
    <row r="2933" s="563" customFormat="1"/>
    <row r="2934" s="563" customFormat="1"/>
    <row r="2935" s="563" customFormat="1"/>
    <row r="2936" s="563" customFormat="1"/>
    <row r="2937" s="563" customFormat="1"/>
    <row r="2938" s="563" customFormat="1"/>
    <row r="2939" s="563" customFormat="1"/>
    <row r="2940" s="563" customFormat="1"/>
    <row r="2941" s="563" customFormat="1"/>
    <row r="2942" s="563" customFormat="1"/>
    <row r="2943" s="563" customFormat="1"/>
    <row r="2944" s="563" customFormat="1"/>
    <row r="2945" s="563" customFormat="1"/>
    <row r="2946" s="563" customFormat="1"/>
    <row r="2947" s="563" customFormat="1"/>
    <row r="2948" s="563" customFormat="1"/>
    <row r="2949" s="563" customFormat="1"/>
    <row r="2950" s="563" customFormat="1"/>
    <row r="2951" s="563" customFormat="1"/>
    <row r="2952" s="563" customFormat="1"/>
    <row r="2953" s="563" customFormat="1"/>
    <row r="2954" s="563" customFormat="1"/>
    <row r="2955" s="563" customFormat="1"/>
    <row r="2956" s="563" customFormat="1"/>
    <row r="2957" s="563" customFormat="1"/>
    <row r="2958" s="563" customFormat="1"/>
    <row r="2959" s="563" customFormat="1"/>
    <row r="2960" s="563" customFormat="1"/>
    <row r="2961" s="563" customFormat="1"/>
    <row r="2962" s="563" customFormat="1"/>
    <row r="2963" s="563" customFormat="1"/>
    <row r="2964" s="563" customFormat="1"/>
    <row r="2965" s="563" customFormat="1"/>
    <row r="2966" s="563" customFormat="1"/>
    <row r="2967" s="563" customFormat="1"/>
    <row r="2968" s="563" customFormat="1"/>
    <row r="2969" s="563" customFormat="1"/>
    <row r="2970" s="563" customFormat="1"/>
    <row r="2971" s="563" customFormat="1"/>
    <row r="2972" s="563" customFormat="1"/>
    <row r="2973" s="563" customFormat="1"/>
    <row r="2974" s="563" customFormat="1"/>
    <row r="2975" s="563" customFormat="1"/>
    <row r="2976" s="563" customFormat="1"/>
    <row r="2977" s="563" customFormat="1"/>
    <row r="2978" s="563" customFormat="1"/>
    <row r="2979" s="563" customFormat="1"/>
    <row r="2980" s="563" customFormat="1"/>
    <row r="2981" s="563" customFormat="1"/>
    <row r="2982" s="563" customFormat="1"/>
    <row r="2983" s="563" customFormat="1"/>
    <row r="2984" s="563" customFormat="1"/>
    <row r="2985" s="563" customFormat="1"/>
    <row r="2986" s="563" customFormat="1"/>
    <row r="2987" s="563" customFormat="1"/>
    <row r="2988" s="563" customFormat="1"/>
    <row r="2989" s="563" customFormat="1"/>
    <row r="2990" s="563" customFormat="1"/>
    <row r="2991" s="563" customFormat="1"/>
    <row r="2992" s="563" customFormat="1"/>
    <row r="2993" s="563" customFormat="1"/>
    <row r="2994" s="563" customFormat="1"/>
    <row r="2995" s="563" customFormat="1"/>
    <row r="2996" s="563" customFormat="1"/>
    <row r="2997" s="563" customFormat="1"/>
    <row r="2998" s="563" customFormat="1"/>
    <row r="2999" s="563" customFormat="1"/>
    <row r="3000" s="563" customFormat="1"/>
    <row r="3001" s="563" customFormat="1"/>
    <row r="3002" s="563" customFormat="1"/>
    <row r="3003" s="563" customFormat="1"/>
    <row r="3004" s="563" customFormat="1"/>
    <row r="3005" s="563" customFormat="1"/>
    <row r="3006" s="563" customFormat="1"/>
    <row r="3007" s="563" customFormat="1"/>
    <row r="3008" s="563" customFormat="1"/>
    <row r="3009" s="563" customFormat="1"/>
    <row r="3010" s="563" customFormat="1"/>
    <row r="3011" s="563" customFormat="1"/>
    <row r="3012" s="563" customFormat="1"/>
    <row r="3013" s="563" customFormat="1"/>
    <row r="3014" s="563" customFormat="1"/>
    <row r="3015" s="563" customFormat="1"/>
    <row r="3016" s="563" customFormat="1"/>
    <row r="3017" s="563" customFormat="1"/>
    <row r="3018" s="563" customFormat="1"/>
    <row r="3019" s="563" customFormat="1"/>
    <row r="3020" s="563" customFormat="1"/>
    <row r="3021" s="563" customFormat="1"/>
    <row r="3022" s="563" customFormat="1"/>
    <row r="3023" s="563" customFormat="1"/>
    <row r="3024" s="563" customFormat="1"/>
    <row r="3025" s="563" customFormat="1"/>
    <row r="3026" s="563" customFormat="1"/>
    <row r="3027" s="563" customFormat="1"/>
    <row r="3028" s="563" customFormat="1"/>
    <row r="3029" s="563" customFormat="1"/>
    <row r="3030" s="563" customFormat="1"/>
    <row r="3031" s="563" customFormat="1"/>
    <row r="3032" s="563" customFormat="1"/>
    <row r="3033" s="563" customFormat="1"/>
    <row r="3034" s="563" customFormat="1"/>
    <row r="3035" s="563" customFormat="1"/>
    <row r="3036" s="563" customFormat="1"/>
    <row r="3037" s="563" customFormat="1"/>
    <row r="3038" s="563" customFormat="1"/>
    <row r="3039" s="563" customFormat="1"/>
    <row r="3040" s="563" customFormat="1"/>
    <row r="3041" s="563" customFormat="1"/>
    <row r="3042" s="563" customFormat="1"/>
    <row r="3043" s="563" customFormat="1"/>
    <row r="3044" s="563" customFormat="1"/>
    <row r="3045" s="563" customFormat="1"/>
    <row r="3046" s="563" customFormat="1"/>
    <row r="3047" s="563" customFormat="1"/>
    <row r="3048" s="563" customFormat="1"/>
    <row r="3049" s="563" customFormat="1"/>
    <row r="3050" s="563" customFormat="1"/>
    <row r="3051" s="563" customFormat="1"/>
    <row r="3052" s="563" customFormat="1"/>
    <row r="3053" s="563" customFormat="1"/>
    <row r="3054" s="563" customFormat="1"/>
    <row r="3055" s="563" customFormat="1"/>
    <row r="3056" s="563" customFormat="1"/>
    <row r="3057" s="563" customFormat="1"/>
    <row r="3058" s="563" customFormat="1"/>
    <row r="3059" s="563" customFormat="1"/>
    <row r="3060" s="563" customFormat="1"/>
    <row r="3061" s="563" customFormat="1"/>
    <row r="3062" s="563" customFormat="1"/>
    <row r="3063" s="563" customFormat="1"/>
    <row r="3064" s="563" customFormat="1"/>
    <row r="3065" s="563" customFormat="1"/>
    <row r="3066" s="563" customFormat="1"/>
    <row r="3067" s="563" customFormat="1"/>
    <row r="3068" s="563" customFormat="1"/>
    <row r="3069" s="563" customFormat="1"/>
    <row r="3070" s="563" customFormat="1"/>
    <row r="3071" s="563" customFormat="1"/>
    <row r="3072" s="563" customFormat="1"/>
    <row r="3073" s="563" customFormat="1"/>
    <row r="3074" s="563" customFormat="1"/>
    <row r="3075" s="563" customFormat="1"/>
    <row r="3076" s="563" customFormat="1"/>
    <row r="3077" s="563" customFormat="1"/>
    <row r="3078" s="563" customFormat="1"/>
    <row r="3079" s="563" customFormat="1"/>
    <row r="3080" s="563" customFormat="1"/>
    <row r="3081" s="563" customFormat="1"/>
    <row r="3082" s="563" customFormat="1"/>
    <row r="3083" s="563" customFormat="1"/>
    <row r="3084" s="563" customFormat="1"/>
    <row r="3085" s="563" customFormat="1"/>
    <row r="3086" s="563" customFormat="1"/>
    <row r="3087" s="563" customFormat="1"/>
    <row r="3088" s="563" customFormat="1"/>
    <row r="3089" s="563" customFormat="1"/>
    <row r="3090" s="563" customFormat="1"/>
    <row r="3091" s="563" customFormat="1"/>
    <row r="3092" s="563" customFormat="1"/>
    <row r="3093" s="563" customFormat="1"/>
    <row r="3094" s="563" customFormat="1"/>
    <row r="3095" s="563" customFormat="1"/>
    <row r="3096" s="563" customFormat="1"/>
    <row r="3097" s="563" customFormat="1"/>
    <row r="3098" s="563" customFormat="1"/>
    <row r="3099" s="563" customFormat="1"/>
    <row r="3100" s="563" customFormat="1"/>
    <row r="3101" s="563" customFormat="1"/>
    <row r="3102" s="563" customFormat="1"/>
    <row r="3103" s="563" customFormat="1"/>
    <row r="3104" s="563" customFormat="1"/>
    <row r="3105" s="563" customFormat="1"/>
    <row r="3106" s="563" customFormat="1"/>
    <row r="3107" s="563" customFormat="1"/>
    <row r="3108" s="563" customFormat="1"/>
    <row r="3109" s="563" customFormat="1"/>
    <row r="3110" s="563" customFormat="1"/>
    <row r="3111" s="563" customFormat="1"/>
    <row r="3112" s="563" customFormat="1"/>
    <row r="3113" s="563" customFormat="1"/>
    <row r="3114" s="563" customFormat="1"/>
    <row r="3115" s="563" customFormat="1"/>
    <row r="3116" s="563" customFormat="1"/>
    <row r="3117" s="563" customFormat="1"/>
    <row r="3118" s="563" customFormat="1"/>
    <row r="3119" s="563" customFormat="1"/>
    <row r="3120" s="563" customFormat="1"/>
    <row r="3121" s="563" customFormat="1"/>
    <row r="3122" s="563" customFormat="1"/>
    <row r="3123" s="563" customFormat="1"/>
    <row r="3124" s="563" customFormat="1"/>
    <row r="3125" s="563" customFormat="1"/>
    <row r="3126" s="563" customFormat="1"/>
    <row r="3127" s="563" customFormat="1"/>
    <row r="3128" s="563" customFormat="1"/>
    <row r="3129" s="563" customFormat="1"/>
    <row r="3130" s="563" customFormat="1"/>
    <row r="3131" s="563" customFormat="1"/>
    <row r="3132" s="563" customFormat="1"/>
    <row r="3133" s="563" customFormat="1"/>
    <row r="3134" s="563" customFormat="1"/>
    <row r="3135" s="563" customFormat="1"/>
    <row r="3136" s="563" customFormat="1"/>
    <row r="3137" s="563" customFormat="1"/>
    <row r="3138" s="563" customFormat="1"/>
    <row r="3139" s="563" customFormat="1"/>
    <row r="3140" s="563" customFormat="1"/>
    <row r="3141" s="563" customFormat="1"/>
    <row r="3142" s="563" customFormat="1"/>
    <row r="3143" s="563" customFormat="1"/>
    <row r="3144" s="563" customFormat="1"/>
    <row r="3145" s="563" customFormat="1"/>
    <row r="3146" s="563" customFormat="1"/>
    <row r="3147" s="563" customFormat="1"/>
    <row r="3148" s="563" customFormat="1"/>
    <row r="3149" s="563" customFormat="1"/>
    <row r="3150" s="563" customFormat="1"/>
    <row r="3151" s="563" customFormat="1"/>
    <row r="3152" s="563" customFormat="1"/>
    <row r="3153" s="563" customFormat="1"/>
    <row r="3154" s="563" customFormat="1"/>
    <row r="3155" s="563" customFormat="1"/>
    <row r="3156" s="563" customFormat="1"/>
    <row r="3157" s="563" customFormat="1"/>
    <row r="3158" s="563" customFormat="1"/>
    <row r="3159" s="563" customFormat="1"/>
    <row r="3160" s="563" customFormat="1"/>
    <row r="3161" s="563" customFormat="1"/>
    <row r="3162" s="563" customFormat="1"/>
    <row r="3163" s="563" customFormat="1"/>
    <row r="3164" s="563" customFormat="1"/>
    <row r="3165" s="563" customFormat="1"/>
    <row r="3166" s="563" customFormat="1"/>
    <row r="3167" s="563" customFormat="1"/>
    <row r="3168" s="563" customFormat="1"/>
    <row r="3169" s="563" customFormat="1"/>
    <row r="3170" s="563" customFormat="1"/>
    <row r="3171" s="563" customFormat="1"/>
    <row r="3172" s="563" customFormat="1"/>
    <row r="3173" s="563" customFormat="1"/>
    <row r="3174" s="563" customFormat="1"/>
    <row r="3175" s="563" customFormat="1"/>
    <row r="3176" s="563" customFormat="1"/>
    <row r="3177" s="563" customFormat="1"/>
    <row r="3178" s="563" customFormat="1"/>
    <row r="3179" s="563" customFormat="1"/>
    <row r="3180" s="563" customFormat="1"/>
    <row r="3181" s="563" customFormat="1"/>
    <row r="3182" s="563" customFormat="1"/>
    <row r="3183" s="563" customFormat="1"/>
    <row r="3184" s="563" customFormat="1"/>
    <row r="3185" s="563" customFormat="1"/>
    <row r="3186" s="563" customFormat="1"/>
    <row r="3187" s="563" customFormat="1"/>
    <row r="3188" s="563" customFormat="1"/>
    <row r="3189" s="563" customFormat="1"/>
    <row r="3190" s="563" customFormat="1"/>
    <row r="3191" s="563" customFormat="1"/>
    <row r="3192" s="563" customFormat="1"/>
    <row r="3193" s="563" customFormat="1"/>
    <row r="3194" s="563" customFormat="1"/>
    <row r="3195" s="563" customFormat="1"/>
    <row r="3196" s="563" customFormat="1"/>
    <row r="3197" s="563" customFormat="1"/>
    <row r="3198" s="563" customFormat="1"/>
    <row r="3199" s="563" customFormat="1"/>
    <row r="3200" s="563" customFormat="1"/>
    <row r="3201" s="563" customFormat="1"/>
    <row r="3202" s="563" customFormat="1"/>
    <row r="3203" s="563" customFormat="1"/>
    <row r="3204" s="563" customFormat="1"/>
    <row r="3205" s="563" customFormat="1"/>
    <row r="3206" s="563" customFormat="1"/>
    <row r="3207" s="563" customFormat="1"/>
    <row r="3208" s="563" customFormat="1"/>
    <row r="3209" s="563" customFormat="1"/>
    <row r="3210" s="563" customFormat="1"/>
    <row r="3211" s="563" customFormat="1"/>
    <row r="3212" s="563" customFormat="1"/>
    <row r="3213" s="563" customFormat="1"/>
    <row r="3214" s="563" customFormat="1"/>
    <row r="3215" s="563" customFormat="1"/>
    <row r="3216" s="563" customFormat="1"/>
    <row r="3217" s="563" customFormat="1"/>
    <row r="3218" s="563" customFormat="1"/>
    <row r="3219" s="563" customFormat="1"/>
    <row r="3220" s="563" customFormat="1"/>
    <row r="3221" s="563" customFormat="1"/>
    <row r="3222" s="563" customFormat="1"/>
    <row r="3223" s="563" customFormat="1"/>
    <row r="3224" s="563" customFormat="1"/>
    <row r="3225" s="563" customFormat="1"/>
    <row r="3226" s="563" customFormat="1"/>
    <row r="3227" s="563" customFormat="1"/>
    <row r="3228" s="563" customFormat="1"/>
    <row r="3229" s="563" customFormat="1"/>
    <row r="3230" s="563" customFormat="1"/>
    <row r="3231" s="563" customFormat="1"/>
    <row r="3232" s="563" customFormat="1"/>
    <row r="3233" s="563" customFormat="1"/>
    <row r="3234" s="563" customFormat="1"/>
    <row r="3235" s="563" customFormat="1"/>
    <row r="3236" s="563" customFormat="1"/>
    <row r="3237" s="563" customFormat="1"/>
    <row r="3238" s="563" customFormat="1"/>
    <row r="3239" s="563" customFormat="1"/>
    <row r="3240" s="563" customFormat="1"/>
    <row r="3241" s="563" customFormat="1"/>
    <row r="3242" s="563" customFormat="1"/>
    <row r="3243" s="563" customFormat="1"/>
    <row r="3244" s="563" customFormat="1"/>
    <row r="3245" s="563" customFormat="1"/>
    <row r="3246" s="563" customFormat="1"/>
    <row r="3247" s="563" customFormat="1"/>
    <row r="3248" s="563" customFormat="1"/>
    <row r="3249" s="563" customFormat="1"/>
    <row r="3250" s="563" customFormat="1"/>
    <row r="3251" s="563" customFormat="1"/>
    <row r="3252" s="563" customFormat="1"/>
    <row r="3253" s="563" customFormat="1"/>
    <row r="3254" s="563" customFormat="1"/>
    <row r="3255" s="563" customFormat="1"/>
    <row r="3256" s="563" customFormat="1"/>
    <row r="3257" s="563" customFormat="1"/>
    <row r="3258" s="563" customFormat="1"/>
    <row r="3259" s="563" customFormat="1"/>
    <row r="3260" s="563" customFormat="1"/>
    <row r="3261" s="563" customFormat="1"/>
    <row r="3262" s="563" customFormat="1"/>
    <row r="3263" s="563" customFormat="1"/>
    <row r="3264" s="563" customFormat="1"/>
    <row r="3265" s="563" customFormat="1"/>
    <row r="3266" s="563" customFormat="1"/>
    <row r="3267" s="563" customFormat="1"/>
    <row r="3268" s="563" customFormat="1"/>
    <row r="3269" s="563" customFormat="1"/>
    <row r="3270" s="563" customFormat="1"/>
    <row r="3271" s="563" customFormat="1"/>
    <row r="3272" s="563" customFormat="1"/>
    <row r="3273" s="563" customFormat="1"/>
    <row r="3274" s="563" customFormat="1"/>
    <row r="3275" s="563" customFormat="1"/>
    <row r="3276" s="563" customFormat="1"/>
    <row r="3277" s="563" customFormat="1"/>
    <row r="3278" s="563" customFormat="1"/>
    <row r="3279" s="563" customFormat="1"/>
    <row r="3280" s="563" customFormat="1"/>
    <row r="3281" s="563" customFormat="1"/>
    <row r="3282" s="563" customFormat="1"/>
    <row r="3283" s="563" customFormat="1"/>
    <row r="3284" s="563" customFormat="1"/>
    <row r="3285" s="563" customFormat="1"/>
    <row r="3286" s="563" customFormat="1"/>
    <row r="3287" s="563" customFormat="1"/>
    <row r="3288" s="563" customFormat="1"/>
    <row r="3289" s="563" customFormat="1"/>
    <row r="3290" s="563" customFormat="1"/>
    <row r="3291" s="563" customFormat="1"/>
    <row r="3292" s="563" customFormat="1"/>
    <row r="3293" s="563" customFormat="1"/>
    <row r="3294" s="563" customFormat="1"/>
    <row r="3295" s="563" customFormat="1"/>
    <row r="3296" s="563" customFormat="1"/>
    <row r="3297" s="563" customFormat="1"/>
    <row r="3298" s="563" customFormat="1"/>
    <row r="3299" s="563" customFormat="1"/>
    <row r="3300" s="563" customFormat="1"/>
    <row r="3301" s="563" customFormat="1"/>
    <row r="3302" s="563" customFormat="1"/>
    <row r="3303" s="563" customFormat="1"/>
    <row r="3304" s="563" customFormat="1"/>
    <row r="3305" s="563" customFormat="1"/>
    <row r="3306" s="563" customFormat="1"/>
    <row r="3307" s="563" customFormat="1"/>
    <row r="3308" s="563" customFormat="1"/>
    <row r="3309" s="563" customFormat="1"/>
    <row r="3310" s="563" customFormat="1"/>
    <row r="3311" s="563" customFormat="1"/>
    <row r="3312" s="563" customFormat="1"/>
    <row r="3313" s="563" customFormat="1"/>
    <row r="3314" s="563" customFormat="1"/>
    <row r="3315" s="563" customFormat="1"/>
    <row r="3316" s="563" customFormat="1"/>
    <row r="3317" s="563" customFormat="1"/>
    <row r="3318" s="563" customFormat="1"/>
    <row r="3319" s="563" customFormat="1"/>
    <row r="3320" s="563" customFormat="1"/>
    <row r="3321" s="563" customFormat="1"/>
    <row r="3322" s="563" customFormat="1"/>
    <row r="3323" s="563" customFormat="1"/>
    <row r="3324" s="563" customFormat="1"/>
    <row r="3325" s="563" customFormat="1"/>
    <row r="3326" s="563" customFormat="1"/>
    <row r="3327" s="563" customFormat="1"/>
    <row r="3328" s="563" customFormat="1"/>
    <row r="3329" s="563" customFormat="1"/>
    <row r="3330" s="563" customFormat="1"/>
    <row r="3331" s="563" customFormat="1"/>
    <row r="3332" s="563" customFormat="1"/>
    <row r="3333" s="563" customFormat="1"/>
    <row r="3334" s="563" customFormat="1"/>
    <row r="3335" s="563" customFormat="1"/>
    <row r="3336" s="563" customFormat="1"/>
    <row r="3337" s="563" customFormat="1"/>
    <row r="3338" s="563" customFormat="1"/>
    <row r="3339" s="563" customFormat="1"/>
    <row r="3340" s="563" customFormat="1"/>
    <row r="3341" s="563" customFormat="1"/>
    <row r="3342" s="563" customFormat="1"/>
    <row r="3343" s="563" customFormat="1"/>
    <row r="3344" s="563" customFormat="1"/>
    <row r="3345" s="563" customFormat="1"/>
    <row r="3346" s="563" customFormat="1"/>
    <row r="3347" s="563" customFormat="1"/>
    <row r="3348" s="563" customFormat="1"/>
    <row r="3349" s="563" customFormat="1"/>
    <row r="3350" s="563" customFormat="1"/>
    <row r="3351" s="563" customFormat="1"/>
    <row r="3352" s="563" customFormat="1"/>
    <row r="3353" s="563" customFormat="1"/>
    <row r="3354" s="563" customFormat="1"/>
    <row r="3355" s="563" customFormat="1"/>
    <row r="3356" s="563" customFormat="1"/>
    <row r="3357" s="563" customFormat="1"/>
    <row r="3358" s="563" customFormat="1"/>
    <row r="3359" s="563" customFormat="1"/>
    <row r="3360" s="563" customFormat="1"/>
    <row r="3361" s="563" customFormat="1"/>
    <row r="3362" s="563" customFormat="1"/>
    <row r="3363" s="563" customFormat="1"/>
    <row r="3364" s="563" customFormat="1"/>
    <row r="3365" s="563" customFormat="1"/>
    <row r="3366" s="563" customFormat="1"/>
    <row r="3367" s="563" customFormat="1"/>
    <row r="3368" s="563" customFormat="1"/>
    <row r="3369" s="563" customFormat="1"/>
    <row r="3370" s="563" customFormat="1"/>
    <row r="3371" s="563" customFormat="1"/>
    <row r="3372" s="563" customFormat="1"/>
    <row r="3373" s="563" customFormat="1"/>
    <row r="3374" s="563" customFormat="1"/>
    <row r="3375" s="563" customFormat="1"/>
    <row r="3376" s="563" customFormat="1"/>
    <row r="3377" s="563" customFormat="1"/>
    <row r="3378" s="563" customFormat="1"/>
    <row r="3379" s="563" customFormat="1"/>
    <row r="3380" s="563" customFormat="1"/>
    <row r="3381" s="563" customFormat="1"/>
    <row r="3382" s="563" customFormat="1"/>
    <row r="3383" s="563" customFormat="1"/>
    <row r="3384" s="563" customFormat="1"/>
    <row r="3385" s="563" customFormat="1"/>
    <row r="3386" s="563" customFormat="1"/>
    <row r="3387" s="563" customFormat="1"/>
    <row r="3388" s="563" customFormat="1"/>
    <row r="3389" s="563" customFormat="1"/>
    <row r="3390" s="563" customFormat="1"/>
    <row r="3391" s="563" customFormat="1"/>
    <row r="3392" s="563" customFormat="1"/>
    <row r="3393" s="563" customFormat="1"/>
    <row r="3394" s="563" customFormat="1"/>
    <row r="3395" s="563" customFormat="1"/>
    <row r="3396" s="563" customFormat="1"/>
    <row r="3397" s="563" customFormat="1"/>
    <row r="3398" s="563" customFormat="1"/>
    <row r="3399" s="563" customFormat="1"/>
    <row r="3400" s="563" customFormat="1"/>
    <row r="3401" s="563" customFormat="1"/>
    <row r="3402" s="563" customFormat="1"/>
    <row r="3403" s="563" customFormat="1"/>
    <row r="3404" s="563" customFormat="1"/>
    <row r="3405" s="563" customFormat="1"/>
    <row r="3406" s="563" customFormat="1"/>
    <row r="3407" s="563" customFormat="1"/>
    <row r="3408" s="563" customFormat="1"/>
    <row r="3409" s="563" customFormat="1"/>
    <row r="3410" s="563" customFormat="1"/>
    <row r="3411" s="563" customFormat="1"/>
    <row r="3412" s="563" customFormat="1"/>
    <row r="3413" s="563" customFormat="1"/>
    <row r="3414" s="563" customFormat="1"/>
    <row r="3415" s="563" customFormat="1"/>
    <row r="3416" s="563" customFormat="1"/>
    <row r="3417" s="563" customFormat="1"/>
    <row r="3418" s="563" customFormat="1"/>
    <row r="3419" s="563" customFormat="1"/>
    <row r="3420" s="563" customFormat="1"/>
    <row r="3421" s="563" customFormat="1"/>
    <row r="3422" s="563" customFormat="1"/>
    <row r="3423" s="563" customFormat="1"/>
    <row r="3424" s="563" customFormat="1"/>
    <row r="3425" s="563" customFormat="1"/>
    <row r="3426" s="563" customFormat="1"/>
    <row r="3427" s="563" customFormat="1"/>
    <row r="3428" s="563" customFormat="1"/>
    <row r="3429" s="563" customFormat="1"/>
    <row r="3430" s="563" customFormat="1"/>
    <row r="3431" s="563" customFormat="1"/>
    <row r="3432" s="563" customFormat="1"/>
    <row r="3433" s="563" customFormat="1"/>
    <row r="3434" s="563" customFormat="1"/>
    <row r="3435" s="563" customFormat="1"/>
    <row r="3436" s="563" customFormat="1"/>
    <row r="3437" s="563" customFormat="1"/>
    <row r="3438" s="563" customFormat="1"/>
    <row r="3439" s="563" customFormat="1"/>
    <row r="3440" s="563" customFormat="1"/>
    <row r="3441" s="563" customFormat="1"/>
    <row r="3442" s="563" customFormat="1"/>
    <row r="3443" s="563" customFormat="1"/>
    <row r="3444" s="563" customFormat="1"/>
    <row r="3445" s="563" customFormat="1"/>
    <row r="3446" s="563" customFormat="1"/>
    <row r="3447" s="563" customFormat="1"/>
    <row r="3448" s="563" customFormat="1"/>
    <row r="3449" s="563" customFormat="1"/>
    <row r="3450" s="563" customFormat="1"/>
    <row r="3451" s="563" customFormat="1"/>
    <row r="3452" s="563" customFormat="1"/>
    <row r="3453" s="563" customFormat="1"/>
    <row r="3454" s="563" customFormat="1"/>
    <row r="3455" s="563" customFormat="1"/>
    <row r="3456" s="563" customFormat="1"/>
    <row r="3457" s="563" customFormat="1"/>
    <row r="3458" s="563" customFormat="1"/>
    <row r="3459" s="563" customFormat="1"/>
    <row r="3460" s="563" customFormat="1"/>
    <row r="3461" s="563" customFormat="1"/>
    <row r="3462" s="563" customFormat="1"/>
    <row r="3463" s="563" customFormat="1"/>
    <row r="3464" s="563" customFormat="1"/>
    <row r="3465" s="563" customFormat="1"/>
    <row r="3466" s="563" customFormat="1"/>
    <row r="3467" s="563" customFormat="1"/>
    <row r="3468" s="563" customFormat="1"/>
    <row r="3469" s="563" customFormat="1"/>
    <row r="3470" s="563" customFormat="1"/>
    <row r="3471" s="563" customFormat="1"/>
    <row r="3472" s="563" customFormat="1"/>
    <row r="3473" s="563" customFormat="1"/>
    <row r="3474" s="563" customFormat="1"/>
    <row r="3475" s="563" customFormat="1"/>
    <row r="3476" s="563" customFormat="1"/>
    <row r="3477" s="563" customFormat="1"/>
    <row r="3478" s="563" customFormat="1"/>
    <row r="3479" s="563" customFormat="1"/>
    <row r="3480" s="563" customFormat="1"/>
    <row r="3481" s="563" customFormat="1"/>
    <row r="3482" s="563" customFormat="1"/>
    <row r="3483" s="563" customFormat="1"/>
    <row r="3484" s="563" customFormat="1"/>
    <row r="3485" s="563" customFormat="1"/>
    <row r="3486" s="563" customFormat="1"/>
    <row r="3487" s="563" customFormat="1"/>
    <row r="3488" s="563" customFormat="1"/>
    <row r="3489" s="563" customFormat="1"/>
    <row r="3490" s="563" customFormat="1"/>
    <row r="3491" s="563" customFormat="1"/>
    <row r="3492" s="563" customFormat="1"/>
    <row r="3493" s="563" customFormat="1"/>
    <row r="3494" s="563" customFormat="1"/>
    <row r="3495" s="563" customFormat="1"/>
    <row r="3496" s="563" customFormat="1"/>
    <row r="3497" s="563" customFormat="1"/>
    <row r="3498" s="563" customFormat="1"/>
    <row r="3499" s="563" customFormat="1"/>
    <row r="3500" s="563" customFormat="1"/>
    <row r="3501" s="563" customFormat="1"/>
    <row r="3502" s="563" customFormat="1"/>
    <row r="3503" s="563" customFormat="1"/>
    <row r="3504" s="563" customFormat="1"/>
    <row r="3505" s="563" customFormat="1"/>
    <row r="3506" s="563" customFormat="1"/>
    <row r="3507" s="563" customFormat="1"/>
    <row r="3508" s="563" customFormat="1"/>
    <row r="3509" s="563" customFormat="1"/>
    <row r="3510" s="563" customFormat="1"/>
    <row r="3511" s="563" customFormat="1"/>
    <row r="3512" s="563" customFormat="1"/>
    <row r="3513" s="563" customFormat="1"/>
    <row r="3514" s="563" customFormat="1"/>
    <row r="3515" s="563" customFormat="1"/>
    <row r="3516" s="563" customFormat="1"/>
    <row r="3517" s="563" customFormat="1"/>
    <row r="3518" s="563" customFormat="1"/>
    <row r="3519" s="563" customFormat="1"/>
    <row r="3520" s="563" customFormat="1"/>
    <row r="3521" s="563" customFormat="1"/>
    <row r="3522" s="563" customFormat="1"/>
    <row r="3523" s="563" customFormat="1"/>
    <row r="3524" s="563" customFormat="1"/>
    <row r="3525" s="563" customFormat="1"/>
    <row r="3526" s="563" customFormat="1"/>
    <row r="3527" s="563" customFormat="1"/>
    <row r="3528" s="563" customFormat="1"/>
    <row r="3529" s="563" customFormat="1"/>
    <row r="3530" s="563" customFormat="1"/>
    <row r="3531" s="563" customFormat="1"/>
    <row r="3532" s="563" customFormat="1"/>
    <row r="3533" s="563" customFormat="1"/>
    <row r="3534" s="563" customFormat="1"/>
    <row r="3535" s="563" customFormat="1"/>
    <row r="3536" s="563" customFormat="1"/>
    <row r="3537" s="563" customFormat="1"/>
    <row r="3538" s="563" customFormat="1"/>
    <row r="3539" s="563" customFormat="1"/>
    <row r="3540" s="563" customFormat="1"/>
    <row r="3541" s="563" customFormat="1"/>
    <row r="3542" s="563" customFormat="1"/>
    <row r="3543" s="563" customFormat="1"/>
    <row r="3544" s="563" customFormat="1"/>
    <row r="3545" s="563" customFormat="1"/>
    <row r="3546" s="563" customFormat="1"/>
    <row r="3547" s="563" customFormat="1"/>
    <row r="3548" s="563" customFormat="1"/>
    <row r="3549" s="563" customFormat="1"/>
    <row r="3550" s="563" customFormat="1"/>
    <row r="3551" s="563" customFormat="1"/>
    <row r="3552" s="563" customFormat="1"/>
    <row r="3553" s="563" customFormat="1"/>
    <row r="3554" s="563" customFormat="1"/>
    <row r="3555" s="563" customFormat="1"/>
    <row r="3556" s="563" customFormat="1"/>
    <row r="3557" s="563" customFormat="1"/>
    <row r="3558" s="563" customFormat="1"/>
    <row r="3559" s="563" customFormat="1"/>
    <row r="3560" s="563" customFormat="1"/>
    <row r="3561" s="563" customFormat="1"/>
    <row r="3562" s="563" customFormat="1"/>
    <row r="3563" s="563" customFormat="1"/>
    <row r="3564" s="563" customFormat="1"/>
    <row r="3565" s="563" customFormat="1"/>
    <row r="3566" s="563" customFormat="1"/>
    <row r="3567" s="563" customFormat="1"/>
    <row r="3568" s="563" customFormat="1"/>
    <row r="3569" s="563" customFormat="1"/>
    <row r="3570" s="563" customFormat="1"/>
    <row r="3571" s="563" customFormat="1"/>
    <row r="3572" s="563" customFormat="1"/>
    <row r="3573" s="563" customFormat="1"/>
    <row r="3574" s="563" customFormat="1"/>
    <row r="3575" s="563" customFormat="1"/>
    <row r="3576" s="563" customFormat="1"/>
    <row r="3577" s="563" customFormat="1"/>
    <row r="3578" s="563" customFormat="1"/>
    <row r="3579" s="563" customFormat="1"/>
    <row r="3580" s="563" customFormat="1"/>
    <row r="3581" s="563" customFormat="1"/>
    <row r="3582" s="563" customFormat="1"/>
    <row r="3583" s="563" customFormat="1"/>
    <row r="3584" s="563" customFormat="1"/>
    <row r="3585" s="563" customFormat="1"/>
    <row r="3586" s="563" customFormat="1"/>
    <row r="3587" s="563" customFormat="1"/>
    <row r="3588" s="563" customFormat="1"/>
    <row r="3589" s="563" customFormat="1"/>
    <row r="3590" s="563" customFormat="1"/>
    <row r="3591" s="563" customFormat="1"/>
    <row r="3592" s="563" customFormat="1"/>
    <row r="3593" s="563" customFormat="1"/>
    <row r="3594" s="563" customFormat="1"/>
    <row r="3595" s="563" customFormat="1"/>
    <row r="3596" s="563" customFormat="1"/>
    <row r="3597" s="563" customFormat="1"/>
    <row r="3598" s="563" customFormat="1"/>
    <row r="3599" s="563" customFormat="1"/>
    <row r="3600" s="563" customFormat="1"/>
    <row r="3601" s="563" customFormat="1"/>
    <row r="3602" s="563" customFormat="1"/>
    <row r="3603" s="563" customFormat="1"/>
    <row r="3604" s="563" customFormat="1"/>
    <row r="3605" s="563" customFormat="1"/>
    <row r="3606" s="563" customFormat="1"/>
    <row r="3607" s="563" customFormat="1"/>
    <row r="3608" s="563" customFormat="1"/>
    <row r="3609" s="563" customFormat="1"/>
    <row r="3610" s="563" customFormat="1"/>
    <row r="3611" s="563" customFormat="1"/>
    <row r="3612" s="563" customFormat="1"/>
    <row r="3613" s="563" customFormat="1"/>
    <row r="3614" s="563" customFormat="1"/>
    <row r="3615" s="563" customFormat="1"/>
    <row r="3616" s="563" customFormat="1"/>
    <row r="3617" s="563" customFormat="1"/>
    <row r="3618" s="563" customFormat="1"/>
    <row r="3619" s="563" customFormat="1"/>
    <row r="3620" s="563" customFormat="1"/>
    <row r="3621" s="563" customFormat="1"/>
    <row r="3622" s="563" customFormat="1"/>
    <row r="3623" s="563" customFormat="1"/>
    <row r="3624" s="563" customFormat="1"/>
    <row r="3625" s="563" customFormat="1"/>
    <row r="3626" s="563" customFormat="1"/>
    <row r="3627" s="563" customFormat="1"/>
    <row r="3628" s="563" customFormat="1"/>
    <row r="3629" s="563" customFormat="1"/>
    <row r="3630" s="563" customFormat="1"/>
    <row r="3631" s="563" customFormat="1"/>
    <row r="3632" s="563" customFormat="1"/>
    <row r="3633" s="563" customFormat="1"/>
    <row r="3634" s="563" customFormat="1"/>
    <row r="3635" s="563" customFormat="1"/>
    <row r="3636" s="563" customFormat="1"/>
    <row r="3637" s="563" customFormat="1"/>
    <row r="3638" s="563" customFormat="1"/>
    <row r="3639" s="563" customFormat="1"/>
    <row r="3640" s="563" customFormat="1"/>
    <row r="3641" s="563" customFormat="1"/>
    <row r="3642" s="563" customFormat="1"/>
    <row r="3643" s="563" customFormat="1"/>
    <row r="3644" s="563" customFormat="1"/>
    <row r="3645" s="563" customFormat="1"/>
    <row r="3646" s="563" customFormat="1"/>
    <row r="3647" s="563" customFormat="1"/>
    <row r="3648" s="563" customFormat="1"/>
    <row r="3649" s="563" customFormat="1"/>
    <row r="3650" s="563" customFormat="1"/>
    <row r="3651" s="563" customFormat="1"/>
    <row r="3652" s="563" customFormat="1"/>
    <row r="3653" s="563" customFormat="1"/>
    <row r="3654" s="563" customFormat="1"/>
    <row r="3655" s="563" customFormat="1"/>
    <row r="3656" s="563" customFormat="1"/>
    <row r="3657" s="563" customFormat="1"/>
    <row r="3658" s="563" customFormat="1"/>
    <row r="3659" s="563" customFormat="1"/>
    <row r="3660" s="563" customFormat="1"/>
    <row r="3661" s="563" customFormat="1"/>
    <row r="3662" s="563" customFormat="1"/>
    <row r="3663" s="563" customFormat="1"/>
    <row r="3664" s="563" customFormat="1"/>
    <row r="3665" s="563" customFormat="1"/>
    <row r="3666" s="563" customFormat="1"/>
    <row r="3667" s="563" customFormat="1"/>
    <row r="3668" s="563" customFormat="1"/>
    <row r="3669" s="563" customFormat="1"/>
    <row r="3670" s="563" customFormat="1"/>
    <row r="3671" s="563" customFormat="1"/>
    <row r="3672" s="563" customFormat="1"/>
    <row r="3673" s="563" customFormat="1"/>
    <row r="3674" s="563" customFormat="1"/>
    <row r="3675" s="563" customFormat="1"/>
    <row r="3676" s="563" customFormat="1"/>
    <row r="3677" s="563" customFormat="1"/>
    <row r="3678" s="563" customFormat="1"/>
    <row r="3679" s="563" customFormat="1"/>
    <row r="3680" s="563" customFormat="1"/>
    <row r="3681" s="563" customFormat="1"/>
    <row r="3682" s="563" customFormat="1"/>
    <row r="3683" s="563" customFormat="1"/>
    <row r="3684" s="563" customFormat="1"/>
    <row r="3685" s="563" customFormat="1"/>
    <row r="3686" s="563" customFormat="1"/>
    <row r="3687" s="563" customFormat="1"/>
    <row r="3688" s="563" customFormat="1"/>
    <row r="3689" s="563" customFormat="1"/>
    <row r="3690" s="563" customFormat="1"/>
    <row r="3691" s="563" customFormat="1"/>
    <row r="3692" s="563" customFormat="1"/>
    <row r="3693" s="563" customFormat="1"/>
    <row r="3694" s="563" customFormat="1"/>
    <row r="3695" s="563" customFormat="1"/>
    <row r="3696" s="563" customFormat="1"/>
    <row r="3697" s="563" customFormat="1"/>
    <row r="3698" s="563" customFormat="1"/>
    <row r="3699" s="563" customFormat="1"/>
    <row r="3700" s="563" customFormat="1"/>
    <row r="3701" s="563" customFormat="1"/>
    <row r="3702" s="563" customFormat="1"/>
    <row r="3703" s="563" customFormat="1"/>
    <row r="3704" s="563" customFormat="1"/>
    <row r="3705" s="563" customFormat="1"/>
    <row r="3706" s="563" customFormat="1"/>
    <row r="3707" s="563" customFormat="1"/>
    <row r="3708" s="563" customFormat="1"/>
    <row r="3709" s="563" customFormat="1"/>
    <row r="3710" s="563" customFormat="1"/>
    <row r="3711" s="563" customFormat="1"/>
    <row r="3712" s="563" customFormat="1"/>
    <row r="3713" s="563" customFormat="1"/>
    <row r="3714" s="563" customFormat="1"/>
    <row r="3715" s="563" customFormat="1"/>
    <row r="3716" s="563" customFormat="1"/>
    <row r="3717" s="563" customFormat="1"/>
    <row r="3718" s="563" customFormat="1"/>
    <row r="3719" s="563" customFormat="1"/>
    <row r="3720" s="563" customFormat="1"/>
    <row r="3721" s="563" customFormat="1"/>
    <row r="3722" s="563" customFormat="1"/>
    <row r="3723" s="563" customFormat="1"/>
    <row r="3724" s="563" customFormat="1"/>
    <row r="3725" s="563" customFormat="1"/>
    <row r="3726" s="563" customFormat="1"/>
    <row r="3727" s="563" customFormat="1"/>
    <row r="3728" s="563" customFormat="1"/>
    <row r="3729" s="563" customFormat="1"/>
    <row r="3730" s="563" customFormat="1"/>
    <row r="3731" s="563" customFormat="1"/>
    <row r="3732" s="563" customFormat="1"/>
    <row r="3733" s="563" customFormat="1"/>
    <row r="3734" s="563" customFormat="1"/>
    <row r="3735" s="563" customFormat="1"/>
    <row r="3736" s="563" customFormat="1"/>
    <row r="3737" s="563" customFormat="1"/>
    <row r="3738" s="563" customFormat="1"/>
    <row r="3739" s="563" customFormat="1"/>
    <row r="3740" s="563" customFormat="1"/>
    <row r="3741" s="563" customFormat="1"/>
    <row r="3742" s="563" customFormat="1"/>
    <row r="3743" s="563" customFormat="1"/>
    <row r="3744" s="563" customFormat="1"/>
    <row r="3745" s="563" customFormat="1"/>
    <row r="3746" s="563" customFormat="1"/>
    <row r="3747" s="563" customFormat="1"/>
    <row r="3748" s="563" customFormat="1"/>
    <row r="3749" s="563" customFormat="1"/>
    <row r="3750" s="563" customFormat="1"/>
    <row r="3751" s="563" customFormat="1"/>
    <row r="3752" s="563" customFormat="1"/>
    <row r="3753" s="563" customFormat="1"/>
    <row r="3754" s="563" customFormat="1"/>
    <row r="3755" s="563" customFormat="1"/>
    <row r="3756" s="563" customFormat="1"/>
    <row r="3757" s="563" customFormat="1"/>
    <row r="3758" s="563" customFormat="1"/>
    <row r="3759" s="563" customFormat="1"/>
    <row r="3760" s="563" customFormat="1"/>
    <row r="3761" s="563" customFormat="1"/>
    <row r="3762" s="563" customFormat="1"/>
    <row r="3763" s="563" customFormat="1"/>
    <row r="3764" s="563" customFormat="1"/>
    <row r="3765" s="563" customFormat="1"/>
    <row r="3766" s="563" customFormat="1"/>
    <row r="3767" s="563" customFormat="1"/>
    <row r="3768" s="563" customFormat="1"/>
    <row r="3769" s="563" customFormat="1"/>
    <row r="3770" s="563" customFormat="1"/>
    <row r="3771" s="563" customFormat="1"/>
    <row r="3772" s="563" customFormat="1"/>
    <row r="3773" s="563" customFormat="1"/>
    <row r="3774" s="563" customFormat="1"/>
    <row r="3775" s="563" customFormat="1"/>
    <row r="3776" s="563" customFormat="1"/>
    <row r="3777" s="563" customFormat="1"/>
    <row r="3778" s="563" customFormat="1"/>
    <row r="3779" s="563" customFormat="1"/>
    <row r="3780" s="563" customFormat="1"/>
    <row r="3781" s="563" customFormat="1"/>
    <row r="3782" s="563" customFormat="1"/>
    <row r="3783" s="563" customFormat="1"/>
    <row r="3784" s="563" customFormat="1"/>
    <row r="3785" s="563" customFormat="1"/>
    <row r="3786" s="563" customFormat="1"/>
    <row r="3787" s="563" customFormat="1"/>
    <row r="3788" s="563" customFormat="1"/>
    <row r="3789" s="563" customFormat="1"/>
    <row r="3790" s="563" customFormat="1"/>
    <row r="3791" s="563" customFormat="1"/>
    <row r="3792" s="563" customFormat="1"/>
    <row r="3793" s="563" customFormat="1"/>
    <row r="3794" s="563" customFormat="1"/>
    <row r="3795" s="563" customFormat="1"/>
    <row r="3796" s="563" customFormat="1"/>
    <row r="3797" s="563" customFormat="1"/>
    <row r="3798" s="563" customFormat="1"/>
    <row r="3799" s="563" customFormat="1"/>
    <row r="3800" s="563" customFormat="1"/>
    <row r="3801" s="563" customFormat="1"/>
    <row r="3802" s="563" customFormat="1"/>
    <row r="3803" s="563" customFormat="1"/>
    <row r="3804" s="563" customFormat="1"/>
    <row r="3805" s="563" customFormat="1"/>
    <row r="3806" s="563" customFormat="1"/>
    <row r="3807" s="563" customFormat="1"/>
    <row r="3808" s="563" customFormat="1"/>
    <row r="3809" s="563" customFormat="1"/>
    <row r="3810" s="563" customFormat="1"/>
    <row r="3811" s="563" customFormat="1"/>
    <row r="3812" s="563" customFormat="1"/>
    <row r="3813" s="563" customFormat="1"/>
    <row r="3814" s="563" customFormat="1"/>
    <row r="3815" s="563" customFormat="1"/>
    <row r="3816" s="563" customFormat="1"/>
    <row r="3817" s="563" customFormat="1"/>
    <row r="3818" s="563" customFormat="1"/>
    <row r="3819" s="563" customFormat="1"/>
    <row r="3820" s="563" customFormat="1"/>
    <row r="3821" s="563" customFormat="1"/>
    <row r="3822" s="563" customFormat="1"/>
    <row r="3823" s="563" customFormat="1"/>
    <row r="3824" s="563" customFormat="1"/>
    <row r="3825" s="563" customFormat="1"/>
    <row r="3826" s="563" customFormat="1"/>
    <row r="3827" s="563" customFormat="1"/>
    <row r="3828" s="563" customFormat="1"/>
    <row r="3829" s="563" customFormat="1"/>
    <row r="3830" s="563" customFormat="1"/>
    <row r="3831" s="563" customFormat="1"/>
    <row r="3832" s="563" customFormat="1"/>
    <row r="3833" s="563" customFormat="1"/>
    <row r="3834" s="563" customFormat="1"/>
    <row r="3835" s="563" customFormat="1"/>
    <row r="3836" s="563" customFormat="1"/>
    <row r="3837" s="563" customFormat="1"/>
    <row r="3838" s="563" customFormat="1"/>
    <row r="3839" s="563" customFormat="1"/>
    <row r="3840" s="563" customFormat="1"/>
    <row r="3841" s="563" customFormat="1"/>
    <row r="3842" s="563" customFormat="1"/>
    <row r="3843" s="563" customFormat="1"/>
    <row r="3844" s="563" customFormat="1"/>
    <row r="3845" s="563" customFormat="1"/>
    <row r="3846" s="563" customFormat="1"/>
    <row r="3847" s="563" customFormat="1"/>
    <row r="3848" s="563" customFormat="1"/>
    <row r="3849" s="563" customFormat="1"/>
    <row r="3850" s="563" customFormat="1"/>
    <row r="3851" s="563" customFormat="1"/>
    <row r="3852" s="563" customFormat="1"/>
    <row r="3853" s="563" customFormat="1"/>
    <row r="3854" s="563" customFormat="1"/>
    <row r="3855" s="563" customFormat="1"/>
    <row r="3856" s="563" customFormat="1"/>
    <row r="3857" s="563" customFormat="1"/>
    <row r="3858" s="563" customFormat="1"/>
    <row r="3859" s="563" customFormat="1"/>
    <row r="3860" s="563" customFormat="1"/>
    <row r="3861" s="563" customFormat="1"/>
    <row r="3862" s="563" customFormat="1"/>
    <row r="3863" s="563" customFormat="1"/>
    <row r="3864" s="563" customFormat="1"/>
    <row r="3865" s="563" customFormat="1"/>
    <row r="3866" s="563" customFormat="1"/>
    <row r="3867" s="563" customFormat="1"/>
    <row r="3868" s="563" customFormat="1"/>
    <row r="3869" s="563" customFormat="1"/>
    <row r="3870" s="563" customFormat="1"/>
    <row r="3871" s="563" customFormat="1"/>
    <row r="3872" s="563" customFormat="1"/>
    <row r="3873" s="563" customFormat="1"/>
    <row r="3874" s="563" customFormat="1"/>
    <row r="3875" s="563" customFormat="1"/>
    <row r="3876" s="563" customFormat="1"/>
    <row r="3877" s="563" customFormat="1"/>
    <row r="3878" s="563" customFormat="1"/>
    <row r="3879" s="563" customFormat="1"/>
    <row r="3880" s="563" customFormat="1"/>
    <row r="3881" s="563" customFormat="1"/>
    <row r="3882" s="563" customFormat="1"/>
    <row r="3883" s="563" customFormat="1"/>
    <row r="3884" s="563" customFormat="1"/>
    <row r="3885" s="563" customFormat="1"/>
    <row r="3886" s="563" customFormat="1"/>
    <row r="3887" s="563" customFormat="1"/>
    <row r="3888" s="563" customFormat="1"/>
    <row r="3889" s="563" customFormat="1"/>
    <row r="3890" s="563" customFormat="1"/>
    <row r="3891" s="563" customFormat="1"/>
    <row r="3892" s="563" customFormat="1"/>
    <row r="3893" s="563" customFormat="1"/>
    <row r="3894" s="563" customFormat="1"/>
    <row r="3895" s="563" customFormat="1"/>
    <row r="3896" s="563" customFormat="1"/>
    <row r="3897" s="563" customFormat="1"/>
    <row r="3898" s="563" customFormat="1"/>
    <row r="3899" s="563" customFormat="1"/>
    <row r="3900" s="563" customFormat="1"/>
    <row r="3901" s="563" customFormat="1"/>
    <row r="3902" s="563" customFormat="1"/>
    <row r="3903" s="563" customFormat="1"/>
    <row r="3904" s="563" customFormat="1"/>
    <row r="3905" s="563" customFormat="1"/>
    <row r="3906" s="563" customFormat="1"/>
    <row r="3907" s="563" customFormat="1"/>
    <row r="3908" s="563" customFormat="1"/>
    <row r="3909" s="563" customFormat="1"/>
    <row r="3910" s="563" customFormat="1"/>
    <row r="3911" s="563" customFormat="1"/>
    <row r="3912" s="563" customFormat="1"/>
    <row r="3913" s="563" customFormat="1"/>
    <row r="3914" s="563" customFormat="1"/>
    <row r="3915" s="563" customFormat="1"/>
    <row r="3916" s="563" customFormat="1"/>
    <row r="3917" s="563" customFormat="1"/>
    <row r="3918" s="563" customFormat="1"/>
    <row r="3919" s="563" customFormat="1"/>
    <row r="3920" s="563" customFormat="1"/>
    <row r="3921" s="563" customFormat="1"/>
    <row r="3922" s="563" customFormat="1"/>
    <row r="3923" s="563" customFormat="1"/>
    <row r="3924" s="563" customFormat="1"/>
    <row r="3925" s="563" customFormat="1"/>
    <row r="3926" s="563" customFormat="1"/>
    <row r="3927" s="563" customFormat="1"/>
    <row r="3928" s="563" customFormat="1"/>
    <row r="3929" s="563" customFormat="1"/>
    <row r="3930" s="563" customFormat="1"/>
    <row r="3931" s="563" customFormat="1"/>
    <row r="3932" s="563" customFormat="1"/>
    <row r="3933" s="563" customFormat="1"/>
    <row r="3934" s="563" customFormat="1"/>
    <row r="3935" s="563" customFormat="1"/>
    <row r="3936" s="563" customFormat="1"/>
    <row r="3937" s="563" customFormat="1"/>
    <row r="3938" s="563" customFormat="1"/>
    <row r="3939" s="563" customFormat="1"/>
    <row r="3940" s="563" customFormat="1"/>
    <row r="3941" s="563" customFormat="1"/>
    <row r="3942" s="563" customFormat="1"/>
    <row r="3943" s="563" customFormat="1"/>
    <row r="3944" s="563" customFormat="1"/>
    <row r="3945" s="563" customFormat="1"/>
    <row r="3946" s="563" customFormat="1"/>
    <row r="3947" s="563" customFormat="1"/>
    <row r="3948" s="563" customFormat="1"/>
    <row r="3949" s="563" customFormat="1"/>
    <row r="3950" s="563" customFormat="1"/>
    <row r="3951" s="563" customFormat="1"/>
    <row r="3952" s="563" customFormat="1"/>
    <row r="3953" s="563" customFormat="1"/>
    <row r="3954" s="563" customFormat="1"/>
    <row r="3955" s="563" customFormat="1"/>
    <row r="3956" s="563" customFormat="1"/>
    <row r="3957" s="563" customFormat="1"/>
    <row r="3958" s="563" customFormat="1"/>
    <row r="3959" s="563" customFormat="1"/>
    <row r="3960" s="563" customFormat="1"/>
    <row r="3961" s="563" customFormat="1"/>
    <row r="3962" s="563" customFormat="1"/>
    <row r="3963" s="563" customFormat="1"/>
    <row r="3964" s="563" customFormat="1"/>
    <row r="3965" s="563" customFormat="1"/>
    <row r="3966" s="563" customFormat="1"/>
    <row r="3967" s="563" customFormat="1"/>
    <row r="3968" s="563" customFormat="1"/>
    <row r="3969" s="563" customFormat="1"/>
    <row r="3970" s="563" customFormat="1"/>
    <row r="3971" s="563" customFormat="1"/>
    <row r="3972" s="563" customFormat="1"/>
    <row r="3973" s="563" customFormat="1"/>
    <row r="3974" s="563" customFormat="1"/>
    <row r="3975" s="563" customFormat="1"/>
    <row r="3976" s="563" customFormat="1"/>
    <row r="3977" s="563" customFormat="1"/>
    <row r="3978" s="563" customFormat="1"/>
    <row r="3979" s="563" customFormat="1"/>
    <row r="3980" s="563" customFormat="1"/>
    <row r="3981" s="563" customFormat="1"/>
    <row r="3982" s="563" customFormat="1"/>
    <row r="3983" s="563" customFormat="1"/>
    <row r="3984" s="563" customFormat="1"/>
    <row r="3985" s="563" customFormat="1"/>
    <row r="3986" s="563" customFormat="1"/>
    <row r="3987" s="563" customFormat="1"/>
    <row r="3988" s="563" customFormat="1"/>
    <row r="3989" s="563" customFormat="1"/>
    <row r="3990" s="563" customFormat="1"/>
    <row r="3991" s="563" customFormat="1"/>
    <row r="3992" s="563" customFormat="1"/>
    <row r="3993" s="563" customFormat="1"/>
    <row r="3994" s="563" customFormat="1"/>
    <row r="3995" s="563" customFormat="1"/>
    <row r="3996" s="563" customFormat="1"/>
    <row r="3997" s="563" customFormat="1"/>
    <row r="3998" s="563" customFormat="1"/>
    <row r="3999" s="563" customFormat="1"/>
    <row r="4000" s="563" customFormat="1"/>
    <row r="4001" s="563" customFormat="1"/>
    <row r="4002" s="563" customFormat="1"/>
    <row r="4003" s="563" customFormat="1"/>
    <row r="4004" s="563" customFormat="1"/>
    <row r="4005" s="563" customFormat="1"/>
    <row r="4006" s="563" customFormat="1"/>
    <row r="4007" s="563" customFormat="1"/>
    <row r="4008" s="563" customFormat="1"/>
    <row r="4009" s="563" customFormat="1"/>
    <row r="4010" s="563" customFormat="1"/>
    <row r="4011" s="563" customFormat="1"/>
    <row r="4012" s="563" customFormat="1"/>
    <row r="4013" s="563" customFormat="1"/>
    <row r="4014" s="563" customFormat="1"/>
    <row r="4015" s="563" customFormat="1"/>
    <row r="4016" s="563" customFormat="1"/>
    <row r="4017" s="563" customFormat="1"/>
    <row r="4018" s="563" customFormat="1"/>
    <row r="4019" s="563" customFormat="1"/>
    <row r="4020" s="563" customFormat="1"/>
    <row r="4021" s="563" customFormat="1"/>
    <row r="4022" s="563" customFormat="1"/>
    <row r="4023" s="563" customFormat="1"/>
    <row r="4024" s="563" customFormat="1"/>
    <row r="4025" s="563" customFormat="1"/>
    <row r="4026" s="563" customFormat="1"/>
    <row r="4027" s="563" customFormat="1"/>
    <row r="4028" s="563" customFormat="1"/>
    <row r="4029" s="563" customFormat="1"/>
    <row r="4030" s="563" customFormat="1"/>
    <row r="4031" s="563" customFormat="1"/>
    <row r="4032" s="563" customFormat="1"/>
    <row r="4033" s="563" customFormat="1"/>
    <row r="4034" s="563" customFormat="1"/>
    <row r="4035" s="563" customFormat="1"/>
    <row r="4036" s="563" customFormat="1"/>
    <row r="4037" s="563" customFormat="1"/>
    <row r="4038" s="563" customFormat="1"/>
    <row r="4039" s="563" customFormat="1"/>
    <row r="4040" s="563" customFormat="1"/>
    <row r="4041" s="563" customFormat="1"/>
    <row r="4042" s="563" customFormat="1"/>
    <row r="4043" s="563" customFormat="1"/>
    <row r="4044" s="563" customFormat="1"/>
    <row r="4045" s="563" customFormat="1"/>
    <row r="4046" s="563" customFormat="1"/>
    <row r="4047" s="563" customFormat="1"/>
    <row r="4048" s="563" customFormat="1"/>
    <row r="4049" s="563" customFormat="1"/>
    <row r="4050" s="563" customFormat="1"/>
    <row r="4051" s="563" customFormat="1"/>
    <row r="4052" s="563" customFormat="1"/>
    <row r="4053" s="563" customFormat="1"/>
    <row r="4054" s="563" customFormat="1"/>
    <row r="4055" s="563" customFormat="1"/>
    <row r="4056" s="563" customFormat="1"/>
    <row r="4057" s="563" customFormat="1"/>
    <row r="4058" s="563" customFormat="1"/>
    <row r="4059" s="563" customFormat="1"/>
    <row r="4060" s="563" customFormat="1"/>
    <row r="4061" s="563" customFormat="1"/>
    <row r="4062" s="563" customFormat="1"/>
    <row r="4063" s="563" customFormat="1"/>
    <row r="4064" s="563" customFormat="1"/>
    <row r="4065" s="563" customFormat="1"/>
    <row r="4066" s="563" customFormat="1"/>
    <row r="4067" s="563" customFormat="1"/>
    <row r="4068" s="563" customFormat="1"/>
    <row r="4069" s="563" customFormat="1"/>
    <row r="4070" s="563" customFormat="1"/>
    <row r="4071" s="563" customFormat="1"/>
    <row r="4072" s="563" customFormat="1"/>
    <row r="4073" s="563" customFormat="1"/>
    <row r="4074" s="563" customFormat="1"/>
    <row r="4075" s="563" customFormat="1"/>
    <row r="4076" s="563" customFormat="1"/>
    <row r="4077" s="563" customFormat="1"/>
    <row r="4078" s="563" customFormat="1"/>
    <row r="4079" s="563" customFormat="1"/>
    <row r="4080" s="563" customFormat="1"/>
    <row r="4081" s="563" customFormat="1"/>
    <row r="4082" s="563" customFormat="1"/>
    <row r="4083" s="563" customFormat="1"/>
    <row r="4084" s="563" customFormat="1"/>
    <row r="4085" s="563" customFormat="1"/>
    <row r="4086" s="563" customFormat="1"/>
    <row r="4087" s="563" customFormat="1"/>
    <row r="4088" s="563" customFormat="1"/>
    <row r="4089" s="563" customFormat="1"/>
    <row r="4090" s="563" customFormat="1"/>
    <row r="4091" s="563" customFormat="1"/>
    <row r="4092" s="563" customFormat="1"/>
    <row r="4093" s="563" customFormat="1"/>
    <row r="4094" s="563" customFormat="1"/>
    <row r="4095" s="563" customFormat="1"/>
    <row r="4096" s="563" customFormat="1"/>
    <row r="4097" s="563" customFormat="1"/>
    <row r="4098" s="563" customFormat="1"/>
    <row r="4099" s="563" customFormat="1"/>
    <row r="4100" s="563" customFormat="1"/>
    <row r="4101" s="563" customFormat="1"/>
    <row r="4102" s="563" customFormat="1"/>
    <row r="4103" s="563" customFormat="1"/>
    <row r="4104" s="563" customFormat="1"/>
    <row r="4105" s="563" customFormat="1"/>
    <row r="4106" s="563" customFormat="1"/>
    <row r="4107" s="563" customFormat="1"/>
    <row r="4108" s="563" customFormat="1"/>
    <row r="4109" s="563" customFormat="1"/>
    <row r="4110" s="563" customFormat="1"/>
    <row r="4111" s="563" customFormat="1"/>
    <row r="4112" s="563" customFormat="1"/>
    <row r="4113" s="563" customFormat="1"/>
    <row r="4114" s="563" customFormat="1"/>
    <row r="4115" s="563" customFormat="1"/>
    <row r="4116" s="563" customFormat="1"/>
    <row r="4117" s="563" customFormat="1"/>
    <row r="4118" s="563" customFormat="1"/>
    <row r="4119" s="563" customFormat="1"/>
    <row r="4120" s="563" customFormat="1"/>
    <row r="4121" s="563" customFormat="1"/>
    <row r="4122" s="563" customFormat="1"/>
    <row r="4123" s="563" customFormat="1"/>
    <row r="4124" s="563" customFormat="1"/>
    <row r="4125" s="563" customFormat="1"/>
    <row r="4126" s="563" customFormat="1"/>
    <row r="4127" s="563" customFormat="1"/>
    <row r="4128" s="563" customFormat="1"/>
    <row r="4129" s="563" customFormat="1"/>
    <row r="4130" s="563" customFormat="1"/>
    <row r="4131" s="563" customFormat="1"/>
    <row r="4132" s="563" customFormat="1"/>
    <row r="4133" s="563" customFormat="1"/>
    <row r="4134" s="563" customFormat="1"/>
    <row r="4135" s="563" customFormat="1"/>
    <row r="4136" s="563" customFormat="1"/>
    <row r="4137" s="563" customFormat="1"/>
    <row r="4138" s="563" customFormat="1"/>
    <row r="4139" s="563" customFormat="1"/>
    <row r="4140" s="563" customFormat="1"/>
    <row r="4141" s="563" customFormat="1"/>
    <row r="4142" s="563" customFormat="1"/>
    <row r="4143" s="563" customFormat="1"/>
    <row r="4144" s="563" customFormat="1"/>
    <row r="4145" s="563" customFormat="1"/>
    <row r="4146" s="563" customFormat="1"/>
    <row r="4147" s="563" customFormat="1"/>
    <row r="4148" s="563" customFormat="1"/>
    <row r="4149" s="563" customFormat="1"/>
    <row r="4150" s="563" customFormat="1"/>
    <row r="4151" s="563" customFormat="1"/>
    <row r="4152" s="563" customFormat="1"/>
    <row r="4153" s="563" customFormat="1"/>
    <row r="4154" s="563" customFormat="1"/>
    <row r="4155" s="563" customFormat="1"/>
    <row r="4156" s="563" customFormat="1"/>
    <row r="4157" s="563" customFormat="1"/>
    <row r="4158" s="563" customFormat="1"/>
    <row r="4159" s="563" customFormat="1"/>
    <row r="4160" s="563" customFormat="1"/>
    <row r="4161" s="563" customFormat="1"/>
    <row r="4162" s="563" customFormat="1"/>
    <row r="4163" s="563" customFormat="1"/>
    <row r="4164" s="563" customFormat="1"/>
    <row r="4165" s="563" customFormat="1"/>
    <row r="4166" s="563" customFormat="1"/>
    <row r="4167" s="563" customFormat="1"/>
    <row r="4168" s="563" customFormat="1"/>
    <row r="4169" s="563" customFormat="1"/>
    <row r="4170" s="563" customFormat="1"/>
    <row r="4171" s="563" customFormat="1"/>
    <row r="4172" s="563" customFormat="1"/>
    <row r="4173" s="563" customFormat="1"/>
    <row r="4174" s="563" customFormat="1"/>
    <row r="4175" s="563" customFormat="1"/>
    <row r="4176" s="563" customFormat="1"/>
    <row r="4177" s="563" customFormat="1"/>
    <row r="4178" s="563" customFormat="1"/>
    <row r="4179" s="563" customFormat="1"/>
    <row r="4180" s="563" customFormat="1"/>
    <row r="4181" s="563" customFormat="1"/>
    <row r="4182" s="563" customFormat="1"/>
    <row r="4183" s="563" customFormat="1"/>
    <row r="4184" s="563" customFormat="1"/>
    <row r="4185" s="563" customFormat="1"/>
    <row r="4186" s="563" customFormat="1"/>
    <row r="4187" s="563" customFormat="1"/>
    <row r="4188" s="563" customFormat="1"/>
    <row r="4189" s="563" customFormat="1"/>
    <row r="4190" s="563" customFormat="1"/>
    <row r="4191" s="563" customFormat="1"/>
    <row r="4192" s="563" customFormat="1"/>
    <row r="4193" s="563" customFormat="1"/>
    <row r="4194" s="563" customFormat="1"/>
    <row r="4195" s="563" customFormat="1"/>
    <row r="4196" s="563" customFormat="1"/>
    <row r="4197" s="563" customFormat="1"/>
    <row r="4198" s="563" customFormat="1"/>
    <row r="4199" s="563" customFormat="1"/>
    <row r="4200" s="563" customFormat="1"/>
    <row r="4201" s="563" customFormat="1"/>
    <row r="4202" s="563" customFormat="1"/>
    <row r="4203" s="563" customFormat="1"/>
    <row r="4204" s="563" customFormat="1"/>
    <row r="4205" s="563" customFormat="1"/>
    <row r="4206" s="563" customFormat="1"/>
    <row r="4207" s="563" customFormat="1"/>
    <row r="4208" s="563" customFormat="1"/>
    <row r="4209" s="563" customFormat="1"/>
    <row r="4210" s="563" customFormat="1"/>
    <row r="4211" s="563" customFormat="1"/>
    <row r="4212" s="563" customFormat="1"/>
    <row r="4213" s="563" customFormat="1"/>
    <row r="4214" s="563" customFormat="1"/>
    <row r="4215" s="563" customFormat="1"/>
    <row r="4216" s="563" customFormat="1"/>
    <row r="4217" s="563" customFormat="1"/>
    <row r="4218" s="563" customFormat="1"/>
    <row r="4219" s="563" customFormat="1"/>
    <row r="4220" s="563" customFormat="1"/>
    <row r="4221" s="563" customFormat="1"/>
    <row r="4222" s="563" customFormat="1"/>
    <row r="4223" s="563" customFormat="1"/>
    <row r="4224" s="563" customFormat="1"/>
    <row r="4225" s="563" customFormat="1"/>
    <row r="4226" s="563" customFormat="1"/>
    <row r="4227" s="563" customFormat="1"/>
    <row r="4228" s="563" customFormat="1"/>
    <row r="4229" s="563" customFormat="1"/>
    <row r="4230" s="563" customFormat="1"/>
    <row r="4231" s="563" customFormat="1"/>
    <row r="4232" s="563" customFormat="1"/>
    <row r="4233" s="563" customFormat="1"/>
    <row r="4234" s="563" customFormat="1"/>
    <row r="4235" s="563" customFormat="1"/>
    <row r="4236" s="563" customFormat="1"/>
    <row r="4237" s="563" customFormat="1"/>
    <row r="4238" s="563" customFormat="1"/>
    <row r="4239" s="563" customFormat="1"/>
    <row r="4240" s="563" customFormat="1"/>
    <row r="4241" s="563" customFormat="1"/>
    <row r="4242" s="563" customFormat="1"/>
    <row r="4243" s="563" customFormat="1"/>
    <row r="4244" s="563" customFormat="1"/>
    <row r="4245" s="563" customFormat="1"/>
    <row r="4246" s="563" customFormat="1"/>
    <row r="4247" s="563" customFormat="1"/>
    <row r="4248" s="563" customFormat="1"/>
    <row r="4249" s="563" customFormat="1"/>
    <row r="4250" s="563" customFormat="1"/>
    <row r="4251" s="563" customFormat="1"/>
    <row r="4252" s="563" customFormat="1"/>
    <row r="4253" s="563" customFormat="1"/>
    <row r="4254" s="563" customFormat="1"/>
    <row r="4255" s="563" customFormat="1"/>
    <row r="4256" s="563" customFormat="1"/>
    <row r="4257" s="563" customFormat="1"/>
    <row r="4258" s="563" customFormat="1"/>
    <row r="4259" s="563" customFormat="1"/>
    <row r="4260" s="563" customFormat="1"/>
    <row r="4261" s="563" customFormat="1"/>
    <row r="4262" s="563" customFormat="1"/>
    <row r="4263" s="563" customFormat="1"/>
    <row r="4264" s="563" customFormat="1"/>
    <row r="4265" s="563" customFormat="1"/>
    <row r="4266" s="563" customFormat="1"/>
    <row r="4267" s="563" customFormat="1"/>
    <row r="4268" s="563" customFormat="1"/>
    <row r="4269" s="563" customFormat="1"/>
    <row r="4270" s="563" customFormat="1"/>
    <row r="4271" s="563" customFormat="1"/>
    <row r="4272" s="563" customFormat="1"/>
    <row r="4273" s="563" customFormat="1"/>
    <row r="4274" s="563" customFormat="1"/>
    <row r="4275" s="563" customFormat="1"/>
    <row r="4276" s="563" customFormat="1"/>
    <row r="4277" s="563" customFormat="1"/>
    <row r="4278" s="563" customFormat="1"/>
    <row r="4279" s="563" customFormat="1"/>
    <row r="4280" s="563" customFormat="1"/>
    <row r="4281" s="563" customFormat="1"/>
    <row r="4282" s="563" customFormat="1"/>
    <row r="4283" s="563" customFormat="1"/>
    <row r="4284" s="563" customFormat="1"/>
    <row r="4285" s="563" customFormat="1"/>
    <row r="4286" s="563" customFormat="1"/>
    <row r="4287" s="563" customFormat="1"/>
    <row r="4288" s="563" customFormat="1"/>
    <row r="4289" s="563" customFormat="1"/>
    <row r="4290" s="563" customFormat="1"/>
    <row r="4291" s="563" customFormat="1"/>
    <row r="4292" s="563" customFormat="1"/>
    <row r="4293" s="563" customFormat="1"/>
    <row r="4294" s="563" customFormat="1"/>
    <row r="4295" s="563" customFormat="1"/>
    <row r="4296" s="563" customFormat="1"/>
    <row r="4297" s="563" customFormat="1"/>
    <row r="4298" s="563" customFormat="1"/>
    <row r="4299" s="563" customFormat="1"/>
    <row r="4300" s="563" customFormat="1"/>
    <row r="4301" s="563" customFormat="1"/>
    <row r="4302" s="563" customFormat="1"/>
    <row r="4303" s="563" customFormat="1"/>
    <row r="4304" s="563" customFormat="1"/>
    <row r="4305" s="563" customFormat="1"/>
    <row r="4306" s="563" customFormat="1"/>
    <row r="4307" s="563" customFormat="1"/>
    <row r="4308" s="563" customFormat="1"/>
    <row r="4309" s="563" customFormat="1"/>
    <row r="4310" s="563" customFormat="1"/>
    <row r="4311" s="563" customFormat="1"/>
    <row r="4312" s="563" customFormat="1"/>
    <row r="4313" s="563" customFormat="1"/>
    <row r="4314" s="563" customFormat="1"/>
    <row r="4315" s="563" customFormat="1"/>
    <row r="4316" s="563" customFormat="1"/>
    <row r="4317" s="563" customFormat="1"/>
    <row r="4318" s="563" customFormat="1"/>
    <row r="4319" s="563" customFormat="1"/>
    <row r="4320" s="563" customFormat="1"/>
    <row r="4321" s="563" customFormat="1"/>
    <row r="4322" s="563" customFormat="1"/>
    <row r="4323" s="563" customFormat="1"/>
    <row r="4324" s="563" customFormat="1"/>
    <row r="4325" s="563" customFormat="1"/>
    <row r="4326" s="563" customFormat="1"/>
    <row r="4327" s="563" customFormat="1"/>
    <row r="4328" s="563" customFormat="1"/>
    <row r="4329" s="563" customFormat="1"/>
    <row r="4330" s="563" customFormat="1"/>
    <row r="4331" s="563" customFormat="1"/>
    <row r="4332" s="563" customFormat="1"/>
    <row r="4333" s="563" customFormat="1"/>
    <row r="4334" s="563" customFormat="1"/>
    <row r="4335" s="563" customFormat="1"/>
    <row r="4336" s="563" customFormat="1"/>
    <row r="4337" s="563" customFormat="1"/>
    <row r="4338" s="563" customFormat="1"/>
    <row r="4339" s="563" customFormat="1"/>
    <row r="4340" s="563" customFormat="1"/>
    <row r="4341" s="563" customFormat="1"/>
    <row r="4342" s="563" customFormat="1"/>
    <row r="4343" s="563" customFormat="1"/>
    <row r="4344" s="563" customFormat="1"/>
    <row r="4345" s="563" customFormat="1"/>
    <row r="4346" s="563" customFormat="1"/>
    <row r="4347" s="563" customFormat="1"/>
    <row r="4348" s="563" customFormat="1"/>
    <row r="4349" s="563" customFormat="1"/>
    <row r="4350" s="563" customFormat="1"/>
    <row r="4351" s="563" customFormat="1"/>
    <row r="4352" s="563" customFormat="1"/>
    <row r="4353" s="563" customFormat="1"/>
    <row r="4354" s="563" customFormat="1"/>
    <row r="4355" s="563" customFormat="1"/>
    <row r="4356" s="563" customFormat="1"/>
    <row r="4357" s="563" customFormat="1"/>
    <row r="4358" s="563" customFormat="1"/>
    <row r="4359" s="563" customFormat="1"/>
    <row r="4360" s="563" customFormat="1"/>
    <row r="4361" s="563" customFormat="1"/>
    <row r="4362" s="563" customFormat="1"/>
    <row r="4363" s="563" customFormat="1"/>
    <row r="4364" s="563" customFormat="1"/>
    <row r="4365" s="563" customFormat="1"/>
    <row r="4366" s="563" customFormat="1"/>
    <row r="4367" s="563" customFormat="1"/>
    <row r="4368" s="563" customFormat="1"/>
    <row r="4369" s="563" customFormat="1"/>
    <row r="4370" s="563" customFormat="1"/>
    <row r="4371" s="563" customFormat="1"/>
    <row r="4372" s="563" customFormat="1"/>
    <row r="4373" s="563" customFormat="1"/>
    <row r="4374" s="563" customFormat="1"/>
    <row r="4375" s="563" customFormat="1"/>
    <row r="4376" s="563" customFormat="1"/>
    <row r="4377" s="563" customFormat="1"/>
    <row r="4378" s="563" customFormat="1"/>
    <row r="4379" s="563" customFormat="1"/>
    <row r="4380" s="563" customFormat="1"/>
    <row r="4381" s="563" customFormat="1"/>
    <row r="4382" s="563" customFormat="1"/>
    <row r="4383" s="563" customFormat="1"/>
    <row r="4384" s="563" customFormat="1"/>
    <row r="4385" s="563" customFormat="1"/>
    <row r="4386" s="563" customFormat="1"/>
    <row r="4387" s="563" customFormat="1"/>
    <row r="4388" s="563" customFormat="1"/>
    <row r="4389" s="563" customFormat="1"/>
    <row r="4390" s="563" customFormat="1"/>
    <row r="4391" s="563" customFormat="1"/>
    <row r="4392" s="563" customFormat="1"/>
    <row r="4393" s="563" customFormat="1"/>
    <row r="4394" s="563" customFormat="1"/>
    <row r="4395" s="563" customFormat="1"/>
    <row r="4396" s="563" customFormat="1"/>
    <row r="4397" s="563" customFormat="1"/>
    <row r="4398" s="563" customFormat="1"/>
    <row r="4399" s="563" customFormat="1"/>
    <row r="4400" s="563" customFormat="1"/>
    <row r="4401" s="563" customFormat="1"/>
    <row r="4402" s="563" customFormat="1"/>
    <row r="4403" s="563" customFormat="1"/>
    <row r="4404" s="563" customFormat="1"/>
    <row r="4405" s="563" customFormat="1"/>
    <row r="4406" s="563" customFormat="1"/>
    <row r="4407" s="563" customFormat="1"/>
    <row r="4408" s="563" customFormat="1"/>
    <row r="4409" s="563" customFormat="1"/>
    <row r="4410" s="563" customFormat="1"/>
    <row r="4411" s="563" customFormat="1"/>
    <row r="4412" s="563" customFormat="1"/>
    <row r="4413" s="563" customFormat="1"/>
    <row r="4414" s="563" customFormat="1"/>
    <row r="4415" s="563" customFormat="1"/>
    <row r="4416" s="563" customFormat="1"/>
    <row r="4417" s="563" customFormat="1"/>
    <row r="4418" s="563" customFormat="1"/>
    <row r="4419" s="563" customFormat="1"/>
    <row r="4420" s="563" customFormat="1"/>
    <row r="4421" s="563" customFormat="1"/>
    <row r="4422" s="563" customFormat="1"/>
    <row r="4423" s="563" customFormat="1"/>
    <row r="4424" s="563" customFormat="1"/>
    <row r="4425" s="563" customFormat="1"/>
    <row r="4426" s="563" customFormat="1"/>
    <row r="4427" s="563" customFormat="1"/>
    <row r="4428" s="563" customFormat="1"/>
    <row r="4429" s="563" customFormat="1"/>
    <row r="4430" s="563" customFormat="1"/>
    <row r="4431" s="563" customFormat="1"/>
    <row r="4432" s="563" customFormat="1"/>
    <row r="4433" s="563" customFormat="1"/>
    <row r="4434" s="563" customFormat="1"/>
    <row r="4435" s="563" customFormat="1"/>
    <row r="4436" s="563" customFormat="1"/>
    <row r="4437" s="563" customFormat="1"/>
    <row r="4438" s="563" customFormat="1"/>
    <row r="4439" s="563" customFormat="1"/>
    <row r="4440" s="563" customFormat="1"/>
    <row r="4441" s="563" customFormat="1"/>
    <row r="4442" s="563" customFormat="1"/>
    <row r="4443" s="563" customFormat="1"/>
    <row r="4444" s="563" customFormat="1"/>
    <row r="4445" s="563" customFormat="1"/>
    <row r="4446" s="563" customFormat="1"/>
    <row r="4447" s="563" customFormat="1"/>
    <row r="4448" s="563" customFormat="1"/>
    <row r="4449" s="563" customFormat="1"/>
    <row r="4450" s="563" customFormat="1"/>
    <row r="4451" s="563" customFormat="1"/>
    <row r="4452" s="563" customFormat="1"/>
    <row r="4453" s="563" customFormat="1"/>
    <row r="4454" s="563" customFormat="1"/>
    <row r="4455" s="563" customFormat="1"/>
    <row r="4456" s="563" customFormat="1"/>
    <row r="4457" s="563" customFormat="1"/>
    <row r="4458" s="563" customFormat="1"/>
    <row r="4459" s="563" customFormat="1"/>
    <row r="4460" s="563" customFormat="1"/>
    <row r="4461" s="563" customFormat="1"/>
    <row r="4462" s="563" customFormat="1"/>
    <row r="4463" s="563" customFormat="1"/>
    <row r="4464" s="563" customFormat="1"/>
    <row r="4465" s="563" customFormat="1"/>
    <row r="4466" s="563" customFormat="1"/>
    <row r="4467" s="563" customFormat="1"/>
    <row r="4468" s="563" customFormat="1"/>
    <row r="4469" s="563" customFormat="1"/>
    <row r="4470" s="563" customFormat="1"/>
    <row r="4471" s="563" customFormat="1"/>
    <row r="4472" s="563" customFormat="1"/>
    <row r="4473" s="563" customFormat="1"/>
    <row r="4474" s="563" customFormat="1"/>
    <row r="4475" s="563" customFormat="1"/>
    <row r="4476" s="563" customFormat="1"/>
    <row r="4477" s="563" customFormat="1"/>
    <row r="4478" s="563" customFormat="1"/>
    <row r="4479" s="563" customFormat="1"/>
    <row r="4480" s="563" customFormat="1"/>
    <row r="4481" s="563" customFormat="1"/>
    <row r="4482" s="563" customFormat="1"/>
    <row r="4483" s="563" customFormat="1"/>
    <row r="4484" s="563" customFormat="1"/>
    <row r="4485" s="563" customFormat="1"/>
    <row r="4486" s="563" customFormat="1"/>
    <row r="4487" s="563" customFormat="1"/>
    <row r="4488" s="563" customFormat="1"/>
    <row r="4489" s="563" customFormat="1"/>
    <row r="4490" s="563" customFormat="1"/>
    <row r="4491" s="563" customFormat="1"/>
    <row r="4492" s="563" customFormat="1"/>
    <row r="4493" s="563" customFormat="1"/>
    <row r="4494" s="563" customFormat="1"/>
    <row r="4495" s="563" customFormat="1"/>
    <row r="4496" s="563" customFormat="1"/>
    <row r="4497" s="563" customFormat="1"/>
    <row r="4498" s="563" customFormat="1"/>
    <row r="4499" s="563" customFormat="1"/>
    <row r="4500" s="563" customFormat="1"/>
    <row r="4501" s="563" customFormat="1"/>
    <row r="4502" s="563" customFormat="1"/>
    <row r="4503" s="563" customFormat="1"/>
    <row r="4504" s="563" customFormat="1"/>
    <row r="4505" s="563" customFormat="1"/>
    <row r="4506" s="563" customFormat="1"/>
    <row r="4507" s="563" customFormat="1"/>
    <row r="4508" s="563" customFormat="1"/>
    <row r="4509" s="563" customFormat="1"/>
    <row r="4510" s="563" customFormat="1"/>
    <row r="4511" s="563" customFormat="1"/>
    <row r="4512" s="563" customFormat="1"/>
    <row r="4513" s="563" customFormat="1"/>
    <row r="4514" s="563" customFormat="1"/>
    <row r="4515" s="563" customFormat="1"/>
    <row r="4516" s="563" customFormat="1"/>
    <row r="4517" s="563" customFormat="1"/>
    <row r="4518" s="563" customFormat="1"/>
    <row r="4519" s="563" customFormat="1"/>
    <row r="4520" s="563" customFormat="1"/>
    <row r="4521" s="563" customFormat="1"/>
    <row r="4522" s="563" customFormat="1"/>
    <row r="4523" s="563" customFormat="1"/>
    <row r="4524" s="563" customFormat="1"/>
    <row r="4525" s="563" customFormat="1"/>
    <row r="4526" s="563" customFormat="1"/>
    <row r="4527" s="563" customFormat="1"/>
    <row r="4528" s="563" customFormat="1"/>
    <row r="4529" s="563" customFormat="1"/>
    <row r="4530" s="563" customFormat="1"/>
    <row r="4531" s="563" customFormat="1"/>
    <row r="4532" s="563" customFormat="1"/>
    <row r="4533" s="563" customFormat="1"/>
    <row r="4534" s="563" customFormat="1"/>
    <row r="4535" s="563" customFormat="1"/>
    <row r="4536" s="563" customFormat="1"/>
    <row r="4537" s="563" customFormat="1"/>
    <row r="4538" s="563" customFormat="1"/>
    <row r="4539" s="563" customFormat="1"/>
    <row r="4540" s="563" customFormat="1"/>
    <row r="4541" s="563" customFormat="1"/>
    <row r="4542" s="563" customFormat="1"/>
    <row r="4543" s="563" customFormat="1"/>
    <row r="4544" s="563" customFormat="1"/>
    <row r="4545" s="563" customFormat="1"/>
    <row r="4546" s="563" customFormat="1"/>
    <row r="4547" s="563" customFormat="1"/>
    <row r="4548" s="563" customFormat="1"/>
    <row r="4549" s="563" customFormat="1"/>
    <row r="4550" s="563" customFormat="1"/>
    <row r="4551" s="563" customFormat="1"/>
    <row r="4552" s="563" customFormat="1"/>
    <row r="4553" s="563" customFormat="1"/>
    <row r="4554" s="563" customFormat="1"/>
    <row r="4555" s="563" customFormat="1"/>
    <row r="4556" s="563" customFormat="1"/>
    <row r="4557" s="563" customFormat="1"/>
    <row r="4558" s="563" customFormat="1"/>
    <row r="4559" s="563" customFormat="1"/>
    <row r="4560" s="563" customFormat="1"/>
    <row r="4561" s="563" customFormat="1"/>
    <row r="4562" s="563" customFormat="1"/>
    <row r="4563" s="563" customFormat="1"/>
    <row r="4564" s="563" customFormat="1"/>
    <row r="4565" s="563" customFormat="1"/>
    <row r="4566" s="563" customFormat="1"/>
    <row r="4567" s="563" customFormat="1"/>
    <row r="4568" s="563" customFormat="1"/>
    <row r="4569" s="563" customFormat="1"/>
    <row r="4570" s="563" customFormat="1"/>
    <row r="4571" s="563" customFormat="1"/>
    <row r="4572" s="563" customFormat="1"/>
    <row r="4573" s="563" customFormat="1"/>
    <row r="4574" s="563" customFormat="1"/>
    <row r="4575" s="563" customFormat="1"/>
    <row r="4576" s="563" customFormat="1"/>
    <row r="4577" s="563" customFormat="1"/>
    <row r="4578" s="563" customFormat="1"/>
    <row r="4579" s="563" customFormat="1"/>
    <row r="4580" s="563" customFormat="1"/>
    <row r="4581" s="563" customFormat="1"/>
    <row r="4582" s="563" customFormat="1"/>
    <row r="4583" s="563" customFormat="1"/>
    <row r="4584" s="563" customFormat="1"/>
    <row r="4585" s="563" customFormat="1"/>
    <row r="4586" s="563" customFormat="1"/>
    <row r="4587" s="563" customFormat="1"/>
    <row r="4588" s="563" customFormat="1"/>
    <row r="4589" s="563" customFormat="1"/>
    <row r="4590" s="563" customFormat="1"/>
    <row r="4591" s="563" customFormat="1"/>
    <row r="4592" s="563" customFormat="1"/>
    <row r="4593" s="563" customFormat="1"/>
    <row r="4594" s="563" customFormat="1"/>
    <row r="4595" s="563" customFormat="1"/>
    <row r="4596" s="563" customFormat="1"/>
    <row r="4597" s="563" customFormat="1"/>
    <row r="4598" s="563" customFormat="1"/>
    <row r="4599" s="563" customFormat="1"/>
    <row r="4600" s="563" customFormat="1"/>
    <row r="4601" s="563" customFormat="1"/>
    <row r="4602" s="563" customFormat="1"/>
    <row r="4603" s="563" customFormat="1"/>
    <row r="4604" s="563" customFormat="1"/>
    <row r="4605" s="563" customFormat="1"/>
    <row r="4606" s="563" customFormat="1"/>
    <row r="4607" s="563" customFormat="1"/>
    <row r="4608" s="563" customFormat="1"/>
    <row r="4609" s="563" customFormat="1"/>
    <row r="4610" s="563" customFormat="1"/>
    <row r="4611" s="563" customFormat="1"/>
    <row r="4612" s="563" customFormat="1"/>
    <row r="4613" s="563" customFormat="1"/>
    <row r="4614" s="563" customFormat="1"/>
    <row r="4615" s="563" customFormat="1"/>
    <row r="4616" s="563" customFormat="1"/>
    <row r="4617" s="563" customFormat="1"/>
    <row r="4618" s="563" customFormat="1"/>
    <row r="4619" s="563" customFormat="1"/>
    <row r="4620" s="563" customFormat="1"/>
    <row r="4621" s="563" customFormat="1"/>
    <row r="4622" s="563" customFormat="1"/>
    <row r="4623" s="563" customFormat="1"/>
    <row r="4624" s="563" customFormat="1"/>
    <row r="4625" s="563" customFormat="1"/>
    <row r="4626" s="563" customFormat="1"/>
    <row r="4627" s="563" customFormat="1"/>
    <row r="4628" s="563" customFormat="1"/>
    <row r="4629" s="563" customFormat="1"/>
    <row r="4630" s="563" customFormat="1"/>
    <row r="4631" s="563" customFormat="1"/>
    <row r="4632" s="563" customFormat="1"/>
    <row r="4633" s="563" customFormat="1"/>
    <row r="4634" s="563" customFormat="1"/>
    <row r="4635" s="563" customFormat="1"/>
    <row r="4636" s="563" customFormat="1"/>
    <row r="4637" s="563" customFormat="1"/>
    <row r="4638" s="563" customFormat="1"/>
    <row r="4639" s="563" customFormat="1"/>
    <row r="4640" s="563" customFormat="1"/>
    <row r="4641" s="563" customFormat="1"/>
    <row r="4642" s="563" customFormat="1"/>
    <row r="4643" s="563" customFormat="1"/>
    <row r="4644" s="563" customFormat="1"/>
    <row r="4645" s="563" customFormat="1"/>
    <row r="4646" s="563" customFormat="1"/>
    <row r="4647" s="563" customFormat="1"/>
    <row r="4648" s="563" customFormat="1"/>
    <row r="4649" s="563" customFormat="1"/>
    <row r="4650" s="563" customFormat="1"/>
    <row r="4651" s="563" customFormat="1"/>
    <row r="4652" s="563" customFormat="1"/>
    <row r="4653" s="563" customFormat="1"/>
    <row r="4654" s="563" customFormat="1"/>
    <row r="4655" s="563" customFormat="1"/>
    <row r="4656" s="563" customFormat="1"/>
    <row r="4657" s="563" customFormat="1"/>
    <row r="4658" s="563" customFormat="1"/>
    <row r="4659" s="563" customFormat="1"/>
    <row r="4660" s="563" customFormat="1"/>
    <row r="4661" s="563" customFormat="1"/>
    <row r="4662" s="563" customFormat="1"/>
    <row r="4663" s="563" customFormat="1"/>
    <row r="4664" s="563" customFormat="1"/>
    <row r="4665" s="563" customFormat="1"/>
    <row r="4666" s="563" customFormat="1"/>
    <row r="4667" s="563" customFormat="1"/>
    <row r="4668" s="563" customFormat="1"/>
    <row r="4669" s="563" customFormat="1"/>
    <row r="4670" s="563" customFormat="1"/>
    <row r="4671" s="563" customFormat="1"/>
    <row r="4672" s="563" customFormat="1"/>
    <row r="4673" s="563" customFormat="1"/>
    <row r="4674" s="563" customFormat="1"/>
    <row r="4675" s="563" customFormat="1"/>
    <row r="4676" s="563" customFormat="1"/>
    <row r="4677" s="563" customFormat="1"/>
    <row r="4678" s="563" customFormat="1"/>
    <row r="4679" s="563" customFormat="1"/>
    <row r="4680" s="563" customFormat="1"/>
    <row r="4681" s="563" customFormat="1"/>
    <row r="4682" s="563" customFormat="1"/>
    <row r="4683" s="563" customFormat="1"/>
    <row r="4684" s="563" customFormat="1"/>
    <row r="4685" s="563" customFormat="1"/>
    <row r="4686" s="563" customFormat="1"/>
    <row r="4687" s="563" customFormat="1"/>
    <row r="4688" s="563" customFormat="1"/>
    <row r="4689" s="563" customFormat="1"/>
    <row r="4690" s="563" customFormat="1"/>
    <row r="4691" s="563" customFormat="1"/>
    <row r="4692" s="563" customFormat="1"/>
    <row r="4693" s="563" customFormat="1"/>
    <row r="4694" s="563" customFormat="1"/>
    <row r="4695" s="563" customFormat="1"/>
    <row r="4696" s="563" customFormat="1"/>
    <row r="4697" s="563" customFormat="1"/>
    <row r="4698" s="563" customFormat="1"/>
    <row r="4699" s="563" customFormat="1"/>
    <row r="4700" s="563" customFormat="1"/>
    <row r="4701" s="563" customFormat="1"/>
    <row r="4702" s="563" customFormat="1"/>
    <row r="4703" s="563" customFormat="1"/>
    <row r="4704" s="563" customFormat="1"/>
    <row r="4705" s="563" customFormat="1"/>
    <row r="4706" s="563" customFormat="1"/>
    <row r="4707" s="563" customFormat="1"/>
    <row r="4708" s="563" customFormat="1"/>
    <row r="4709" s="563" customFormat="1"/>
    <row r="4710" s="563" customFormat="1"/>
    <row r="4711" s="563" customFormat="1"/>
    <row r="4712" s="563" customFormat="1"/>
    <row r="4713" s="563" customFormat="1"/>
    <row r="4714" s="563" customFormat="1"/>
    <row r="4715" s="563" customFormat="1"/>
    <row r="4716" s="563" customFormat="1"/>
    <row r="4717" s="563" customFormat="1"/>
    <row r="4718" s="563" customFormat="1"/>
    <row r="4719" s="563" customFormat="1"/>
    <row r="4720" s="563" customFormat="1"/>
    <row r="4721" s="563" customFormat="1"/>
    <row r="4722" s="563" customFormat="1"/>
    <row r="4723" s="563" customFormat="1"/>
    <row r="4724" s="563" customFormat="1"/>
    <row r="4725" s="563" customFormat="1"/>
    <row r="4726" s="563" customFormat="1"/>
    <row r="4727" s="563" customFormat="1"/>
    <row r="4728" s="563" customFormat="1"/>
    <row r="4729" s="563" customFormat="1"/>
    <row r="4730" s="563" customFormat="1"/>
    <row r="4731" s="563" customFormat="1"/>
    <row r="4732" s="563" customFormat="1"/>
    <row r="4733" s="563" customFormat="1"/>
    <row r="4734" s="563" customFormat="1"/>
    <row r="4735" s="563" customFormat="1"/>
    <row r="4736" s="563" customFormat="1"/>
    <row r="4737" s="563" customFormat="1"/>
    <row r="4738" s="563" customFormat="1"/>
    <row r="4739" s="563" customFormat="1"/>
    <row r="4740" s="563" customFormat="1"/>
    <row r="4741" s="563" customFormat="1"/>
    <row r="4742" s="563" customFormat="1"/>
    <row r="4743" s="563" customFormat="1"/>
    <row r="4744" s="563" customFormat="1"/>
    <row r="4745" s="563" customFormat="1"/>
    <row r="4746" s="563" customFormat="1"/>
    <row r="4747" s="563" customFormat="1"/>
    <row r="4748" s="563" customFormat="1"/>
    <row r="4749" s="563" customFormat="1"/>
    <row r="4750" s="563" customFormat="1"/>
    <row r="4751" s="563" customFormat="1"/>
    <row r="4752" s="563" customFormat="1"/>
    <row r="4753" s="563" customFormat="1"/>
    <row r="4754" s="563" customFormat="1"/>
    <row r="4755" s="563" customFormat="1"/>
    <row r="4756" s="563" customFormat="1"/>
    <row r="4757" s="563" customFormat="1"/>
    <row r="4758" s="563" customFormat="1"/>
    <row r="4759" s="563" customFormat="1"/>
    <row r="4760" s="563" customFormat="1"/>
    <row r="4761" s="563" customFormat="1"/>
    <row r="4762" s="563" customFormat="1"/>
    <row r="4763" s="563" customFormat="1"/>
    <row r="4764" s="563" customFormat="1"/>
    <row r="4765" s="563" customFormat="1"/>
    <row r="4766" s="563" customFormat="1"/>
    <row r="4767" s="563" customFormat="1"/>
    <row r="4768" s="563" customFormat="1"/>
    <row r="4769" s="563" customFormat="1"/>
    <row r="4770" s="563" customFormat="1"/>
    <row r="4771" s="563" customFormat="1"/>
    <row r="4772" s="563" customFormat="1"/>
    <row r="4773" s="563" customFormat="1"/>
    <row r="4774" s="563" customFormat="1"/>
    <row r="4775" s="563" customFormat="1"/>
    <row r="4776" s="563" customFormat="1"/>
    <row r="4777" s="563" customFormat="1"/>
    <row r="4778" s="563" customFormat="1"/>
    <row r="4779" s="563" customFormat="1"/>
    <row r="4780" s="563" customFormat="1"/>
    <row r="4781" s="563" customFormat="1"/>
    <row r="4782" s="563" customFormat="1"/>
    <row r="4783" s="563" customFormat="1"/>
    <row r="4784" s="563" customFormat="1"/>
    <row r="4785" s="563" customFormat="1"/>
    <row r="4786" s="563" customFormat="1"/>
    <row r="4787" s="563" customFormat="1"/>
    <row r="4788" s="563" customFormat="1"/>
    <row r="4789" s="563" customFormat="1"/>
    <row r="4790" s="563" customFormat="1"/>
    <row r="4791" s="563" customFormat="1"/>
    <row r="4792" s="563" customFormat="1"/>
    <row r="4793" s="563" customFormat="1"/>
    <row r="4794" s="563" customFormat="1"/>
    <row r="4795" s="563" customFormat="1"/>
    <row r="4796" s="563" customFormat="1"/>
    <row r="4797" s="563" customFormat="1"/>
    <row r="4798" s="563" customFormat="1"/>
    <row r="4799" s="563" customFormat="1"/>
    <row r="4800" s="563" customFormat="1"/>
    <row r="4801" s="563" customFormat="1"/>
    <row r="4802" s="563" customFormat="1"/>
    <row r="4803" s="563" customFormat="1"/>
    <row r="4804" s="563" customFormat="1"/>
    <row r="4805" s="563" customFormat="1"/>
    <row r="4806" s="563" customFormat="1"/>
    <row r="4807" s="563" customFormat="1"/>
    <row r="4808" s="563" customFormat="1"/>
    <row r="4809" s="563" customFormat="1"/>
    <row r="4810" s="563" customFormat="1"/>
    <row r="4811" s="563" customFormat="1"/>
    <row r="4812" s="563" customFormat="1"/>
    <row r="4813" s="563" customFormat="1"/>
    <row r="4814" s="563" customFormat="1"/>
    <row r="4815" s="563" customFormat="1"/>
    <row r="4816" s="563" customFormat="1"/>
    <row r="4817" s="563" customFormat="1"/>
    <row r="4818" s="563" customFormat="1"/>
    <row r="4819" s="563" customFormat="1"/>
    <row r="4820" s="563" customFormat="1"/>
    <row r="4821" s="563" customFormat="1"/>
    <row r="4822" s="563" customFormat="1"/>
    <row r="4823" s="563" customFormat="1"/>
    <row r="4824" s="563" customFormat="1"/>
    <row r="4825" s="563" customFormat="1"/>
    <row r="4826" s="563" customFormat="1"/>
    <row r="4827" s="563" customFormat="1"/>
    <row r="4828" s="563" customFormat="1"/>
    <row r="4829" s="563" customFormat="1"/>
    <row r="4830" s="563" customFormat="1"/>
    <row r="4831" s="563" customFormat="1"/>
    <row r="4832" s="563" customFormat="1"/>
    <row r="4833" s="563" customFormat="1"/>
    <row r="4834" s="563" customFormat="1"/>
    <row r="4835" s="563" customFormat="1"/>
    <row r="4836" s="563" customFormat="1"/>
    <row r="4837" s="563" customFormat="1"/>
    <row r="4838" s="563" customFormat="1"/>
    <row r="4839" s="563" customFormat="1"/>
    <row r="4840" s="563" customFormat="1"/>
    <row r="4841" s="563" customFormat="1"/>
    <row r="4842" s="563" customFormat="1"/>
    <row r="4843" s="563" customFormat="1"/>
    <row r="4844" s="563" customFormat="1"/>
    <row r="4845" s="563" customFormat="1"/>
    <row r="4846" s="563" customFormat="1"/>
    <row r="4847" s="563" customFormat="1"/>
    <row r="4848" s="563" customFormat="1"/>
    <row r="4849" s="563" customFormat="1"/>
    <row r="4850" s="563" customFormat="1"/>
    <row r="4851" s="563" customFormat="1"/>
    <row r="4852" s="563" customFormat="1"/>
    <row r="4853" s="563" customFormat="1"/>
    <row r="4854" s="563" customFormat="1"/>
    <row r="4855" s="563" customFormat="1"/>
    <row r="4856" s="563" customFormat="1"/>
    <row r="4857" s="563" customFormat="1"/>
    <row r="4858" s="563" customFormat="1"/>
    <row r="4859" s="563" customFormat="1"/>
    <row r="4860" s="563" customFormat="1"/>
    <row r="4861" s="563" customFormat="1"/>
    <row r="4862" s="563" customFormat="1"/>
    <row r="4863" s="563" customFormat="1"/>
    <row r="4864" s="563" customFormat="1"/>
    <row r="4865" s="563" customFormat="1"/>
    <row r="4866" s="563" customFormat="1"/>
    <row r="4867" s="563" customFormat="1"/>
    <row r="4868" s="563" customFormat="1"/>
    <row r="4869" s="563" customFormat="1"/>
    <row r="4870" s="563" customFormat="1"/>
    <row r="4871" s="563" customFormat="1"/>
    <row r="4872" s="563" customFormat="1"/>
    <row r="4873" s="563" customFormat="1"/>
    <row r="4874" s="563" customFormat="1"/>
    <row r="4875" s="563" customFormat="1"/>
    <row r="4876" s="563" customFormat="1"/>
    <row r="4877" s="563" customFormat="1"/>
    <row r="4878" s="563" customFormat="1"/>
    <row r="4879" s="563" customFormat="1"/>
    <row r="4880" s="563" customFormat="1"/>
    <row r="4881" s="563" customFormat="1"/>
    <row r="4882" s="563" customFormat="1"/>
    <row r="4883" s="563" customFormat="1"/>
    <row r="4884" s="563" customFormat="1"/>
    <row r="4885" s="563" customFormat="1"/>
    <row r="4886" s="563" customFormat="1"/>
    <row r="4887" s="563" customFormat="1"/>
    <row r="4888" s="563" customFormat="1"/>
    <row r="4889" s="563" customFormat="1"/>
    <row r="4890" s="563" customFormat="1"/>
    <row r="4891" s="563" customFormat="1"/>
    <row r="4892" s="563" customFormat="1"/>
    <row r="4893" s="563" customFormat="1"/>
    <row r="4894" s="563" customFormat="1"/>
    <row r="4895" s="563" customFormat="1"/>
    <row r="4896" s="563" customFormat="1"/>
    <row r="4897" s="563" customFormat="1"/>
    <row r="4898" s="563" customFormat="1"/>
    <row r="4899" s="563" customFormat="1"/>
    <row r="4900" s="563" customFormat="1"/>
    <row r="4901" s="563" customFormat="1"/>
    <row r="4902" s="563" customFormat="1"/>
    <row r="4903" s="563" customFormat="1"/>
    <row r="4904" s="563" customFormat="1"/>
    <row r="4905" s="563" customFormat="1"/>
    <row r="4906" s="563" customFormat="1"/>
    <row r="4907" s="563" customFormat="1"/>
    <row r="4908" s="563" customFormat="1"/>
    <row r="4909" s="563" customFormat="1"/>
    <row r="4910" s="563" customFormat="1"/>
    <row r="4911" s="563" customFormat="1"/>
    <row r="4912" s="563" customFormat="1"/>
    <row r="4913" s="563" customFormat="1"/>
    <row r="4914" s="563" customFormat="1"/>
    <row r="4915" s="563" customFormat="1"/>
    <row r="4916" s="563" customFormat="1"/>
    <row r="4917" s="563" customFormat="1"/>
    <row r="4918" s="563" customFormat="1"/>
    <row r="4919" s="563" customFormat="1"/>
    <row r="4920" s="563" customFormat="1"/>
    <row r="4921" s="563" customFormat="1"/>
    <row r="4922" s="563" customFormat="1"/>
    <row r="4923" s="563" customFormat="1"/>
    <row r="4924" s="563" customFormat="1"/>
    <row r="4925" s="563" customFormat="1"/>
    <row r="4926" s="563" customFormat="1"/>
    <row r="4927" s="563" customFormat="1"/>
    <row r="4928" s="563" customFormat="1"/>
    <row r="4929" s="563" customFormat="1"/>
    <row r="4930" s="563" customFormat="1"/>
    <row r="4931" s="563" customFormat="1"/>
    <row r="4932" s="563" customFormat="1"/>
    <row r="4933" s="563" customFormat="1"/>
    <row r="4934" s="563" customFormat="1"/>
    <row r="4935" s="563" customFormat="1"/>
    <row r="4936" s="563" customFormat="1"/>
    <row r="4937" s="563" customFormat="1"/>
    <row r="4938" s="563" customFormat="1"/>
    <row r="4939" s="563" customFormat="1"/>
    <row r="4940" s="563" customFormat="1"/>
    <row r="4941" s="563" customFormat="1"/>
    <row r="4942" s="563" customFormat="1"/>
    <row r="4943" s="563" customFormat="1"/>
    <row r="4944" s="563" customFormat="1"/>
    <row r="4945" s="563" customFormat="1"/>
    <row r="4946" s="563" customFormat="1"/>
    <row r="4947" s="563" customFormat="1"/>
    <row r="4948" s="563" customFormat="1"/>
    <row r="4949" s="563" customFormat="1"/>
    <row r="4950" s="563" customFormat="1"/>
    <row r="4951" s="563" customFormat="1"/>
    <row r="4952" s="563" customFormat="1"/>
    <row r="4953" s="563" customFormat="1"/>
    <row r="4954" s="563" customFormat="1"/>
    <row r="4955" s="563" customFormat="1"/>
    <row r="4956" s="563" customFormat="1"/>
    <row r="4957" s="563" customFormat="1"/>
    <row r="4958" s="563" customFormat="1"/>
    <row r="4959" s="563" customFormat="1"/>
    <row r="4960" s="563" customFormat="1"/>
    <row r="4961" s="563" customFormat="1"/>
    <row r="4962" s="563" customFormat="1"/>
    <row r="4963" s="563" customFormat="1"/>
    <row r="4964" s="563" customFormat="1"/>
    <row r="4965" s="563" customFormat="1"/>
    <row r="4966" s="563" customFormat="1"/>
    <row r="4967" s="563" customFormat="1"/>
    <row r="4968" s="563" customFormat="1"/>
    <row r="4969" s="563" customFormat="1"/>
    <row r="4970" s="563" customFormat="1"/>
    <row r="4971" s="563" customFormat="1"/>
    <row r="4972" s="563" customFormat="1"/>
    <row r="4973" s="563" customFormat="1"/>
    <row r="4974" s="563" customFormat="1"/>
    <row r="4975" s="563" customFormat="1"/>
    <row r="4976" s="563" customFormat="1"/>
    <row r="4977" s="563" customFormat="1"/>
    <row r="4978" s="563" customFormat="1"/>
    <row r="4979" s="563" customFormat="1"/>
    <row r="4980" s="563" customFormat="1"/>
    <row r="4981" s="563" customFormat="1"/>
    <row r="4982" s="563" customFormat="1"/>
    <row r="4983" s="563" customFormat="1"/>
    <row r="4984" s="563" customFormat="1"/>
    <row r="4985" s="563" customFormat="1"/>
    <row r="4986" s="563" customFormat="1"/>
    <row r="4987" s="563" customFormat="1"/>
    <row r="4988" s="563" customFormat="1"/>
    <row r="4989" s="563" customFormat="1"/>
    <row r="4990" s="563" customFormat="1"/>
    <row r="4991" s="563" customFormat="1"/>
    <row r="4992" s="563" customFormat="1"/>
    <row r="4993" s="563" customFormat="1"/>
    <row r="4994" s="563" customFormat="1"/>
    <row r="4995" s="563" customFormat="1"/>
    <row r="4996" s="563" customFormat="1"/>
    <row r="4997" s="563" customFormat="1"/>
    <row r="4998" s="563" customFormat="1"/>
    <row r="4999" s="563" customFormat="1"/>
    <row r="5000" s="563" customFormat="1"/>
    <row r="5001" s="563" customFormat="1"/>
    <row r="5002" s="563" customFormat="1"/>
    <row r="5003" s="563" customFormat="1"/>
    <row r="5004" s="563" customFormat="1"/>
    <row r="5005" s="563" customFormat="1"/>
    <row r="5006" s="563" customFormat="1"/>
    <row r="5007" s="563" customFormat="1"/>
    <row r="5008" s="563" customFormat="1"/>
    <row r="5009" s="563" customFormat="1"/>
    <row r="5010" s="563" customFormat="1"/>
    <row r="5011" s="563" customFormat="1"/>
    <row r="5012" s="563" customFormat="1"/>
    <row r="5013" s="563" customFormat="1"/>
    <row r="5014" s="563" customFormat="1"/>
    <row r="5015" s="563" customFormat="1"/>
    <row r="5016" s="563" customFormat="1"/>
    <row r="5017" s="563" customFormat="1"/>
    <row r="5018" s="563" customFormat="1"/>
    <row r="5019" s="563" customFormat="1"/>
    <row r="5020" s="563" customFormat="1"/>
    <row r="5021" s="563" customFormat="1"/>
    <row r="5022" s="563" customFormat="1"/>
    <row r="5023" s="563" customFormat="1"/>
    <row r="5024" s="563" customFormat="1"/>
    <row r="5025" s="563" customFormat="1"/>
    <row r="5026" s="563" customFormat="1"/>
    <row r="5027" s="563" customFormat="1"/>
    <row r="5028" s="563" customFormat="1"/>
    <row r="5029" s="563" customFormat="1"/>
    <row r="5030" s="563" customFormat="1"/>
    <row r="5031" s="563" customFormat="1"/>
    <row r="5032" s="563" customFormat="1"/>
    <row r="5033" s="563" customFormat="1"/>
    <row r="5034" s="563" customFormat="1"/>
    <row r="5035" s="563" customFormat="1"/>
    <row r="5036" s="563" customFormat="1"/>
    <row r="5037" s="563" customFormat="1"/>
    <row r="5038" s="563" customFormat="1"/>
    <row r="5039" s="563" customFormat="1"/>
    <row r="5040" s="563" customFormat="1"/>
    <row r="5041" s="563" customFormat="1"/>
    <row r="5042" s="563" customFormat="1"/>
    <row r="5043" s="563" customFormat="1"/>
    <row r="5044" s="563" customFormat="1"/>
    <row r="5045" s="563" customFormat="1"/>
    <row r="5046" s="563" customFormat="1"/>
    <row r="5047" s="563" customFormat="1"/>
    <row r="5048" s="563" customFormat="1"/>
    <row r="5049" s="563" customFormat="1"/>
    <row r="5050" s="563" customFormat="1"/>
    <row r="5051" s="563" customFormat="1"/>
    <row r="5052" s="563" customFormat="1"/>
    <row r="5053" s="563" customFormat="1"/>
    <row r="5054" s="563" customFormat="1"/>
    <row r="5055" s="563" customFormat="1"/>
    <row r="5056" s="563" customFormat="1"/>
    <row r="5057" s="563" customFormat="1"/>
    <row r="5058" s="563" customFormat="1"/>
    <row r="5059" s="563" customFormat="1"/>
    <row r="5060" s="563" customFormat="1"/>
    <row r="5061" s="563" customFormat="1"/>
    <row r="5062" s="563" customFormat="1"/>
    <row r="5063" s="563" customFormat="1"/>
    <row r="5064" s="563" customFormat="1"/>
    <row r="5065" s="563" customFormat="1"/>
    <row r="5066" s="563" customFormat="1"/>
    <row r="5067" s="563" customFormat="1"/>
    <row r="5068" s="563" customFormat="1"/>
    <row r="5069" s="563" customFormat="1"/>
    <row r="5070" s="563" customFormat="1"/>
    <row r="5071" s="563" customFormat="1"/>
    <row r="5072" s="563" customFormat="1"/>
    <row r="5073" s="563" customFormat="1"/>
    <row r="5074" s="563" customFormat="1"/>
    <row r="5075" s="563" customFormat="1"/>
    <row r="5076" s="563" customFormat="1"/>
    <row r="5077" s="563" customFormat="1"/>
    <row r="5078" s="563" customFormat="1"/>
    <row r="5079" s="563" customFormat="1"/>
    <row r="5080" s="563" customFormat="1"/>
    <row r="5081" s="563" customFormat="1"/>
    <row r="5082" s="563" customFormat="1"/>
    <row r="5083" s="563" customFormat="1"/>
    <row r="5084" s="563" customFormat="1"/>
    <row r="5085" s="563" customFormat="1"/>
    <row r="5086" s="563" customFormat="1"/>
    <row r="5087" s="563" customFormat="1"/>
    <row r="5088" s="563" customFormat="1"/>
    <row r="5089" s="563" customFormat="1"/>
    <row r="5090" s="563" customFormat="1"/>
    <row r="5091" s="563" customFormat="1"/>
    <row r="5092" s="563" customFormat="1"/>
    <row r="5093" s="563" customFormat="1"/>
    <row r="5094" s="563" customFormat="1"/>
    <row r="5095" s="563" customFormat="1"/>
    <row r="5096" s="563" customFormat="1"/>
    <row r="5097" s="563" customFormat="1"/>
    <row r="5098" s="563" customFormat="1"/>
    <row r="5099" s="563" customFormat="1"/>
    <row r="5100" s="563" customFormat="1"/>
    <row r="5101" s="563" customFormat="1"/>
    <row r="5102" s="563" customFormat="1"/>
    <row r="5103" s="563" customFormat="1"/>
    <row r="5104" s="563" customFormat="1"/>
    <row r="5105" s="563" customFormat="1"/>
    <row r="5106" s="563" customFormat="1"/>
    <row r="5107" s="563" customFormat="1"/>
    <row r="5108" s="563" customFormat="1"/>
    <row r="5109" s="563" customFormat="1"/>
    <row r="5110" s="563" customFormat="1"/>
    <row r="5111" s="563" customFormat="1"/>
    <row r="5112" s="563" customFormat="1"/>
    <row r="5113" s="563" customFormat="1"/>
    <row r="5114" s="563" customFormat="1"/>
    <row r="5115" s="563" customFormat="1"/>
    <row r="5116" s="563" customFormat="1"/>
    <row r="5117" s="563" customFormat="1"/>
    <row r="5118" s="563" customFormat="1"/>
    <row r="5119" s="563" customFormat="1"/>
    <row r="5120" s="563" customFormat="1"/>
    <row r="5121" s="563" customFormat="1"/>
    <row r="5122" s="563" customFormat="1"/>
    <row r="5123" s="563" customFormat="1"/>
    <row r="5124" s="563" customFormat="1"/>
    <row r="5125" s="563" customFormat="1"/>
    <row r="5126" s="563" customFormat="1"/>
    <row r="5127" s="563" customFormat="1"/>
    <row r="5128" s="563" customFormat="1"/>
    <row r="5129" s="563" customFormat="1"/>
    <row r="5130" s="563" customFormat="1"/>
    <row r="5131" s="563" customFormat="1"/>
    <row r="5132" s="563" customFormat="1"/>
    <row r="5133" s="563" customFormat="1"/>
    <row r="5134" s="563" customFormat="1"/>
    <row r="5135" s="563" customFormat="1"/>
    <row r="5136" s="563" customFormat="1"/>
    <row r="5137" s="563" customFormat="1"/>
    <row r="5138" s="563" customFormat="1"/>
    <row r="5139" s="563" customFormat="1"/>
    <row r="5140" s="563" customFormat="1"/>
    <row r="5141" s="563" customFormat="1"/>
    <row r="5142" s="563" customFormat="1"/>
    <row r="5143" s="563" customFormat="1"/>
    <row r="5144" s="563" customFormat="1"/>
    <row r="5145" s="563" customFormat="1"/>
    <row r="5146" s="563" customFormat="1"/>
    <row r="5147" s="563" customFormat="1"/>
    <row r="5148" s="563" customFormat="1"/>
    <row r="5149" s="563" customFormat="1"/>
    <row r="5150" s="563" customFormat="1"/>
    <row r="5151" s="563" customFormat="1"/>
    <row r="5152" s="563" customFormat="1"/>
    <row r="5153" s="563" customFormat="1"/>
    <row r="5154" s="563" customFormat="1"/>
    <row r="5155" s="563" customFormat="1"/>
    <row r="5156" s="563" customFormat="1"/>
    <row r="5157" s="563" customFormat="1"/>
    <row r="5158" s="563" customFormat="1"/>
    <row r="5159" s="563" customFormat="1"/>
    <row r="5160" s="563" customFormat="1"/>
    <row r="5161" s="563" customFormat="1"/>
    <row r="5162" s="563" customFormat="1"/>
    <row r="5163" s="563" customFormat="1"/>
    <row r="5164" s="563" customFormat="1"/>
    <row r="5165" s="563" customFormat="1"/>
    <row r="5166" s="563" customFormat="1"/>
    <row r="5167" s="563" customFormat="1"/>
    <row r="5168" s="563" customFormat="1"/>
    <row r="5169" s="563" customFormat="1"/>
    <row r="5170" s="563" customFormat="1"/>
    <row r="5171" s="563" customFormat="1"/>
    <row r="5172" s="563" customFormat="1"/>
    <row r="5173" s="563" customFormat="1"/>
    <row r="5174" s="563" customFormat="1"/>
    <row r="5175" s="563" customFormat="1"/>
    <row r="5176" s="563" customFormat="1"/>
    <row r="5177" s="563" customFormat="1"/>
    <row r="5178" s="563" customFormat="1"/>
    <row r="5179" s="563" customFormat="1"/>
    <row r="5180" s="563" customFormat="1"/>
    <row r="5181" s="563" customFormat="1"/>
    <row r="5182" s="563" customFormat="1"/>
    <row r="5183" s="563" customFormat="1"/>
    <row r="5184" s="563" customFormat="1"/>
    <row r="5185" s="563" customFormat="1"/>
    <row r="5186" s="563" customFormat="1"/>
    <row r="5187" s="563" customFormat="1"/>
    <row r="5188" s="563" customFormat="1"/>
    <row r="5189" s="563" customFormat="1"/>
    <row r="5190" s="563" customFormat="1"/>
    <row r="5191" s="563" customFormat="1"/>
    <row r="5192" s="563" customFormat="1"/>
    <row r="5193" s="563" customFormat="1"/>
    <row r="5194" s="563" customFormat="1"/>
    <row r="5195" s="563" customFormat="1"/>
    <row r="5196" s="563" customFormat="1"/>
    <row r="5197" s="563" customFormat="1"/>
    <row r="5198" s="563" customFormat="1"/>
    <row r="5199" s="563" customFormat="1"/>
    <row r="5200" s="563" customFormat="1"/>
    <row r="5201" s="563" customFormat="1"/>
    <row r="5202" s="563" customFormat="1"/>
    <row r="5203" s="563" customFormat="1"/>
    <row r="5204" s="563" customFormat="1"/>
    <row r="5205" s="563" customFormat="1"/>
    <row r="5206" s="563" customFormat="1"/>
    <row r="5207" s="563" customFormat="1"/>
    <row r="5208" s="563" customFormat="1"/>
    <row r="5209" s="563" customFormat="1"/>
    <row r="5210" s="563" customFormat="1"/>
    <row r="5211" s="563" customFormat="1"/>
    <row r="5212" s="563" customFormat="1"/>
    <row r="5213" s="563" customFormat="1"/>
    <row r="5214" s="563" customFormat="1"/>
    <row r="5215" s="563" customFormat="1"/>
    <row r="5216" s="563" customFormat="1"/>
    <row r="5217" s="563" customFormat="1"/>
    <row r="5218" s="563" customFormat="1"/>
    <row r="5219" s="563" customFormat="1"/>
    <row r="5220" s="563" customFormat="1"/>
    <row r="5221" s="563" customFormat="1"/>
    <row r="5222" s="563" customFormat="1"/>
    <row r="5223" s="563" customFormat="1"/>
    <row r="5224" s="563" customFormat="1"/>
    <row r="5225" s="563" customFormat="1"/>
    <row r="5226" s="563" customFormat="1"/>
    <row r="5227" s="563" customFormat="1"/>
    <row r="5228" s="563" customFormat="1"/>
    <row r="5229" s="563" customFormat="1"/>
    <row r="5230" s="563" customFormat="1"/>
    <row r="5231" s="563" customFormat="1"/>
    <row r="5232" s="563" customFormat="1"/>
    <row r="5233" s="563" customFormat="1"/>
    <row r="5234" s="563" customFormat="1"/>
    <row r="5235" s="563" customFormat="1"/>
    <row r="5236" s="563" customFormat="1"/>
    <row r="5237" s="563" customFormat="1"/>
    <row r="5238" s="563" customFormat="1"/>
    <row r="5239" s="563" customFormat="1"/>
    <row r="5240" s="563" customFormat="1"/>
    <row r="5241" s="563" customFormat="1"/>
    <row r="5242" s="563" customFormat="1"/>
    <row r="5243" s="563" customFormat="1"/>
    <row r="5244" s="563" customFormat="1"/>
    <row r="5245" s="563" customFormat="1"/>
    <row r="5246" s="563" customFormat="1"/>
    <row r="5247" s="563" customFormat="1"/>
    <row r="5248" s="563" customFormat="1"/>
    <row r="5249" s="563" customFormat="1"/>
    <row r="5250" s="563" customFormat="1"/>
    <row r="5251" s="563" customFormat="1"/>
    <row r="5252" s="563" customFormat="1"/>
    <row r="5253" s="563" customFormat="1"/>
    <row r="5254" s="563" customFormat="1"/>
    <row r="5255" s="563" customFormat="1"/>
    <row r="5256" s="563" customFormat="1"/>
    <row r="5257" s="563" customFormat="1"/>
    <row r="5258" s="563" customFormat="1"/>
    <row r="5259" s="563" customFormat="1"/>
    <row r="5260" s="563" customFormat="1"/>
    <row r="5261" s="563" customFormat="1"/>
    <row r="5262" s="563" customFormat="1"/>
    <row r="5263" s="563" customFormat="1"/>
    <row r="5264" s="563" customFormat="1"/>
    <row r="5265" s="563" customFormat="1"/>
    <row r="5266" s="563" customFormat="1"/>
    <row r="5267" s="563" customFormat="1"/>
    <row r="5268" s="563" customFormat="1"/>
    <row r="5269" s="563" customFormat="1"/>
    <row r="5270" s="563" customFormat="1"/>
    <row r="5271" s="563" customFormat="1"/>
    <row r="5272" s="563" customFormat="1"/>
    <row r="5273" s="563" customFormat="1"/>
    <row r="5274" s="563" customFormat="1"/>
    <row r="5275" s="563" customFormat="1"/>
    <row r="5276" s="563" customFormat="1"/>
    <row r="5277" s="563" customFormat="1"/>
    <row r="5278" s="563" customFormat="1"/>
    <row r="5279" s="563" customFormat="1"/>
    <row r="5280" s="563" customFormat="1"/>
    <row r="5281" s="563" customFormat="1"/>
    <row r="5282" s="563" customFormat="1"/>
    <row r="5283" s="563" customFormat="1"/>
    <row r="5284" s="563" customFormat="1"/>
    <row r="5285" s="563" customFormat="1"/>
    <row r="5286" s="563" customFormat="1"/>
    <row r="5287" s="563" customFormat="1"/>
    <row r="5288" s="563" customFormat="1"/>
    <row r="5289" s="563" customFormat="1"/>
    <row r="5290" s="563" customFormat="1"/>
    <row r="5291" s="563" customFormat="1"/>
    <row r="5292" s="563" customFormat="1"/>
    <row r="5293" s="563" customFormat="1"/>
    <row r="5294" s="563" customFormat="1"/>
    <row r="5295" s="563" customFormat="1"/>
    <row r="5296" s="563" customFormat="1"/>
    <row r="5297" s="563" customFormat="1"/>
    <row r="5298" s="563" customFormat="1"/>
    <row r="5299" s="563" customFormat="1"/>
    <row r="5300" s="563" customFormat="1"/>
    <row r="5301" s="563" customFormat="1"/>
    <row r="5302" s="563" customFormat="1"/>
    <row r="5303" s="563" customFormat="1"/>
    <row r="5304" s="563" customFormat="1"/>
    <row r="5305" s="563" customFormat="1"/>
    <row r="5306" s="563" customFormat="1"/>
    <row r="5307" s="563" customFormat="1"/>
    <row r="5308" s="563" customFormat="1"/>
    <row r="5309" s="563" customFormat="1"/>
    <row r="5310" s="563" customFormat="1"/>
    <row r="5311" s="563" customFormat="1"/>
    <row r="5312" s="563" customFormat="1"/>
    <row r="5313" s="563" customFormat="1"/>
    <row r="5314" s="563" customFormat="1"/>
    <row r="5315" s="563" customFormat="1"/>
    <row r="5316" s="563" customFormat="1"/>
    <row r="5317" s="563" customFormat="1"/>
    <row r="5318" s="563" customFormat="1"/>
    <row r="5319" s="563" customFormat="1"/>
    <row r="5320" s="563" customFormat="1"/>
    <row r="5321" s="563" customFormat="1"/>
    <row r="5322" s="563" customFormat="1"/>
    <row r="5323" s="563" customFormat="1"/>
    <row r="5324" s="563" customFormat="1"/>
    <row r="5325" s="563" customFormat="1"/>
    <row r="5326" s="563" customFormat="1"/>
    <row r="5327" s="563" customFormat="1"/>
    <row r="5328" s="563" customFormat="1"/>
    <row r="5329" s="563" customFormat="1"/>
    <row r="5330" s="563" customFormat="1"/>
    <row r="5331" s="563" customFormat="1"/>
    <row r="5332" s="563" customFormat="1"/>
    <row r="5333" s="563" customFormat="1"/>
    <row r="5334" s="563" customFormat="1"/>
    <row r="5335" s="563" customFormat="1"/>
    <row r="5336" s="563" customFormat="1"/>
    <row r="5337" s="563" customFormat="1"/>
    <row r="5338" s="563" customFormat="1"/>
    <row r="5339" s="563" customFormat="1"/>
    <row r="5340" s="563" customFormat="1"/>
    <row r="5341" s="563" customFormat="1"/>
    <row r="5342" s="563" customFormat="1"/>
    <row r="5343" s="563" customFormat="1"/>
    <row r="5344" s="563" customFormat="1"/>
    <row r="5345" s="563" customFormat="1"/>
    <row r="5346" s="563" customFormat="1"/>
    <row r="5347" s="563" customFormat="1"/>
    <row r="5348" s="563" customFormat="1"/>
    <row r="5349" s="563" customFormat="1"/>
    <row r="5350" s="563" customFormat="1"/>
    <row r="5351" s="563" customFormat="1"/>
    <row r="5352" s="563" customFormat="1"/>
    <row r="5353" s="563" customFormat="1"/>
    <row r="5354" s="563" customFormat="1"/>
    <row r="5355" s="563" customFormat="1"/>
    <row r="5356" s="563" customFormat="1"/>
    <row r="5357" s="563" customFormat="1"/>
    <row r="5358" s="563" customFormat="1"/>
    <row r="5359" s="563" customFormat="1"/>
    <row r="5360" s="563" customFormat="1"/>
    <row r="5361" s="563" customFormat="1"/>
    <row r="5362" s="563" customFormat="1"/>
    <row r="5363" s="563" customFormat="1"/>
    <row r="5364" s="563" customFormat="1"/>
    <row r="5365" s="563" customFormat="1"/>
    <row r="5366" s="563" customFormat="1"/>
    <row r="5367" s="563" customFormat="1"/>
    <row r="5368" s="563" customFormat="1"/>
    <row r="5369" s="563" customFormat="1"/>
    <row r="5370" s="563" customFormat="1"/>
    <row r="5371" s="563" customFormat="1"/>
    <row r="5372" s="563" customFormat="1"/>
    <row r="5373" s="563" customFormat="1"/>
    <row r="5374" s="563" customFormat="1"/>
    <row r="5375" s="563" customFormat="1"/>
    <row r="5376" s="563" customFormat="1"/>
    <row r="5377" s="563" customFormat="1"/>
    <row r="5378" s="563" customFormat="1"/>
    <row r="5379" s="563" customFormat="1"/>
    <row r="5380" s="563" customFormat="1"/>
    <row r="5381" s="563" customFormat="1"/>
    <row r="5382" s="563" customFormat="1"/>
    <row r="5383" s="563" customFormat="1"/>
    <row r="5384" s="563" customFormat="1"/>
    <row r="5385" s="563" customFormat="1"/>
    <row r="5386" s="563" customFormat="1"/>
    <row r="5387" s="563" customFormat="1"/>
    <row r="5388" s="563" customFormat="1"/>
    <row r="5389" s="563" customFormat="1"/>
    <row r="5390" s="563" customFormat="1"/>
    <row r="5391" s="563" customFormat="1"/>
    <row r="5392" s="563" customFormat="1"/>
    <row r="5393" s="563" customFormat="1"/>
    <row r="5394" s="563" customFormat="1"/>
    <row r="5395" s="563" customFormat="1"/>
    <row r="5396" s="563" customFormat="1"/>
    <row r="5397" s="563" customFormat="1"/>
    <row r="5398" s="563" customFormat="1"/>
    <row r="5399" s="563" customFormat="1"/>
    <row r="5400" s="563" customFormat="1"/>
    <row r="5401" s="563" customFormat="1"/>
    <row r="5402" s="563" customFormat="1"/>
    <row r="5403" s="563" customFormat="1"/>
    <row r="5404" s="563" customFormat="1"/>
    <row r="5405" s="563" customFormat="1"/>
    <row r="5406" s="563" customFormat="1"/>
    <row r="5407" s="563" customFormat="1"/>
    <row r="5408" s="563" customFormat="1"/>
    <row r="5409" s="563" customFormat="1"/>
    <row r="5410" s="563" customFormat="1"/>
    <row r="5411" s="563" customFormat="1"/>
    <row r="5412" s="563" customFormat="1"/>
    <row r="5413" s="563" customFormat="1"/>
    <row r="5414" s="563" customFormat="1"/>
    <row r="5415" s="563" customFormat="1"/>
    <row r="5416" s="563" customFormat="1"/>
    <row r="5417" s="563" customFormat="1"/>
    <row r="5418" s="563" customFormat="1"/>
    <row r="5419" s="563" customFormat="1"/>
    <row r="5420" s="563" customFormat="1"/>
    <row r="5421" s="563" customFormat="1"/>
    <row r="5422" s="563" customFormat="1"/>
    <row r="5423" s="563" customFormat="1"/>
    <row r="5424" s="563" customFormat="1"/>
    <row r="5425" s="563" customFormat="1"/>
    <row r="5426" s="563" customFormat="1"/>
    <row r="5427" s="563" customFormat="1"/>
    <row r="5428" s="563" customFormat="1"/>
    <row r="5429" s="563" customFormat="1"/>
    <row r="5430" s="563" customFormat="1"/>
    <row r="5431" s="563" customFormat="1"/>
    <row r="5432" s="563" customFormat="1"/>
    <row r="5433" s="563" customFormat="1"/>
    <row r="5434" s="563" customFormat="1"/>
    <row r="5435" s="563" customFormat="1"/>
    <row r="5436" s="563" customFormat="1"/>
    <row r="5437" s="563" customFormat="1"/>
    <row r="5438" s="563" customFormat="1"/>
    <row r="5439" s="563" customFormat="1"/>
    <row r="5440" s="563" customFormat="1"/>
    <row r="5441" s="563" customFormat="1"/>
    <row r="5442" s="563" customFormat="1"/>
    <row r="5443" s="563" customFormat="1"/>
    <row r="5444" s="563" customFormat="1"/>
    <row r="5445" s="563" customFormat="1"/>
    <row r="5446" s="563" customFormat="1"/>
    <row r="5447" s="563" customFormat="1"/>
    <row r="5448" s="563" customFormat="1"/>
    <row r="5449" s="563" customFormat="1"/>
    <row r="5450" s="563" customFormat="1"/>
    <row r="5451" s="563" customFormat="1"/>
    <row r="5452" s="563" customFormat="1"/>
    <row r="5453" s="563" customFormat="1"/>
    <row r="5454" s="563" customFormat="1"/>
    <row r="5455" s="563" customFormat="1"/>
    <row r="5456" s="563" customFormat="1"/>
    <row r="5457" s="563" customFormat="1"/>
    <row r="5458" s="563" customFormat="1"/>
    <row r="5459" s="563" customFormat="1"/>
    <row r="5460" s="563" customFormat="1"/>
    <row r="5461" s="563" customFormat="1"/>
    <row r="5462" s="563" customFormat="1"/>
    <row r="5463" s="563" customFormat="1"/>
    <row r="5464" s="563" customFormat="1"/>
    <row r="5465" s="563" customFormat="1"/>
    <row r="5466" s="563" customFormat="1"/>
    <row r="5467" s="563" customFormat="1"/>
    <row r="5468" s="563" customFormat="1"/>
    <row r="5469" s="563" customFormat="1"/>
    <row r="5470" s="563" customFormat="1"/>
    <row r="5471" s="563" customFormat="1"/>
    <row r="5472" s="563" customFormat="1"/>
    <row r="5473" s="563" customFormat="1"/>
    <row r="5474" s="563" customFormat="1"/>
    <row r="5475" s="563" customFormat="1"/>
    <row r="5476" s="563" customFormat="1"/>
    <row r="5477" s="563" customFormat="1"/>
    <row r="5478" s="563" customFormat="1"/>
    <row r="5479" s="563" customFormat="1"/>
    <row r="5480" s="563" customFormat="1"/>
    <row r="5481" s="563" customFormat="1"/>
    <row r="5482" s="563" customFormat="1"/>
    <row r="5483" s="563" customFormat="1"/>
    <row r="5484" s="563" customFormat="1"/>
    <row r="5485" s="563" customFormat="1"/>
    <row r="5486" s="563" customFormat="1"/>
    <row r="5487" s="563" customFormat="1"/>
    <row r="5488" s="563" customFormat="1"/>
    <row r="5489" s="563" customFormat="1"/>
    <row r="5490" s="563" customFormat="1"/>
    <row r="5491" s="563" customFormat="1"/>
    <row r="5492" s="563" customFormat="1"/>
    <row r="5493" s="563" customFormat="1"/>
    <row r="5494" s="563" customFormat="1"/>
    <row r="5495" s="563" customFormat="1"/>
    <row r="5496" s="563" customFormat="1"/>
    <row r="5497" s="563" customFormat="1"/>
    <row r="5498" s="563" customFormat="1"/>
    <row r="5499" s="563" customFormat="1"/>
    <row r="5500" s="563" customFormat="1"/>
    <row r="5501" s="563" customFormat="1"/>
    <row r="5502" s="563" customFormat="1"/>
    <row r="5503" s="563" customFormat="1"/>
    <row r="5504" s="563" customFormat="1"/>
    <row r="5505" s="563" customFormat="1"/>
    <row r="5506" s="563" customFormat="1"/>
    <row r="5507" s="563" customFormat="1"/>
    <row r="5508" s="563" customFormat="1"/>
    <row r="5509" s="563" customFormat="1"/>
    <row r="5510" s="563" customFormat="1"/>
    <row r="5511" s="563" customFormat="1"/>
    <row r="5512" s="563" customFormat="1"/>
    <row r="5513" s="563" customFormat="1"/>
    <row r="5514" s="563" customFormat="1"/>
    <row r="5515" s="563" customFormat="1"/>
    <row r="5516" s="563" customFormat="1"/>
    <row r="5517" s="563" customFormat="1"/>
    <row r="5518" s="563" customFormat="1"/>
    <row r="5519" s="563" customFormat="1"/>
    <row r="5520" s="563" customFormat="1"/>
    <row r="5521" s="563" customFormat="1"/>
    <row r="5522" s="563" customFormat="1"/>
    <row r="5523" s="563" customFormat="1"/>
    <row r="5524" s="563" customFormat="1"/>
    <row r="5525" s="563" customFormat="1"/>
    <row r="5526" s="563" customFormat="1"/>
    <row r="5527" s="563" customFormat="1"/>
    <row r="5528" s="563" customFormat="1"/>
    <row r="5529" s="563" customFormat="1"/>
    <row r="5530" s="563" customFormat="1"/>
    <row r="5531" s="563" customFormat="1"/>
    <row r="5532" s="563" customFormat="1"/>
    <row r="5533" s="563" customFormat="1"/>
    <row r="5534" s="563" customFormat="1"/>
    <row r="5535" s="563" customFormat="1"/>
    <row r="5536" s="563" customFormat="1"/>
    <row r="5537" s="563" customFormat="1"/>
    <row r="5538" s="563" customFormat="1"/>
    <row r="5539" s="563" customFormat="1"/>
    <row r="5540" s="563" customFormat="1"/>
    <row r="5541" s="563" customFormat="1"/>
    <row r="5542" s="563" customFormat="1"/>
    <row r="5543" s="563" customFormat="1"/>
    <row r="5544" s="563" customFormat="1"/>
    <row r="5545" s="563" customFormat="1"/>
    <row r="5546" s="563" customFormat="1"/>
    <row r="5547" s="563" customFormat="1"/>
    <row r="5548" s="563" customFormat="1"/>
    <row r="5549" s="563" customFormat="1"/>
    <row r="5550" s="563" customFormat="1"/>
    <row r="5551" s="563" customFormat="1"/>
    <row r="5552" s="563" customFormat="1"/>
    <row r="5553" s="563" customFormat="1"/>
    <row r="5554" s="563" customFormat="1"/>
    <row r="5555" s="563" customFormat="1"/>
    <row r="5556" s="563" customFormat="1"/>
    <row r="5557" s="563" customFormat="1"/>
    <row r="5558" s="563" customFormat="1"/>
    <row r="5559" s="563" customFormat="1"/>
    <row r="5560" s="563" customFormat="1"/>
    <row r="5561" s="563" customFormat="1"/>
    <row r="5562" s="563" customFormat="1"/>
    <row r="5563" s="563" customFormat="1"/>
    <row r="5564" s="563" customFormat="1"/>
    <row r="5565" s="563" customFormat="1"/>
    <row r="5566" s="563" customFormat="1"/>
    <row r="5567" s="563" customFormat="1"/>
    <row r="5568" s="563" customFormat="1"/>
    <row r="5569" s="563" customFormat="1"/>
    <row r="5570" s="563" customFormat="1"/>
    <row r="5571" s="563" customFormat="1"/>
    <row r="5572" s="563" customFormat="1"/>
    <row r="5573" s="563" customFormat="1"/>
    <row r="5574" s="563" customFormat="1"/>
    <row r="5575" s="563" customFormat="1"/>
    <row r="5576" s="563" customFormat="1"/>
    <row r="5577" s="563" customFormat="1"/>
    <row r="5578" s="563" customFormat="1"/>
    <row r="5579" s="563" customFormat="1"/>
    <row r="5580" s="563" customFormat="1"/>
    <row r="5581" s="563" customFormat="1"/>
    <row r="5582" s="563" customFormat="1"/>
    <row r="5583" s="563" customFormat="1"/>
    <row r="5584" s="563" customFormat="1"/>
    <row r="5585" s="563" customFormat="1"/>
    <row r="5586" s="563" customFormat="1"/>
    <row r="5587" s="563" customFormat="1"/>
    <row r="5588" s="563" customFormat="1"/>
    <row r="5589" s="563" customFormat="1"/>
    <row r="5590" s="563" customFormat="1"/>
    <row r="5591" s="563" customFormat="1"/>
    <row r="5592" s="563" customFormat="1"/>
    <row r="5593" s="563" customFormat="1"/>
    <row r="5594" s="563" customFormat="1"/>
    <row r="5595" s="563" customFormat="1"/>
    <row r="5596" s="563" customFormat="1"/>
    <row r="5597" s="563" customFormat="1"/>
    <row r="5598" s="563" customFormat="1"/>
    <row r="5599" s="563" customFormat="1"/>
    <row r="5600" s="563" customFormat="1"/>
    <row r="5601" s="563" customFormat="1"/>
    <row r="5602" s="563" customFormat="1"/>
    <row r="5603" s="563" customFormat="1"/>
    <row r="5604" s="563" customFormat="1"/>
    <row r="5605" s="563" customFormat="1"/>
    <row r="5606" s="563" customFormat="1"/>
    <row r="5607" s="563" customFormat="1"/>
    <row r="5608" s="563" customFormat="1"/>
    <row r="5609" s="563" customFormat="1"/>
    <row r="5610" s="563" customFormat="1"/>
    <row r="5611" s="563" customFormat="1"/>
    <row r="5612" s="563" customFormat="1"/>
    <row r="5613" s="563" customFormat="1"/>
    <row r="5614" s="563" customFormat="1"/>
    <row r="5615" s="563" customFormat="1"/>
    <row r="5616" s="563" customFormat="1"/>
    <row r="5617" s="563" customFormat="1"/>
    <row r="5618" s="563" customFormat="1"/>
    <row r="5619" s="563" customFormat="1"/>
    <row r="5620" s="563" customFormat="1"/>
    <row r="5621" s="563" customFormat="1"/>
    <row r="5622" s="563" customFormat="1"/>
    <row r="5623" s="563" customFormat="1"/>
    <row r="5624" s="563" customFormat="1"/>
    <row r="5625" s="563" customFormat="1"/>
    <row r="5626" s="563" customFormat="1"/>
    <row r="5627" s="563" customFormat="1"/>
    <row r="5628" s="563" customFormat="1"/>
    <row r="5629" s="563" customFormat="1"/>
    <row r="5630" s="563" customFormat="1"/>
    <row r="5631" s="563" customFormat="1"/>
    <row r="5632" s="563" customFormat="1"/>
    <row r="5633" s="563" customFormat="1"/>
    <row r="5634" s="563" customFormat="1"/>
    <row r="5635" s="563" customFormat="1"/>
    <row r="5636" s="563" customFormat="1"/>
    <row r="5637" s="563" customFormat="1"/>
    <row r="5638" s="563" customFormat="1"/>
    <row r="5639" s="563" customFormat="1"/>
    <row r="5640" s="563" customFormat="1"/>
    <row r="5641" s="563" customFormat="1"/>
    <row r="5642" s="563" customFormat="1"/>
    <row r="5643" s="563" customFormat="1"/>
    <row r="5644" s="563" customFormat="1"/>
    <row r="5645" s="563" customFormat="1"/>
    <row r="5646" s="563" customFormat="1"/>
    <row r="5647" s="563" customFormat="1"/>
    <row r="5648" s="563" customFormat="1"/>
    <row r="5649" s="563" customFormat="1"/>
    <row r="5650" s="563" customFormat="1"/>
    <row r="5651" s="563" customFormat="1"/>
    <row r="5652" s="563" customFormat="1"/>
    <row r="5653" s="563" customFormat="1"/>
    <row r="5654" s="563" customFormat="1"/>
    <row r="5655" s="563" customFormat="1"/>
    <row r="5656" s="563" customFormat="1"/>
    <row r="5657" s="563" customFormat="1"/>
    <row r="5658" s="563" customFormat="1"/>
    <row r="5659" s="563" customFormat="1"/>
    <row r="5660" s="563" customFormat="1"/>
    <row r="5661" s="563" customFormat="1"/>
    <row r="5662" s="563" customFormat="1"/>
    <row r="5663" s="563" customFormat="1"/>
    <row r="5664" s="563" customFormat="1"/>
    <row r="5665" s="563" customFormat="1"/>
    <row r="5666" s="563" customFormat="1"/>
    <row r="5667" s="563" customFormat="1"/>
    <row r="5668" s="563" customFormat="1"/>
    <row r="5669" s="563" customFormat="1"/>
    <row r="5670" s="563" customFormat="1"/>
    <row r="5671" s="563" customFormat="1"/>
    <row r="5672" s="563" customFormat="1"/>
    <row r="5673" s="563" customFormat="1"/>
    <row r="5674" s="563" customFormat="1"/>
    <row r="5675" s="563" customFormat="1"/>
    <row r="5676" s="563" customFormat="1"/>
    <row r="5677" s="563" customFormat="1"/>
    <row r="5678" s="563" customFormat="1"/>
    <row r="5679" s="563" customFormat="1"/>
    <row r="5680" s="563" customFormat="1"/>
    <row r="5681" s="563" customFormat="1"/>
    <row r="5682" s="563" customFormat="1"/>
    <row r="5683" s="563" customFormat="1"/>
    <row r="5684" s="563" customFormat="1"/>
    <row r="5685" s="563" customFormat="1"/>
    <row r="5686" s="563" customFormat="1"/>
    <row r="5687" s="563" customFormat="1"/>
    <row r="5688" s="563" customFormat="1"/>
    <row r="5689" s="563" customFormat="1"/>
    <row r="5690" s="563" customFormat="1"/>
    <row r="5691" s="563" customFormat="1"/>
    <row r="5692" s="563" customFormat="1"/>
    <row r="5693" s="563" customFormat="1"/>
    <row r="5694" s="563" customFormat="1"/>
    <row r="5695" s="563" customFormat="1"/>
    <row r="5696" s="563" customFormat="1"/>
    <row r="5697" s="563" customFormat="1"/>
    <row r="5698" s="563" customFormat="1"/>
    <row r="5699" s="563" customFormat="1"/>
    <row r="5700" s="563" customFormat="1"/>
    <row r="5701" s="563" customFormat="1"/>
    <row r="5702" s="563" customFormat="1"/>
    <row r="5703" s="563" customFormat="1"/>
    <row r="5704" s="563" customFormat="1"/>
    <row r="5705" s="563" customFormat="1"/>
    <row r="5706" s="563" customFormat="1"/>
    <row r="5707" s="563" customFormat="1"/>
    <row r="5708" s="563" customFormat="1"/>
    <row r="5709" s="563" customFormat="1"/>
    <row r="5710" s="563" customFormat="1"/>
    <row r="5711" s="563" customFormat="1"/>
    <row r="5712" s="563" customFormat="1"/>
    <row r="5713" s="563" customFormat="1"/>
    <row r="5714" s="563" customFormat="1"/>
    <row r="5715" s="563" customFormat="1"/>
    <row r="5716" s="563" customFormat="1"/>
    <row r="5717" s="563" customFormat="1"/>
    <row r="5718" s="563" customFormat="1"/>
    <row r="5719" s="563" customFormat="1"/>
    <row r="5720" s="563" customFormat="1"/>
    <row r="5721" s="563" customFormat="1"/>
    <row r="5722" s="563" customFormat="1"/>
    <row r="5723" s="563" customFormat="1"/>
    <row r="5724" s="563" customFormat="1"/>
    <row r="5725" s="563" customFormat="1"/>
    <row r="5726" s="563" customFormat="1"/>
    <row r="5727" s="563" customFormat="1"/>
    <row r="5728" s="563" customFormat="1"/>
    <row r="5729" s="563" customFormat="1"/>
    <row r="5730" s="563" customFormat="1"/>
    <row r="5731" s="563" customFormat="1"/>
    <row r="5732" s="563" customFormat="1"/>
    <row r="5733" s="563" customFormat="1"/>
    <row r="5734" s="563" customFormat="1"/>
    <row r="5735" s="563" customFormat="1"/>
    <row r="5736" s="563" customFormat="1"/>
    <row r="5737" s="563" customFormat="1"/>
    <row r="5738" s="563" customFormat="1"/>
    <row r="5739" s="563" customFormat="1"/>
    <row r="5740" s="563" customFormat="1"/>
    <row r="5741" s="563" customFormat="1"/>
    <row r="5742" s="563" customFormat="1"/>
    <row r="5743" s="563" customFormat="1"/>
    <row r="5744" s="563" customFormat="1"/>
    <row r="5745" s="563" customFormat="1"/>
    <row r="5746" s="563" customFormat="1"/>
    <row r="5747" s="563" customFormat="1"/>
    <row r="5748" s="563" customFormat="1"/>
    <row r="5749" s="563" customFormat="1"/>
    <row r="5750" s="563" customFormat="1"/>
    <row r="5751" s="563" customFormat="1"/>
    <row r="5752" s="563" customFormat="1"/>
    <row r="5753" s="563" customFormat="1"/>
    <row r="5754" s="563" customFormat="1"/>
    <row r="5755" s="563" customFormat="1"/>
    <row r="5756" s="563" customFormat="1"/>
    <row r="5757" s="563" customFormat="1"/>
    <row r="5758" s="563" customFormat="1"/>
    <row r="5759" s="563" customFormat="1"/>
    <row r="5760" s="563" customFormat="1"/>
    <row r="5761" s="563" customFormat="1"/>
    <row r="5762" s="563" customFormat="1"/>
    <row r="5763" s="563" customFormat="1"/>
    <row r="5764" s="563" customFormat="1"/>
    <row r="5765" s="563" customFormat="1"/>
    <row r="5766" s="563" customFormat="1"/>
    <row r="5767" s="563" customFormat="1"/>
    <row r="5768" s="563" customFormat="1"/>
    <row r="5769" s="563" customFormat="1"/>
    <row r="5770" s="563" customFormat="1"/>
    <row r="5771" s="563" customFormat="1"/>
    <row r="5772" s="563" customFormat="1"/>
    <row r="5773" s="563" customFormat="1"/>
    <row r="5774" s="563" customFormat="1"/>
    <row r="5775" s="563" customFormat="1"/>
    <row r="5776" s="563" customFormat="1"/>
    <row r="5777" s="563" customFormat="1"/>
    <row r="5778" s="563" customFormat="1"/>
    <row r="5779" s="563" customFormat="1"/>
    <row r="5780" s="563" customFormat="1"/>
    <row r="5781" s="563" customFormat="1"/>
    <row r="5782" s="563" customFormat="1"/>
    <row r="5783" s="563" customFormat="1"/>
    <row r="5784" s="563" customFormat="1"/>
    <row r="5785" s="563" customFormat="1"/>
    <row r="5786" s="563" customFormat="1"/>
    <row r="5787" s="563" customFormat="1"/>
    <row r="5788" s="563" customFormat="1"/>
    <row r="5789" s="563" customFormat="1"/>
    <row r="5790" s="563" customFormat="1"/>
    <row r="5791" s="563" customFormat="1"/>
    <row r="5792" s="563" customFormat="1"/>
    <row r="5793" s="563" customFormat="1"/>
    <row r="5794" s="563" customFormat="1"/>
    <row r="5795" s="563" customFormat="1"/>
    <row r="5796" s="563" customFormat="1"/>
    <row r="5797" s="563" customFormat="1"/>
    <row r="5798" s="563" customFormat="1"/>
    <row r="5799" s="563" customFormat="1"/>
    <row r="5800" s="563" customFormat="1"/>
    <row r="5801" s="563" customFormat="1"/>
    <row r="5802" s="563" customFormat="1"/>
    <row r="5803" s="563" customFormat="1"/>
    <row r="5804" s="563" customFormat="1"/>
    <row r="5805" s="563" customFormat="1"/>
    <row r="5806" s="563" customFormat="1"/>
    <row r="5807" s="563" customFormat="1"/>
    <row r="5808" s="563" customFormat="1"/>
    <row r="5809" s="563" customFormat="1"/>
    <row r="5810" s="563" customFormat="1"/>
    <row r="5811" s="563" customFormat="1"/>
    <row r="5812" s="563" customFormat="1"/>
    <row r="5813" s="563" customFormat="1"/>
    <row r="5814" s="563" customFormat="1"/>
    <row r="5815" s="563" customFormat="1"/>
    <row r="5816" s="563" customFormat="1"/>
    <row r="5817" s="563" customFormat="1"/>
    <row r="5818" s="563" customFormat="1"/>
    <row r="5819" s="563" customFormat="1"/>
    <row r="5820" s="563" customFormat="1"/>
    <row r="5821" s="563" customFormat="1"/>
    <row r="5822" s="563" customFormat="1"/>
    <row r="5823" s="563" customFormat="1"/>
    <row r="5824" s="563" customFormat="1"/>
    <row r="5825" s="563" customFormat="1"/>
    <row r="5826" s="563" customFormat="1"/>
    <row r="5827" s="563" customFormat="1"/>
    <row r="5828" s="563" customFormat="1"/>
    <row r="5829" s="563" customFormat="1"/>
    <row r="5830" s="563" customFormat="1"/>
    <row r="5831" s="563" customFormat="1"/>
    <row r="5832" s="563" customFormat="1"/>
    <row r="5833" s="563" customFormat="1"/>
    <row r="5834" s="563" customFormat="1"/>
    <row r="5835" s="563" customFormat="1"/>
    <row r="5836" s="563" customFormat="1"/>
    <row r="5837" s="563" customFormat="1"/>
    <row r="5838" s="563" customFormat="1"/>
    <row r="5839" s="563" customFormat="1"/>
    <row r="5840" s="563" customFormat="1"/>
    <row r="5841" s="563" customFormat="1"/>
    <row r="5842" s="563" customFormat="1"/>
    <row r="5843" s="563" customFormat="1"/>
    <row r="5844" s="563" customFormat="1"/>
    <row r="5845" s="563" customFormat="1"/>
    <row r="5846" s="563" customFormat="1"/>
    <row r="5847" s="563" customFormat="1"/>
    <row r="5848" s="563" customFormat="1"/>
    <row r="5849" s="563" customFormat="1"/>
    <row r="5850" s="563" customFormat="1"/>
    <row r="5851" s="563" customFormat="1"/>
    <row r="5852" s="563" customFormat="1"/>
    <row r="5853" s="563" customFormat="1"/>
    <row r="5854" s="563" customFormat="1"/>
    <row r="5855" s="563" customFormat="1"/>
    <row r="5856" s="563" customFormat="1"/>
    <row r="5857" s="563" customFormat="1"/>
    <row r="5858" s="563" customFormat="1"/>
    <row r="5859" s="563" customFormat="1"/>
    <row r="5860" s="563" customFormat="1"/>
    <row r="5861" s="563" customFormat="1"/>
    <row r="5862" s="563" customFormat="1"/>
    <row r="5863" s="563" customFormat="1"/>
    <row r="5864" s="563" customFormat="1"/>
    <row r="5865" s="563" customFormat="1"/>
    <row r="5866" s="563" customFormat="1"/>
    <row r="5867" s="563" customFormat="1"/>
    <row r="5868" s="563" customFormat="1"/>
    <row r="5869" s="563" customFormat="1"/>
    <row r="5870" s="563" customFormat="1"/>
    <row r="5871" s="563" customFormat="1"/>
    <row r="5872" s="563" customFormat="1"/>
    <row r="5873" s="563" customFormat="1"/>
    <row r="5874" s="563" customFormat="1"/>
    <row r="5875" s="563" customFormat="1"/>
    <row r="5876" s="563" customFormat="1"/>
    <row r="5877" s="563" customFormat="1"/>
    <row r="5878" s="563" customFormat="1"/>
    <row r="5879" s="563" customFormat="1"/>
    <row r="5880" s="563" customFormat="1"/>
    <row r="5881" s="563" customFormat="1"/>
    <row r="5882" s="563" customFormat="1"/>
    <row r="5883" s="563" customFormat="1"/>
    <row r="5884" s="563" customFormat="1"/>
    <row r="5885" s="563" customFormat="1"/>
    <row r="5886" s="563" customFormat="1"/>
    <row r="5887" s="563" customFormat="1"/>
    <row r="5888" s="563" customFormat="1"/>
    <row r="5889" s="563" customFormat="1"/>
    <row r="5890" s="563" customFormat="1"/>
    <row r="5891" s="563" customFormat="1"/>
    <row r="5892" s="563" customFormat="1"/>
    <row r="5893" s="563" customFormat="1"/>
    <row r="5894" s="563" customFormat="1"/>
    <row r="5895" s="563" customFormat="1"/>
    <row r="5896" s="563" customFormat="1"/>
    <row r="5897" s="563" customFormat="1"/>
    <row r="5898" s="563" customFormat="1"/>
    <row r="5899" s="563" customFormat="1"/>
    <row r="5900" s="563" customFormat="1"/>
    <row r="5901" s="563" customFormat="1"/>
    <row r="5902" s="563" customFormat="1"/>
    <row r="5903" s="563" customFormat="1"/>
    <row r="5904" s="563" customFormat="1"/>
    <row r="5905" s="563" customFormat="1"/>
    <row r="5906" s="563" customFormat="1"/>
    <row r="5907" s="563" customFormat="1"/>
    <row r="5908" s="563" customFormat="1"/>
    <row r="5909" s="563" customFormat="1"/>
    <row r="5910" s="563" customFormat="1"/>
    <row r="5911" s="563" customFormat="1"/>
    <row r="5912" s="563" customFormat="1"/>
    <row r="5913" s="563" customFormat="1"/>
    <row r="5914" s="563" customFormat="1"/>
    <row r="5915" s="563" customFormat="1"/>
    <row r="5916" s="563" customFormat="1"/>
    <row r="5917" s="563" customFormat="1"/>
    <row r="5918" s="563" customFormat="1"/>
    <row r="5919" s="563" customFormat="1"/>
    <row r="5920" s="563" customFormat="1"/>
    <row r="5921" s="563" customFormat="1"/>
    <row r="5922" s="563" customFormat="1"/>
    <row r="5923" s="563" customFormat="1"/>
    <row r="5924" s="563" customFormat="1"/>
    <row r="5925" s="563" customFormat="1"/>
    <row r="5926" s="563" customFormat="1"/>
    <row r="5927" s="563" customFormat="1"/>
    <row r="5928" s="563" customFormat="1"/>
    <row r="5929" s="563" customFormat="1"/>
    <row r="5930" s="563" customFormat="1"/>
    <row r="5931" s="563" customFormat="1"/>
    <row r="5932" s="563" customFormat="1"/>
    <row r="5933" s="563" customFormat="1"/>
    <row r="5934" s="563" customFormat="1"/>
    <row r="5935" s="563" customFormat="1"/>
    <row r="5936" s="563" customFormat="1"/>
    <row r="5937" s="563" customFormat="1"/>
    <row r="5938" s="563" customFormat="1"/>
    <row r="5939" s="563" customFormat="1"/>
    <row r="5940" s="563" customFormat="1"/>
    <row r="5941" s="563" customFormat="1"/>
    <row r="5942" s="563" customFormat="1"/>
    <row r="5943" s="563" customFormat="1"/>
    <row r="5944" s="563" customFormat="1"/>
    <row r="5945" s="563" customFormat="1"/>
    <row r="5946" s="563" customFormat="1"/>
    <row r="5947" s="563" customFormat="1"/>
    <row r="5948" s="563" customFormat="1"/>
    <row r="5949" s="563" customFormat="1"/>
    <row r="5950" s="563" customFormat="1"/>
    <row r="5951" s="563" customFormat="1"/>
    <row r="5952" s="563" customFormat="1"/>
    <row r="5953" s="563" customFormat="1"/>
    <row r="5954" s="563" customFormat="1"/>
    <row r="5955" s="563" customFormat="1"/>
    <row r="5956" s="563" customFormat="1"/>
    <row r="5957" s="563" customFormat="1"/>
    <row r="5958" s="563" customFormat="1"/>
    <row r="5959" s="563" customFormat="1"/>
    <row r="5960" s="563" customFormat="1"/>
    <row r="5961" s="563" customFormat="1"/>
    <row r="5962" s="563" customFormat="1"/>
    <row r="5963" s="563" customFormat="1"/>
    <row r="5964" s="563" customFormat="1"/>
    <row r="5965" s="563" customFormat="1"/>
    <row r="5966" s="563" customFormat="1"/>
    <row r="5967" s="563" customFormat="1"/>
    <row r="5968" s="563" customFormat="1"/>
    <row r="5969" s="563" customFormat="1"/>
    <row r="5970" s="563" customFormat="1"/>
    <row r="5971" s="563" customFormat="1"/>
    <row r="5972" s="563" customFormat="1"/>
    <row r="5973" s="563" customFormat="1"/>
    <row r="5974" s="563" customFormat="1"/>
    <row r="5975" s="563" customFormat="1"/>
    <row r="5976" s="563" customFormat="1"/>
    <row r="5977" s="563" customFormat="1"/>
    <row r="5978" s="563" customFormat="1"/>
    <row r="5979" s="563" customFormat="1"/>
    <row r="5980" s="563" customFormat="1"/>
    <row r="5981" s="563" customFormat="1"/>
    <row r="5982" s="563" customFormat="1"/>
    <row r="5983" s="563" customFormat="1"/>
    <row r="5984" s="563" customFormat="1"/>
    <row r="5985" s="563" customFormat="1"/>
    <row r="5986" s="563" customFormat="1"/>
    <row r="5987" s="563" customFormat="1"/>
    <row r="5988" s="563" customFormat="1"/>
    <row r="5989" s="563" customFormat="1"/>
    <row r="5990" s="563" customFormat="1"/>
    <row r="5991" s="563" customFormat="1"/>
    <row r="5992" s="563" customFormat="1"/>
    <row r="5993" s="563" customFormat="1"/>
    <row r="5994" s="563" customFormat="1"/>
    <row r="5995" s="563" customFormat="1"/>
    <row r="5996" s="563" customFormat="1"/>
    <row r="5997" s="563" customFormat="1"/>
    <row r="5998" s="563" customFormat="1"/>
    <row r="5999" s="563" customFormat="1"/>
    <row r="6000" s="563" customFormat="1"/>
    <row r="6001" s="563" customFormat="1"/>
    <row r="6002" s="563" customFormat="1"/>
    <row r="6003" s="563" customFormat="1"/>
    <row r="6004" s="563" customFormat="1"/>
    <row r="6005" s="563" customFormat="1"/>
    <row r="6006" s="563" customFormat="1"/>
    <row r="6007" s="563" customFormat="1"/>
    <row r="6008" s="563" customFormat="1"/>
    <row r="6009" s="563" customFormat="1"/>
    <row r="6010" s="563" customFormat="1"/>
    <row r="6011" s="563" customFormat="1"/>
    <row r="6012" s="563" customFormat="1"/>
    <row r="6013" s="563" customFormat="1"/>
    <row r="6014" s="563" customFormat="1"/>
    <row r="6015" s="563" customFormat="1"/>
    <row r="6016" s="563" customFormat="1"/>
    <row r="6017" s="563" customFormat="1"/>
    <row r="6018" s="563" customFormat="1"/>
    <row r="6019" s="563" customFormat="1"/>
    <row r="6020" s="563" customFormat="1"/>
    <row r="6021" s="563" customFormat="1"/>
    <row r="6022" s="563" customFormat="1"/>
    <row r="6023" s="563" customFormat="1"/>
    <row r="6024" s="563" customFormat="1"/>
    <row r="6025" s="563" customFormat="1"/>
    <row r="6026" s="563" customFormat="1"/>
    <row r="6027" s="563" customFormat="1"/>
    <row r="6028" s="563" customFormat="1"/>
    <row r="6029" s="563" customFormat="1"/>
    <row r="6030" s="563" customFormat="1"/>
    <row r="6031" s="563" customFormat="1"/>
    <row r="6032" s="563" customFormat="1"/>
    <row r="6033" s="563" customFormat="1"/>
    <row r="6034" s="563" customFormat="1"/>
    <row r="6035" s="563" customFormat="1"/>
    <row r="6036" s="563" customFormat="1"/>
    <row r="6037" s="563" customFormat="1"/>
    <row r="6038" s="563" customFormat="1"/>
    <row r="6039" s="563" customFormat="1"/>
    <row r="6040" s="563" customFormat="1"/>
    <row r="6041" s="563" customFormat="1"/>
    <row r="6042" s="563" customFormat="1"/>
    <row r="6043" s="563" customFormat="1"/>
    <row r="6044" s="563" customFormat="1"/>
    <row r="6045" s="563" customFormat="1"/>
    <row r="6046" s="563" customFormat="1"/>
    <row r="6047" s="563" customFormat="1"/>
    <row r="6048" s="563" customFormat="1"/>
    <row r="6049" s="563" customFormat="1"/>
    <row r="6050" s="563" customFormat="1"/>
    <row r="6051" s="563" customFormat="1"/>
    <row r="6052" s="563" customFormat="1"/>
    <row r="6053" s="563" customFormat="1"/>
    <row r="6054" s="563" customFormat="1"/>
    <row r="6055" s="563" customFormat="1"/>
    <row r="6056" s="563" customFormat="1"/>
    <row r="6057" s="563" customFormat="1"/>
    <row r="6058" s="563" customFormat="1"/>
    <row r="6059" s="563" customFormat="1"/>
    <row r="6060" s="563" customFormat="1"/>
    <row r="6061" s="563" customFormat="1"/>
    <row r="6062" s="563" customFormat="1"/>
    <row r="6063" s="563" customFormat="1"/>
    <row r="6064" s="563" customFormat="1"/>
    <row r="6065" s="563" customFormat="1"/>
    <row r="6066" s="563" customFormat="1"/>
    <row r="6067" s="563" customFormat="1"/>
    <row r="6068" s="563" customFormat="1"/>
    <row r="6069" s="563" customFormat="1"/>
    <row r="6070" s="563" customFormat="1"/>
    <row r="6071" s="563" customFormat="1"/>
    <row r="6072" s="563" customFormat="1"/>
    <row r="6073" s="563" customFormat="1"/>
    <row r="6074" s="563" customFormat="1"/>
    <row r="6075" s="563" customFormat="1"/>
    <row r="6076" s="563" customFormat="1"/>
    <row r="6077" s="563" customFormat="1"/>
    <row r="6078" s="563" customFormat="1"/>
    <row r="6079" s="563" customFormat="1"/>
    <row r="6080" s="563" customFormat="1"/>
    <row r="6081" s="563" customFormat="1"/>
    <row r="6082" s="563" customFormat="1"/>
    <row r="6083" s="563" customFormat="1"/>
    <row r="6084" s="563" customFormat="1"/>
    <row r="6085" s="563" customFormat="1"/>
    <row r="6086" s="563" customFormat="1"/>
    <row r="6087" s="563" customFormat="1"/>
    <row r="6088" s="563" customFormat="1"/>
    <row r="6089" s="563" customFormat="1"/>
    <row r="6090" s="563" customFormat="1"/>
    <row r="6091" s="563" customFormat="1"/>
    <row r="6092" s="563" customFormat="1"/>
    <row r="6093" s="563" customFormat="1"/>
    <row r="6094" s="563" customFormat="1"/>
    <row r="6095" s="563" customFormat="1"/>
    <row r="6096" s="563" customFormat="1"/>
    <row r="6097" s="563" customFormat="1"/>
    <row r="6098" s="563" customFormat="1"/>
    <row r="6099" s="563" customFormat="1"/>
    <row r="6100" s="563" customFormat="1"/>
    <row r="6101" s="563" customFormat="1"/>
    <row r="6102" s="563" customFormat="1"/>
    <row r="6103" s="563" customFormat="1"/>
    <row r="6104" s="563" customFormat="1"/>
    <row r="6105" s="563" customFormat="1"/>
    <row r="6106" s="563" customFormat="1"/>
    <row r="6107" s="563" customFormat="1"/>
    <row r="6108" s="563" customFormat="1"/>
    <row r="6109" s="563" customFormat="1"/>
    <row r="6110" s="563" customFormat="1"/>
    <row r="6111" s="563" customFormat="1"/>
    <row r="6112" s="563" customFormat="1"/>
    <row r="6113" s="563" customFormat="1"/>
    <row r="6114" s="563" customFormat="1"/>
    <row r="6115" s="563" customFormat="1"/>
    <row r="6116" s="563" customFormat="1"/>
    <row r="6117" s="563" customFormat="1"/>
    <row r="6118" s="563" customFormat="1"/>
    <row r="6119" s="563" customFormat="1"/>
    <row r="6120" s="563" customFormat="1"/>
    <row r="6121" s="563" customFormat="1"/>
    <row r="6122" s="563" customFormat="1"/>
    <row r="6123" s="563" customFormat="1"/>
    <row r="6124" s="563" customFormat="1"/>
    <row r="6125" s="563" customFormat="1"/>
    <row r="6126" s="563" customFormat="1"/>
    <row r="6127" s="563" customFormat="1"/>
    <row r="6128" s="563" customFormat="1"/>
    <row r="6129" s="563" customFormat="1"/>
    <row r="6130" s="563" customFormat="1"/>
    <row r="6131" s="563" customFormat="1"/>
    <row r="6132" s="563" customFormat="1"/>
    <row r="6133" s="563" customFormat="1"/>
    <row r="6134" s="563" customFormat="1"/>
    <row r="6135" s="563" customFormat="1"/>
    <row r="6136" s="563" customFormat="1"/>
    <row r="6137" s="563" customFormat="1"/>
    <row r="6138" s="563" customFormat="1"/>
    <row r="6139" s="563" customFormat="1"/>
    <row r="6140" s="563" customFormat="1"/>
    <row r="6141" s="563" customFormat="1"/>
    <row r="6142" s="563" customFormat="1"/>
    <row r="6143" s="563" customFormat="1"/>
    <row r="6144" s="563" customFormat="1"/>
    <row r="6145" s="563" customFormat="1"/>
    <row r="6146" s="563" customFormat="1"/>
    <row r="6147" s="563" customFormat="1"/>
    <row r="6148" s="563" customFormat="1"/>
    <row r="6149" s="563" customFormat="1"/>
    <row r="6150" s="563" customFormat="1"/>
    <row r="6151" s="563" customFormat="1"/>
    <row r="6152" s="563" customFormat="1"/>
    <row r="6153" s="563" customFormat="1"/>
    <row r="6154" s="563" customFormat="1"/>
    <row r="6155" s="563" customFormat="1"/>
    <row r="6156" s="563" customFormat="1"/>
    <row r="6157" s="563" customFormat="1"/>
    <row r="6158" s="563" customFormat="1"/>
    <row r="6159" s="563" customFormat="1"/>
    <row r="6160" s="563" customFormat="1"/>
    <row r="6161" s="563" customFormat="1"/>
    <row r="6162" s="563" customFormat="1"/>
    <row r="6163" s="563" customFormat="1"/>
    <row r="6164" s="563" customFormat="1"/>
    <row r="6165" s="563" customFormat="1"/>
    <row r="6166" s="563" customFormat="1"/>
    <row r="6167" s="563" customFormat="1"/>
    <row r="6168" s="563" customFormat="1"/>
    <row r="6169" s="563" customFormat="1"/>
    <row r="6170" s="563" customFormat="1"/>
    <row r="6171" s="563" customFormat="1"/>
    <row r="6172" s="563" customFormat="1"/>
    <row r="6173" s="563" customFormat="1"/>
    <row r="6174" s="563" customFormat="1"/>
    <row r="6175" s="563" customFormat="1"/>
    <row r="6176" s="563" customFormat="1"/>
    <row r="6177" s="563" customFormat="1"/>
    <row r="6178" s="563" customFormat="1"/>
    <row r="6179" s="563" customFormat="1"/>
    <row r="6180" s="563" customFormat="1"/>
    <row r="6181" s="563" customFormat="1"/>
    <row r="6182" s="563" customFormat="1"/>
    <row r="6183" s="563" customFormat="1"/>
    <row r="6184" s="563" customFormat="1"/>
    <row r="6185" s="563" customFormat="1"/>
    <row r="6186" s="563" customFormat="1"/>
    <row r="6187" s="563" customFormat="1"/>
    <row r="6188" s="563" customFormat="1"/>
    <row r="6189" s="563" customFormat="1"/>
    <row r="6190" s="563" customFormat="1"/>
    <row r="6191" s="563" customFormat="1"/>
    <row r="6192" s="563" customFormat="1"/>
    <row r="6193" s="563" customFormat="1"/>
    <row r="6194" s="563" customFormat="1"/>
    <row r="6195" s="563" customFormat="1"/>
    <row r="6196" s="563" customFormat="1"/>
    <row r="6197" s="563" customFormat="1"/>
    <row r="6198" s="563" customFormat="1"/>
    <row r="6199" s="563" customFormat="1"/>
    <row r="6200" s="563" customFormat="1"/>
    <row r="6201" s="563" customFormat="1"/>
    <row r="6202" s="563" customFormat="1"/>
    <row r="6203" s="563" customFormat="1"/>
    <row r="6204" s="563" customFormat="1"/>
    <row r="6205" s="563" customFormat="1"/>
    <row r="6206" s="563" customFormat="1"/>
    <row r="6207" s="563" customFormat="1"/>
    <row r="6208" s="563" customFormat="1"/>
    <row r="6209" s="563" customFormat="1"/>
    <row r="6210" s="563" customFormat="1"/>
    <row r="6211" s="563" customFormat="1"/>
    <row r="6212" s="563" customFormat="1"/>
    <row r="6213" s="563" customFormat="1"/>
    <row r="6214" s="563" customFormat="1"/>
    <row r="6215" s="563" customFormat="1"/>
    <row r="6216" s="563" customFormat="1"/>
    <row r="6217" s="563" customFormat="1"/>
    <row r="6218" s="563" customFormat="1"/>
    <row r="6219" s="563" customFormat="1"/>
    <row r="6220" s="563" customFormat="1"/>
    <row r="6221" s="563" customFormat="1"/>
    <row r="6222" s="563" customFormat="1"/>
    <row r="6223" s="563" customFormat="1"/>
    <row r="6224" s="563" customFormat="1"/>
    <row r="6225" s="563" customFormat="1"/>
    <row r="6226" s="563" customFormat="1"/>
    <row r="6227" s="563" customFormat="1"/>
    <row r="6228" s="563" customFormat="1"/>
    <row r="6229" s="563" customFormat="1"/>
    <row r="6230" s="563" customFormat="1"/>
    <row r="6231" s="563" customFormat="1"/>
    <row r="6232" s="563" customFormat="1"/>
    <row r="6233" s="563" customFormat="1"/>
    <row r="6234" s="563" customFormat="1"/>
    <row r="6235" s="563" customFormat="1"/>
    <row r="6236" s="563" customFormat="1"/>
    <row r="6237" s="563" customFormat="1"/>
    <row r="6238" s="563" customFormat="1"/>
    <row r="6239" s="563" customFormat="1"/>
    <row r="6240" s="563" customFormat="1"/>
    <row r="6241" s="563" customFormat="1"/>
    <row r="6242" s="563" customFormat="1"/>
    <row r="6243" s="563" customFormat="1"/>
    <row r="6244" s="563" customFormat="1"/>
    <row r="6245" s="563" customFormat="1"/>
    <row r="6246" s="563" customFormat="1"/>
    <row r="6247" s="563" customFormat="1"/>
    <row r="6248" s="563" customFormat="1"/>
    <row r="6249" s="563" customFormat="1"/>
    <row r="6250" s="563" customFormat="1"/>
    <row r="6251" s="563" customFormat="1"/>
    <row r="6252" s="563" customFormat="1"/>
    <row r="6253" s="563" customFormat="1"/>
    <row r="6254" s="563" customFormat="1"/>
    <row r="6255" s="563" customFormat="1"/>
    <row r="6256" s="563" customFormat="1"/>
    <row r="6257" s="563" customFormat="1"/>
    <row r="6258" s="563" customFormat="1"/>
    <row r="6259" s="563" customFormat="1"/>
    <row r="6260" s="563" customFormat="1"/>
    <row r="6261" s="563" customFormat="1"/>
    <row r="6262" s="563" customFormat="1"/>
    <row r="6263" s="563" customFormat="1"/>
    <row r="6264" s="563" customFormat="1"/>
    <row r="6265" s="563" customFormat="1"/>
    <row r="6266" s="563" customFormat="1"/>
    <row r="6267" s="563" customFormat="1"/>
    <row r="6268" s="563" customFormat="1"/>
    <row r="6269" s="563" customFormat="1"/>
    <row r="6270" s="563" customFormat="1"/>
    <row r="6271" s="563" customFormat="1"/>
    <row r="6272" s="563" customFormat="1"/>
    <row r="6273" s="563" customFormat="1"/>
    <row r="6274" s="563" customFormat="1"/>
    <row r="6275" s="563" customFormat="1"/>
    <row r="6276" s="563" customFormat="1"/>
    <row r="6277" s="563" customFormat="1"/>
    <row r="6278" s="563" customFormat="1"/>
    <row r="6279" s="563" customFormat="1"/>
    <row r="6280" s="563" customFormat="1"/>
    <row r="6281" s="563" customFormat="1"/>
    <row r="6282" s="563" customFormat="1"/>
    <row r="6283" s="563" customFormat="1"/>
    <row r="6284" s="563" customFormat="1"/>
    <row r="6285" s="563" customFormat="1"/>
    <row r="6286" s="563" customFormat="1"/>
    <row r="6287" s="563" customFormat="1"/>
    <row r="6288" s="563" customFormat="1"/>
    <row r="6289" s="563" customFormat="1"/>
    <row r="6290" s="563" customFormat="1"/>
    <row r="6291" s="563" customFormat="1"/>
    <row r="6292" s="563" customFormat="1"/>
    <row r="6293" s="563" customFormat="1"/>
    <row r="6294" s="563" customFormat="1"/>
    <row r="6295" s="563" customFormat="1"/>
    <row r="6296" s="563" customFormat="1"/>
    <row r="6297" s="563" customFormat="1"/>
    <row r="6298" s="563" customFormat="1"/>
    <row r="6299" s="563" customFormat="1"/>
    <row r="6300" s="563" customFormat="1"/>
    <row r="6301" s="563" customFormat="1"/>
    <row r="6302" s="563" customFormat="1"/>
    <row r="6303" s="563" customFormat="1"/>
    <row r="6304" s="563" customFormat="1"/>
    <row r="6305" s="563" customFormat="1"/>
    <row r="6306" s="563" customFormat="1"/>
    <row r="6307" s="563" customFormat="1"/>
    <row r="6308" s="563" customFormat="1"/>
    <row r="6309" s="563" customFormat="1"/>
    <row r="6310" s="563" customFormat="1"/>
    <row r="6311" s="563" customFormat="1"/>
    <row r="6312" s="563" customFormat="1"/>
    <row r="6313" s="563" customFormat="1"/>
    <row r="6314" s="563" customFormat="1"/>
    <row r="6315" s="563" customFormat="1"/>
    <row r="6316" s="563" customFormat="1"/>
    <row r="6317" s="563" customFormat="1"/>
    <row r="6318" s="563" customFormat="1"/>
    <row r="6319" s="563" customFormat="1"/>
    <row r="6320" s="563" customFormat="1"/>
    <row r="6321" s="563" customFormat="1"/>
    <row r="6322" s="563" customFormat="1"/>
    <row r="6323" s="563" customFormat="1"/>
    <row r="6324" s="563" customFormat="1"/>
    <row r="6325" s="563" customFormat="1"/>
    <row r="6326" s="563" customFormat="1"/>
    <row r="6327" s="563" customFormat="1"/>
    <row r="6328" s="563" customFormat="1"/>
    <row r="6329" s="563" customFormat="1"/>
    <row r="6330" s="563" customFormat="1"/>
    <row r="6331" s="563" customFormat="1"/>
    <row r="6332" s="563" customFormat="1"/>
    <row r="6333" s="563" customFormat="1"/>
    <row r="6334" s="563" customFormat="1"/>
    <row r="6335" s="563" customFormat="1"/>
    <row r="6336" s="563" customFormat="1"/>
    <row r="6337" s="563" customFormat="1"/>
    <row r="6338" s="563" customFormat="1"/>
    <row r="6339" s="563" customFormat="1"/>
    <row r="6340" s="563" customFormat="1"/>
    <row r="6341" s="563" customFormat="1"/>
    <row r="6342" s="563" customFormat="1"/>
    <row r="6343" s="563" customFormat="1"/>
    <row r="6344" s="563" customFormat="1"/>
    <row r="6345" s="563" customFormat="1"/>
    <row r="6346" s="563" customFormat="1"/>
    <row r="6347" s="563" customFormat="1"/>
    <row r="6348" s="563" customFormat="1"/>
    <row r="6349" s="563" customFormat="1"/>
    <row r="6350" s="563" customFormat="1"/>
    <row r="6351" s="563" customFormat="1"/>
    <row r="6352" s="563" customFormat="1"/>
    <row r="6353" s="563" customFormat="1"/>
    <row r="6354" s="563" customFormat="1"/>
    <row r="6355" s="563" customFormat="1"/>
    <row r="6356" s="563" customFormat="1"/>
    <row r="6357" s="563" customFormat="1"/>
    <row r="6358" s="563" customFormat="1"/>
    <row r="6359" s="563" customFormat="1"/>
    <row r="6360" s="563" customFormat="1"/>
    <row r="6361" s="563" customFormat="1"/>
    <row r="6362" s="563" customFormat="1"/>
    <row r="6363" s="563" customFormat="1"/>
    <row r="6364" s="563" customFormat="1"/>
    <row r="6365" s="563" customFormat="1"/>
    <row r="6366" s="563" customFormat="1"/>
    <row r="6367" s="563" customFormat="1"/>
    <row r="6368" s="563" customFormat="1"/>
    <row r="6369" s="563" customFormat="1"/>
    <row r="6370" s="563" customFormat="1"/>
    <row r="6371" s="563" customFormat="1"/>
    <row r="6372" s="563" customFormat="1"/>
    <row r="6373" s="563" customFormat="1"/>
    <row r="6374" s="563" customFormat="1"/>
    <row r="6375" s="563" customFormat="1"/>
    <row r="6376" s="563" customFormat="1"/>
    <row r="6377" s="563" customFormat="1"/>
    <row r="6378" s="563" customFormat="1"/>
    <row r="6379" s="563" customFormat="1"/>
    <row r="6380" s="563" customFormat="1"/>
    <row r="6381" s="563" customFormat="1"/>
    <row r="6382" s="563" customFormat="1"/>
    <row r="6383" s="563" customFormat="1"/>
    <row r="6384" s="563" customFormat="1"/>
    <row r="6385" s="563" customFormat="1"/>
    <row r="6386" s="563" customFormat="1"/>
    <row r="6387" s="563" customFormat="1"/>
    <row r="6388" s="563" customFormat="1"/>
    <row r="6389" s="563" customFormat="1"/>
    <row r="6390" s="563" customFormat="1"/>
    <row r="6391" s="563" customFormat="1"/>
    <row r="6392" s="563" customFormat="1"/>
    <row r="6393" s="563" customFormat="1"/>
    <row r="6394" s="563" customFormat="1"/>
    <row r="6395" s="563" customFormat="1"/>
    <row r="6396" s="563" customFormat="1"/>
    <row r="6397" s="563" customFormat="1"/>
    <row r="6398" s="563" customFormat="1"/>
    <row r="6399" s="563" customFormat="1"/>
    <row r="6400" s="563" customFormat="1"/>
    <row r="6401" s="563" customFormat="1"/>
    <row r="6402" s="563" customFormat="1"/>
    <row r="6403" s="563" customFormat="1"/>
    <row r="6404" s="563" customFormat="1"/>
    <row r="6405" s="563" customFormat="1"/>
    <row r="6406" s="563" customFormat="1"/>
    <row r="6407" s="563" customFormat="1"/>
    <row r="6408" s="563" customFormat="1"/>
    <row r="6409" s="563" customFormat="1"/>
    <row r="6410" s="563" customFormat="1"/>
    <row r="6411" s="563" customFormat="1"/>
    <row r="6412" s="563" customFormat="1"/>
    <row r="6413" s="563" customFormat="1"/>
    <row r="6414" s="563" customFormat="1"/>
    <row r="6415" s="563" customFormat="1"/>
    <row r="6416" s="563" customFormat="1"/>
    <row r="6417" s="563" customFormat="1"/>
    <row r="6418" s="563" customFormat="1"/>
    <row r="6419" s="563" customFormat="1"/>
    <row r="6420" s="563" customFormat="1"/>
    <row r="6421" s="563" customFormat="1"/>
    <row r="6422" s="563" customFormat="1"/>
    <row r="6423" s="563" customFormat="1"/>
    <row r="6424" s="563" customFormat="1"/>
    <row r="6425" s="563" customFormat="1"/>
    <row r="6426" s="563" customFormat="1"/>
    <row r="6427" s="563" customFormat="1"/>
    <row r="6428" s="563" customFormat="1"/>
    <row r="6429" s="563" customFormat="1"/>
    <row r="6430" s="563" customFormat="1"/>
    <row r="6431" s="563" customFormat="1"/>
    <row r="6432" s="563" customFormat="1"/>
    <row r="6433" s="563" customFormat="1"/>
    <row r="6434" s="563" customFormat="1"/>
    <row r="6435" s="563" customFormat="1"/>
    <row r="6436" s="563" customFormat="1"/>
    <row r="6437" s="563" customFormat="1"/>
    <row r="6438" s="563" customFormat="1"/>
    <row r="6439" s="563" customFormat="1"/>
    <row r="6440" s="563" customFormat="1"/>
    <row r="6441" s="563" customFormat="1"/>
    <row r="6442" s="563" customFormat="1"/>
    <row r="6443" s="563" customFormat="1"/>
    <row r="6444" s="563" customFormat="1"/>
    <row r="6445" s="563" customFormat="1"/>
    <row r="6446" s="563" customFormat="1"/>
    <row r="6447" s="563" customFormat="1"/>
    <row r="6448" s="563" customFormat="1"/>
    <row r="6449" s="563" customFormat="1"/>
    <row r="6450" s="563" customFormat="1"/>
    <row r="6451" s="563" customFormat="1"/>
    <row r="6452" s="563" customFormat="1"/>
    <row r="6453" s="563" customFormat="1"/>
    <row r="6454" s="563" customFormat="1"/>
    <row r="6455" s="563" customFormat="1"/>
    <row r="6456" s="563" customFormat="1"/>
    <row r="6457" s="563" customFormat="1"/>
    <row r="6458" s="563" customFormat="1"/>
    <row r="6459" s="563" customFormat="1"/>
    <row r="6460" s="563" customFormat="1"/>
    <row r="6461" s="563" customFormat="1"/>
    <row r="6462" s="563" customFormat="1"/>
    <row r="6463" s="563" customFormat="1"/>
    <row r="6464" s="563" customFormat="1"/>
    <row r="6465" s="563" customFormat="1"/>
    <row r="6466" s="563" customFormat="1"/>
    <row r="6467" s="563" customFormat="1"/>
    <row r="6468" s="563" customFormat="1"/>
    <row r="6469" s="563" customFormat="1"/>
    <row r="6470" s="563" customFormat="1"/>
    <row r="6471" s="563" customFormat="1"/>
    <row r="6472" s="563" customFormat="1"/>
    <row r="6473" s="563" customFormat="1"/>
    <row r="6474" s="563" customFormat="1"/>
    <row r="6475" s="563" customFormat="1"/>
    <row r="6476" s="563" customFormat="1"/>
    <row r="6477" s="563" customFormat="1"/>
    <row r="6478" s="563" customFormat="1"/>
    <row r="6479" s="563" customFormat="1"/>
    <row r="6480" s="563" customFormat="1"/>
    <row r="6481" s="563" customFormat="1"/>
    <row r="6482" s="563" customFormat="1"/>
    <row r="6483" s="563" customFormat="1"/>
    <row r="6484" s="563" customFormat="1"/>
    <row r="6485" s="563" customFormat="1"/>
    <row r="6486" s="563" customFormat="1"/>
    <row r="6487" s="563" customFormat="1"/>
    <row r="6488" s="563" customFormat="1"/>
    <row r="6489" s="563" customFormat="1"/>
    <row r="6490" s="563" customFormat="1"/>
    <row r="6491" s="563" customFormat="1"/>
    <row r="6492" s="563" customFormat="1"/>
    <row r="6493" s="563" customFormat="1"/>
    <row r="6494" s="563" customFormat="1"/>
    <row r="6495" s="563" customFormat="1"/>
    <row r="6496" s="563" customFormat="1"/>
    <row r="6497" s="563" customFormat="1"/>
    <row r="6498" s="563" customFormat="1"/>
    <row r="6499" s="563" customFormat="1"/>
    <row r="6500" s="563" customFormat="1"/>
    <row r="6501" s="563" customFormat="1"/>
    <row r="6502" s="563" customFormat="1"/>
    <row r="6503" s="563" customFormat="1"/>
    <row r="6504" s="563" customFormat="1"/>
    <row r="6505" s="563" customFormat="1"/>
    <row r="6506" s="563" customFormat="1"/>
    <row r="6507" s="563" customFormat="1"/>
    <row r="6508" s="563" customFormat="1"/>
    <row r="6509" s="563" customFormat="1"/>
    <row r="6510" s="563" customFormat="1"/>
    <row r="6511" s="563" customFormat="1"/>
    <row r="6512" s="563" customFormat="1"/>
    <row r="6513" s="563" customFormat="1"/>
    <row r="6514" s="563" customFormat="1"/>
    <row r="6515" s="563" customFormat="1"/>
    <row r="6516" s="563" customFormat="1"/>
    <row r="6517" s="563" customFormat="1"/>
    <row r="6518" s="563" customFormat="1"/>
    <row r="6519" s="563" customFormat="1"/>
    <row r="6520" s="563" customFormat="1"/>
    <row r="6521" s="563" customFormat="1"/>
    <row r="6522" s="563" customFormat="1"/>
    <row r="6523" s="563" customFormat="1"/>
    <row r="6524" s="563" customFormat="1"/>
    <row r="6525" s="563" customFormat="1"/>
    <row r="6526" s="563" customFormat="1"/>
    <row r="6527" s="563" customFormat="1"/>
    <row r="6528" s="563" customFormat="1"/>
    <row r="6529" s="563" customFormat="1"/>
    <row r="6530" s="563" customFormat="1"/>
    <row r="6531" s="563" customFormat="1"/>
    <row r="6532" s="563" customFormat="1"/>
    <row r="6533" s="563" customFormat="1"/>
    <row r="6534" s="563" customFormat="1"/>
    <row r="6535" s="563" customFormat="1"/>
    <row r="6536" s="563" customFormat="1"/>
    <row r="6537" s="563" customFormat="1"/>
    <row r="6538" s="563" customFormat="1"/>
    <row r="6539" s="563" customFormat="1"/>
    <row r="6540" s="563" customFormat="1"/>
    <row r="6541" s="563" customFormat="1"/>
    <row r="6542" s="563" customFormat="1"/>
    <row r="6543" s="563" customFormat="1"/>
    <row r="6544" s="563" customFormat="1"/>
    <row r="6545" s="563" customFormat="1"/>
    <row r="6546" s="563" customFormat="1"/>
    <row r="6547" s="563" customFormat="1"/>
    <row r="6548" s="563" customFormat="1"/>
    <row r="6549" s="563" customFormat="1"/>
    <row r="6550" s="563" customFormat="1"/>
    <row r="6551" s="563" customFormat="1"/>
    <row r="6552" s="563" customFormat="1"/>
    <row r="6553" s="563" customFormat="1"/>
    <row r="6554" s="563" customFormat="1"/>
    <row r="6555" s="563" customFormat="1"/>
    <row r="6556" s="563" customFormat="1"/>
    <row r="6557" s="563" customFormat="1"/>
    <row r="6558" s="563" customFormat="1"/>
    <row r="6559" s="563" customFormat="1"/>
    <row r="6560" s="563" customFormat="1"/>
    <row r="6561" s="563" customFormat="1"/>
    <row r="6562" s="563" customFormat="1"/>
    <row r="6563" s="563" customFormat="1"/>
    <row r="6564" s="563" customFormat="1"/>
    <row r="6565" s="563" customFormat="1"/>
    <row r="6566" s="563" customFormat="1"/>
    <row r="6567" s="563" customFormat="1"/>
    <row r="6568" s="563" customFormat="1"/>
    <row r="6569" s="563" customFormat="1"/>
    <row r="6570" s="563" customFormat="1"/>
    <row r="6571" s="563" customFormat="1"/>
    <row r="6572" s="563" customFormat="1"/>
    <row r="6573" s="563" customFormat="1"/>
    <row r="6574" s="563" customFormat="1"/>
    <row r="6575" s="563" customFormat="1"/>
    <row r="6576" s="563" customFormat="1"/>
    <row r="6577" s="563" customFormat="1"/>
    <row r="6578" s="563" customFormat="1"/>
    <row r="6579" s="563" customFormat="1"/>
    <row r="6580" s="563" customFormat="1"/>
    <row r="6581" s="563" customFormat="1"/>
    <row r="6582" s="563" customFormat="1"/>
    <row r="6583" s="563" customFormat="1"/>
    <row r="6584" s="563" customFormat="1"/>
    <row r="6585" s="563" customFormat="1"/>
    <row r="6586" s="563" customFormat="1"/>
    <row r="6587" s="563" customFormat="1"/>
    <row r="6588" s="563" customFormat="1"/>
    <row r="6589" s="563" customFormat="1"/>
    <row r="6590" s="563" customFormat="1"/>
    <row r="6591" s="563" customFormat="1"/>
    <row r="6592" s="563" customFormat="1"/>
    <row r="6593" s="563" customFormat="1"/>
    <row r="6594" s="563" customFormat="1"/>
    <row r="6595" s="563" customFormat="1"/>
    <row r="6596" s="563" customFormat="1"/>
    <row r="6597" s="563" customFormat="1"/>
    <row r="6598" s="563" customFormat="1"/>
    <row r="6599" s="563" customFormat="1"/>
    <row r="6600" s="563" customFormat="1"/>
    <row r="6601" s="563" customFormat="1"/>
    <row r="6602" s="563" customFormat="1"/>
    <row r="6603" s="563" customFormat="1"/>
    <row r="6604" s="563" customFormat="1"/>
    <row r="6605" s="563" customFormat="1"/>
    <row r="6606" s="563" customFormat="1"/>
    <row r="6607" s="563" customFormat="1"/>
    <row r="6608" s="563" customFormat="1"/>
    <row r="6609" s="563" customFormat="1"/>
    <row r="6610" s="563" customFormat="1"/>
    <row r="6611" s="563" customFormat="1"/>
    <row r="6612" s="563" customFormat="1"/>
    <row r="6613" s="563" customFormat="1"/>
    <row r="6614" s="563" customFormat="1"/>
    <row r="6615" s="563" customFormat="1"/>
    <row r="6616" s="563" customFormat="1"/>
    <row r="6617" s="563" customFormat="1"/>
    <row r="6618" s="563" customFormat="1"/>
    <row r="6619" s="563" customFormat="1"/>
    <row r="6620" s="563" customFormat="1"/>
    <row r="6621" s="563" customFormat="1"/>
    <row r="6622" s="563" customFormat="1"/>
    <row r="6623" s="563" customFormat="1"/>
    <row r="6624" s="563" customFormat="1"/>
    <row r="6625" s="563" customFormat="1"/>
    <row r="6626" s="563" customFormat="1"/>
    <row r="6627" s="563" customFormat="1"/>
    <row r="6628" s="563" customFormat="1"/>
    <row r="6629" s="563" customFormat="1"/>
    <row r="6630" s="563" customFormat="1"/>
    <row r="6631" s="563" customFormat="1"/>
    <row r="6632" s="563" customFormat="1"/>
    <row r="6633" s="563" customFormat="1"/>
    <row r="6634" s="563" customFormat="1"/>
    <row r="6635" s="563" customFormat="1"/>
    <row r="6636" s="563" customFormat="1"/>
    <row r="6637" s="563" customFormat="1"/>
    <row r="6638" s="563" customFormat="1"/>
    <row r="6639" s="563" customFormat="1"/>
    <row r="6640" s="563" customFormat="1"/>
    <row r="6641" s="563" customFormat="1"/>
    <row r="6642" s="563" customFormat="1"/>
    <row r="6643" s="563" customFormat="1"/>
    <row r="6644" s="563" customFormat="1"/>
    <row r="6645" s="563" customFormat="1"/>
    <row r="6646" s="563" customFormat="1"/>
    <row r="6647" s="563" customFormat="1"/>
    <row r="6648" s="563" customFormat="1"/>
    <row r="6649" s="563" customFormat="1"/>
    <row r="6650" s="563" customFormat="1"/>
    <row r="6651" s="563" customFormat="1"/>
    <row r="6652" s="563" customFormat="1"/>
    <row r="6653" s="563" customFormat="1"/>
    <row r="6654" s="563" customFormat="1"/>
    <row r="6655" s="563" customFormat="1"/>
    <row r="6656" s="563" customFormat="1"/>
    <row r="6657" s="563" customFormat="1"/>
    <row r="6658" s="563" customFormat="1"/>
    <row r="6659" s="563" customFormat="1"/>
    <row r="6660" s="563" customFormat="1"/>
    <row r="6661" s="563" customFormat="1"/>
    <row r="6662" s="563" customFormat="1"/>
    <row r="6663" s="563" customFormat="1"/>
    <row r="6664" s="563" customFormat="1"/>
    <row r="6665" s="563" customFormat="1"/>
    <row r="6666" s="563" customFormat="1"/>
    <row r="6667" s="563" customFormat="1"/>
    <row r="6668" s="563" customFormat="1"/>
    <row r="6669" s="563" customFormat="1"/>
    <row r="6670" s="563" customFormat="1"/>
    <row r="6671" s="563" customFormat="1"/>
    <row r="6672" s="563" customFormat="1"/>
    <row r="6673" s="563" customFormat="1"/>
    <row r="6674" s="563" customFormat="1"/>
    <row r="6675" s="563" customFormat="1"/>
    <row r="6676" s="563" customFormat="1"/>
    <row r="6677" s="563" customFormat="1"/>
    <row r="6678" s="563" customFormat="1"/>
    <row r="6679" s="563" customFormat="1"/>
    <row r="6680" s="563" customFormat="1"/>
    <row r="6681" s="563" customFormat="1"/>
    <row r="6682" s="563" customFormat="1"/>
    <row r="6683" s="563" customFormat="1"/>
    <row r="6684" s="563" customFormat="1"/>
    <row r="6685" s="563" customFormat="1"/>
    <row r="6686" s="563" customFormat="1"/>
    <row r="6687" s="563" customFormat="1"/>
    <row r="6688" s="563" customFormat="1"/>
    <row r="6689" s="563" customFormat="1"/>
    <row r="6690" s="563" customFormat="1"/>
    <row r="6691" s="563" customFormat="1"/>
    <row r="6692" s="563" customFormat="1"/>
    <row r="6693" s="563" customFormat="1"/>
    <row r="6694" s="563" customFormat="1"/>
    <row r="6695" s="563" customFormat="1"/>
    <row r="6696" s="563" customFormat="1"/>
    <row r="6697" s="563" customFormat="1"/>
    <row r="6698" s="563" customFormat="1"/>
    <row r="6699" s="563" customFormat="1"/>
    <row r="6700" s="563" customFormat="1"/>
    <row r="6701" s="563" customFormat="1"/>
    <row r="6702" s="563" customFormat="1"/>
    <row r="6703" s="563" customFormat="1"/>
    <row r="6704" s="563" customFormat="1"/>
    <row r="6705" s="563" customFormat="1"/>
    <row r="6706" s="563" customFormat="1"/>
    <row r="6707" s="563" customFormat="1"/>
    <row r="6708" s="563" customFormat="1"/>
    <row r="6709" s="563" customFormat="1"/>
    <row r="6710" s="563" customFormat="1"/>
    <row r="6711" s="563" customFormat="1"/>
    <row r="6712" s="563" customFormat="1"/>
    <row r="6713" s="563" customFormat="1"/>
    <row r="6714" s="563" customFormat="1"/>
    <row r="6715" s="563" customFormat="1"/>
    <row r="6716" s="563" customFormat="1"/>
    <row r="6717" s="563" customFormat="1"/>
    <row r="6718" s="563" customFormat="1"/>
    <row r="6719" s="563" customFormat="1"/>
    <row r="6720" s="563" customFormat="1"/>
    <row r="6721" s="563" customFormat="1"/>
    <row r="6722" s="563" customFormat="1"/>
    <row r="6723" s="563" customFormat="1"/>
    <row r="6724" s="563" customFormat="1"/>
    <row r="6725" s="563" customFormat="1"/>
    <row r="6726" s="563" customFormat="1"/>
    <row r="6727" s="563" customFormat="1"/>
    <row r="6728" s="563" customFormat="1"/>
    <row r="6729" s="563" customFormat="1"/>
    <row r="6730" s="563" customFormat="1"/>
    <row r="6731" s="563" customFormat="1"/>
    <row r="6732" s="563" customFormat="1"/>
    <row r="6733" s="563" customFormat="1"/>
    <row r="6734" s="563" customFormat="1"/>
    <row r="6735" s="563" customFormat="1"/>
    <row r="6736" s="563" customFormat="1"/>
    <row r="6737" s="563" customFormat="1"/>
    <row r="6738" s="563" customFormat="1"/>
    <row r="6739" s="563" customFormat="1"/>
    <row r="6740" s="563" customFormat="1"/>
    <row r="6741" s="563" customFormat="1"/>
    <row r="6742" s="563" customFormat="1"/>
    <row r="6743" s="563" customFormat="1"/>
    <row r="6744" s="563" customFormat="1"/>
    <row r="6745" s="563" customFormat="1"/>
    <row r="6746" s="563" customFormat="1"/>
    <row r="6747" s="563" customFormat="1"/>
    <row r="6748" s="563" customFormat="1"/>
    <row r="6749" s="563" customFormat="1"/>
    <row r="6750" s="563" customFormat="1"/>
    <row r="6751" s="563" customFormat="1"/>
    <row r="6752" s="563" customFormat="1"/>
    <row r="6753" s="563" customFormat="1"/>
    <row r="6754" s="563" customFormat="1"/>
    <row r="6755" s="563" customFormat="1"/>
    <row r="6756" s="563" customFormat="1"/>
    <row r="6757" s="563" customFormat="1"/>
    <row r="6758" s="563" customFormat="1"/>
    <row r="6759" s="563" customFormat="1"/>
    <row r="6760" s="563" customFormat="1"/>
    <row r="6761" s="563" customFormat="1"/>
    <row r="6762" s="563" customFormat="1"/>
    <row r="6763" s="563" customFormat="1"/>
    <row r="6764" s="563" customFormat="1"/>
    <row r="6765" s="563" customFormat="1"/>
    <row r="6766" s="563" customFormat="1"/>
    <row r="6767" s="563" customFormat="1"/>
    <row r="6768" s="563" customFormat="1"/>
    <row r="6769" s="563" customFormat="1"/>
    <row r="6770" s="563" customFormat="1"/>
    <row r="6771" s="563" customFormat="1"/>
    <row r="6772" s="563" customFormat="1"/>
    <row r="6773" s="563" customFormat="1"/>
    <row r="6774" s="563" customFormat="1"/>
    <row r="6775" s="563" customFormat="1"/>
    <row r="6776" s="563" customFormat="1"/>
    <row r="6777" s="563" customFormat="1"/>
    <row r="6778" s="563" customFormat="1"/>
    <row r="6779" s="563" customFormat="1"/>
    <row r="6780" s="563" customFormat="1"/>
    <row r="6781" s="563" customFormat="1"/>
    <row r="6782" s="563" customFormat="1"/>
    <row r="6783" s="563" customFormat="1"/>
    <row r="6784" s="563" customFormat="1"/>
    <row r="6785" s="563" customFormat="1"/>
    <row r="6786" s="563" customFormat="1"/>
    <row r="6787" s="563" customFormat="1"/>
    <row r="6788" s="563" customFormat="1"/>
    <row r="6789" s="563" customFormat="1"/>
    <row r="6790" s="563" customFormat="1"/>
    <row r="6791" s="563" customFormat="1"/>
    <row r="6792" s="563" customFormat="1"/>
    <row r="6793" s="563" customFormat="1"/>
    <row r="6794" s="563" customFormat="1"/>
    <row r="6795" s="563" customFormat="1"/>
    <row r="6796" s="563" customFormat="1"/>
    <row r="6797" s="563" customFormat="1"/>
    <row r="6798" s="563" customFormat="1"/>
    <row r="6799" s="563" customFormat="1"/>
    <row r="6800" s="563" customFormat="1"/>
    <row r="6801" s="563" customFormat="1"/>
    <row r="6802" s="563" customFormat="1"/>
    <row r="6803" s="563" customFormat="1"/>
    <row r="6804" s="563" customFormat="1"/>
    <row r="6805" s="563" customFormat="1"/>
    <row r="6806" s="563" customFormat="1"/>
    <row r="6807" s="563" customFormat="1"/>
    <row r="6808" s="563" customFormat="1"/>
    <row r="6809" s="563" customFormat="1"/>
    <row r="6810" s="563" customFormat="1"/>
    <row r="6811" s="563" customFormat="1"/>
    <row r="6812" s="563" customFormat="1"/>
    <row r="6813" s="563" customFormat="1"/>
    <row r="6814" s="563" customFormat="1"/>
    <row r="6815" s="563" customFormat="1"/>
    <row r="6816" s="563" customFormat="1"/>
    <row r="6817" s="563" customFormat="1"/>
    <row r="6818" s="563" customFormat="1"/>
    <row r="6819" s="563" customFormat="1"/>
    <row r="6820" s="563" customFormat="1"/>
    <row r="6821" s="563" customFormat="1"/>
    <row r="6822" s="563" customFormat="1"/>
    <row r="6823" s="563" customFormat="1"/>
    <row r="6824" s="563" customFormat="1"/>
    <row r="6825" s="563" customFormat="1"/>
    <row r="6826" s="563" customFormat="1"/>
    <row r="6827" s="563" customFormat="1"/>
    <row r="6828" s="563" customFormat="1"/>
    <row r="6829" s="563" customFormat="1"/>
    <row r="6830" s="563" customFormat="1"/>
    <row r="6831" s="563" customFormat="1"/>
    <row r="6832" s="563" customFormat="1"/>
    <row r="6833" s="563" customFormat="1"/>
    <row r="6834" s="563" customFormat="1"/>
    <row r="6835" s="563" customFormat="1"/>
    <row r="6836" s="563" customFormat="1"/>
    <row r="6837" s="563" customFormat="1"/>
    <row r="6838" s="563" customFormat="1"/>
    <row r="6839" s="563" customFormat="1"/>
    <row r="6840" s="563" customFormat="1"/>
    <row r="6841" s="563" customFormat="1"/>
    <row r="6842" s="563" customFormat="1"/>
    <row r="6843" s="563" customFormat="1"/>
    <row r="6844" s="563" customFormat="1"/>
    <row r="6845" s="563" customFormat="1"/>
    <row r="6846" s="563" customFormat="1"/>
    <row r="6847" s="563" customFormat="1"/>
    <row r="6848" s="563" customFormat="1"/>
    <row r="6849" s="563" customFormat="1"/>
    <row r="6850" s="563" customFormat="1"/>
    <row r="6851" s="563" customFormat="1"/>
    <row r="6852" s="563" customFormat="1"/>
    <row r="6853" s="563" customFormat="1"/>
    <row r="6854" s="563" customFormat="1"/>
    <row r="6855" s="563" customFormat="1"/>
    <row r="6856" s="563" customFormat="1"/>
    <row r="6857" s="563" customFormat="1"/>
    <row r="6858" s="563" customFormat="1"/>
    <row r="6859" s="563" customFormat="1"/>
    <row r="6860" s="563" customFormat="1"/>
    <row r="6861" s="563" customFormat="1"/>
    <row r="6862" s="563" customFormat="1"/>
    <row r="6863" s="563" customFormat="1"/>
    <row r="6864" s="563" customFormat="1"/>
    <row r="6865" s="563" customFormat="1"/>
    <row r="6866" s="563" customFormat="1"/>
    <row r="6867" s="563" customFormat="1"/>
    <row r="6868" s="563" customFormat="1"/>
    <row r="6869" s="563" customFormat="1"/>
    <row r="6870" s="563" customFormat="1"/>
    <row r="6871" s="563" customFormat="1"/>
    <row r="6872" s="563" customFormat="1"/>
    <row r="6873" s="563" customFormat="1"/>
    <row r="6874" s="563" customFormat="1"/>
    <row r="6875" s="563" customFormat="1"/>
    <row r="6876" s="563" customFormat="1"/>
    <row r="6877" s="563" customFormat="1"/>
    <row r="6878" s="563" customFormat="1"/>
    <row r="6879" s="563" customFormat="1"/>
    <row r="6880" s="563" customFormat="1"/>
    <row r="6881" s="563" customFormat="1"/>
    <row r="6882" s="563" customFormat="1"/>
    <row r="6883" s="563" customFormat="1"/>
    <row r="6884" s="563" customFormat="1"/>
    <row r="6885" s="563" customFormat="1"/>
    <row r="6886" s="563" customFormat="1"/>
    <row r="6887" s="563" customFormat="1"/>
    <row r="6888" s="563" customFormat="1"/>
    <row r="6889" s="563" customFormat="1"/>
    <row r="6890" s="563" customFormat="1"/>
    <row r="6891" s="563" customFormat="1"/>
    <row r="6892" s="563" customFormat="1"/>
    <row r="6893" s="563" customFormat="1"/>
    <row r="6894" s="563" customFormat="1"/>
    <row r="6895" s="563" customFormat="1"/>
    <row r="6896" s="563" customFormat="1"/>
    <row r="6897" s="563" customFormat="1"/>
    <row r="6898" s="563" customFormat="1"/>
    <row r="6899" s="563" customFormat="1"/>
    <row r="6900" s="563" customFormat="1"/>
    <row r="6901" s="563" customFormat="1"/>
    <row r="6902" s="563" customFormat="1"/>
    <row r="6903" s="563" customFormat="1"/>
    <row r="6904" s="563" customFormat="1"/>
    <row r="6905" s="563" customFormat="1"/>
    <row r="6906" s="563" customFormat="1"/>
    <row r="6907" s="563" customFormat="1"/>
    <row r="6908" s="563" customFormat="1"/>
    <row r="6909" s="563" customFormat="1"/>
    <row r="6910" s="563" customFormat="1"/>
    <row r="6911" s="563" customFormat="1"/>
    <row r="6912" s="563" customFormat="1"/>
    <row r="6913" s="563" customFormat="1"/>
    <row r="6914" s="563" customFormat="1"/>
    <row r="6915" s="563" customFormat="1"/>
    <row r="6916" s="563" customFormat="1"/>
    <row r="6917" s="563" customFormat="1"/>
    <row r="6918" s="563" customFormat="1"/>
    <row r="6919" s="563" customFormat="1"/>
    <row r="6920" s="563" customFormat="1"/>
    <row r="6921" s="563" customFormat="1"/>
    <row r="6922" s="563" customFormat="1"/>
    <row r="6923" s="563" customFormat="1"/>
    <row r="6924" s="563" customFormat="1"/>
    <row r="6925" s="563" customFormat="1"/>
    <row r="6926" s="563" customFormat="1"/>
    <row r="6927" s="563" customFormat="1"/>
    <row r="6928" s="563" customFormat="1"/>
    <row r="6929" s="563" customFormat="1"/>
    <row r="6930" s="563" customFormat="1"/>
    <row r="6931" s="563" customFormat="1"/>
    <row r="6932" s="563" customFormat="1"/>
    <row r="6933" s="563" customFormat="1"/>
    <row r="6934" s="563" customFormat="1"/>
    <row r="6935" s="563" customFormat="1"/>
    <row r="6936" s="563" customFormat="1"/>
    <row r="6937" s="563" customFormat="1"/>
    <row r="6938" s="563" customFormat="1"/>
    <row r="6939" s="563" customFormat="1"/>
    <row r="6940" s="563" customFormat="1"/>
    <row r="6941" s="563" customFormat="1"/>
    <row r="6942" s="563" customFormat="1"/>
    <row r="6943" s="563" customFormat="1"/>
    <row r="6944" s="563" customFormat="1"/>
    <row r="6945" s="563" customFormat="1"/>
    <row r="6946" s="563" customFormat="1"/>
    <row r="6947" s="563" customFormat="1"/>
    <row r="6948" s="563" customFormat="1"/>
    <row r="6949" s="563" customFormat="1"/>
    <row r="6950" s="563" customFormat="1"/>
    <row r="6951" s="563" customFormat="1"/>
    <row r="6952" s="563" customFormat="1"/>
    <row r="6953" s="563" customFormat="1"/>
    <row r="6954" s="563" customFormat="1"/>
    <row r="6955" s="563" customFormat="1"/>
    <row r="6956" s="563" customFormat="1"/>
    <row r="6957" s="563" customFormat="1"/>
    <row r="6958" s="563" customFormat="1"/>
    <row r="6959" s="563" customFormat="1"/>
    <row r="6960" s="563" customFormat="1"/>
    <row r="6961" s="563" customFormat="1"/>
    <row r="6962" s="563" customFormat="1"/>
    <row r="6963" s="563" customFormat="1"/>
    <row r="6964" s="563" customFormat="1"/>
    <row r="6965" s="563" customFormat="1"/>
    <row r="6966" s="563" customFormat="1"/>
    <row r="6967" s="563" customFormat="1"/>
    <row r="6968" s="563" customFormat="1"/>
    <row r="6969" s="563" customFormat="1"/>
    <row r="6970" s="563" customFormat="1"/>
    <row r="6971" s="563" customFormat="1"/>
    <row r="6972" s="563" customFormat="1"/>
    <row r="6973" s="563" customFormat="1"/>
    <row r="6974" s="563" customFormat="1"/>
    <row r="6975" s="563" customFormat="1"/>
    <row r="6976" s="563" customFormat="1"/>
    <row r="6977" s="563" customFormat="1"/>
    <row r="6978" s="563" customFormat="1"/>
    <row r="6979" s="563" customFormat="1"/>
    <row r="6980" s="563" customFormat="1"/>
    <row r="6981" s="563" customFormat="1"/>
    <row r="6982" s="563" customFormat="1"/>
    <row r="6983" s="563" customFormat="1"/>
    <row r="6984" s="563" customFormat="1"/>
    <row r="6985" s="563" customFormat="1"/>
    <row r="6986" s="563" customFormat="1"/>
    <row r="6987" s="563" customFormat="1"/>
    <row r="6988" s="563" customFormat="1"/>
    <row r="6989" s="563" customFormat="1"/>
    <row r="6990" s="563" customFormat="1"/>
    <row r="6991" s="563" customFormat="1"/>
    <row r="6992" s="563" customFormat="1"/>
    <row r="6993" s="563" customFormat="1"/>
    <row r="6994" s="563" customFormat="1"/>
    <row r="6995" s="563" customFormat="1"/>
    <row r="6996" s="563" customFormat="1"/>
    <row r="6997" s="563" customFormat="1"/>
    <row r="6998" s="563" customFormat="1"/>
    <row r="6999" s="563" customFormat="1"/>
    <row r="7000" s="563" customFormat="1"/>
    <row r="7001" s="563" customFormat="1"/>
    <row r="7002" s="563" customFormat="1"/>
    <row r="7003" s="563" customFormat="1"/>
    <row r="7004" s="563" customFormat="1"/>
    <row r="7005" s="563" customFormat="1"/>
    <row r="7006" s="563" customFormat="1"/>
    <row r="7007" s="563" customFormat="1"/>
    <row r="7008" s="563" customFormat="1"/>
    <row r="7009" s="563" customFormat="1"/>
    <row r="7010" s="563" customFormat="1"/>
    <row r="7011" s="563" customFormat="1"/>
    <row r="7012" s="563" customFormat="1"/>
    <row r="7013" s="563" customFormat="1"/>
    <row r="7014" s="563" customFormat="1"/>
    <row r="7015" s="563" customFormat="1"/>
    <row r="7016" s="563" customFormat="1"/>
    <row r="7017" s="563" customFormat="1"/>
    <row r="7018" s="563" customFormat="1"/>
    <row r="7019" s="563" customFormat="1"/>
    <row r="7020" s="563" customFormat="1"/>
    <row r="7021" s="563" customFormat="1"/>
    <row r="7022" s="563" customFormat="1"/>
    <row r="7023" s="563" customFormat="1"/>
    <row r="7024" s="563" customFormat="1"/>
    <row r="7025" s="563" customFormat="1"/>
    <row r="7026" s="563" customFormat="1"/>
    <row r="7027" s="563" customFormat="1"/>
    <row r="7028" s="563" customFormat="1"/>
    <row r="7029" s="563" customFormat="1"/>
    <row r="7030" s="563" customFormat="1"/>
    <row r="7031" s="563" customFormat="1"/>
    <row r="7032" s="563" customFormat="1"/>
    <row r="7033" s="563" customFormat="1"/>
    <row r="7034" s="563" customFormat="1"/>
    <row r="7035" s="563" customFormat="1"/>
    <row r="7036" s="563" customFormat="1"/>
    <row r="7037" s="563" customFormat="1"/>
    <row r="7038" s="563" customFormat="1"/>
    <row r="7039" s="563" customFormat="1"/>
    <row r="7040" s="563" customFormat="1"/>
    <row r="7041" s="563" customFormat="1"/>
    <row r="7042" s="563" customFormat="1"/>
    <row r="7043" s="563" customFormat="1"/>
    <row r="7044" s="563" customFormat="1"/>
    <row r="7045" s="563" customFormat="1"/>
    <row r="7046" s="563" customFormat="1"/>
    <row r="7047" s="563" customFormat="1"/>
    <row r="7048" s="563" customFormat="1"/>
    <row r="7049" s="563" customFormat="1"/>
    <row r="7050" s="563" customFormat="1"/>
    <row r="7051" s="563" customFormat="1"/>
    <row r="7052" s="563" customFormat="1"/>
    <row r="7053" s="563" customFormat="1"/>
    <row r="7054" s="563" customFormat="1"/>
    <row r="7055" s="563" customFormat="1"/>
    <row r="7056" s="563" customFormat="1"/>
    <row r="7057" s="563" customFormat="1"/>
    <row r="7058" s="563" customFormat="1"/>
    <row r="7059" s="563" customFormat="1"/>
    <row r="7060" s="563" customFormat="1"/>
    <row r="7061" s="563" customFormat="1"/>
    <row r="7062" s="563" customFormat="1"/>
    <row r="7063" s="563" customFormat="1"/>
    <row r="7064" s="563" customFormat="1"/>
    <row r="7065" s="563" customFormat="1"/>
    <row r="7066" s="563" customFormat="1"/>
    <row r="7067" s="563" customFormat="1"/>
    <row r="7068" s="563" customFormat="1"/>
    <row r="7069" s="563" customFormat="1"/>
    <row r="7070" s="563" customFormat="1"/>
    <row r="7071" s="563" customFormat="1"/>
    <row r="7072" s="563" customFormat="1"/>
    <row r="7073" s="563" customFormat="1"/>
    <row r="7074" s="563" customFormat="1"/>
    <row r="7075" s="563" customFormat="1"/>
    <row r="7076" s="563" customFormat="1"/>
    <row r="7077" s="563" customFormat="1"/>
    <row r="7078" s="563" customFormat="1"/>
    <row r="7079" s="563" customFormat="1"/>
    <row r="7080" s="563" customFormat="1"/>
    <row r="7081" s="563" customFormat="1"/>
    <row r="7082" s="563" customFormat="1"/>
    <row r="7083" s="563" customFormat="1"/>
    <row r="7084" s="563" customFormat="1"/>
    <row r="7085" s="563" customFormat="1"/>
    <row r="7086" s="563" customFormat="1"/>
    <row r="7087" s="563" customFormat="1"/>
    <row r="7088" s="563" customFormat="1"/>
    <row r="7089" s="563" customFormat="1"/>
    <row r="7090" s="563" customFormat="1"/>
    <row r="7091" s="563" customFormat="1"/>
    <row r="7092" s="563" customFormat="1"/>
    <row r="7093" s="563" customFormat="1"/>
    <row r="7094" s="563" customFormat="1"/>
    <row r="7095" s="563" customFormat="1"/>
    <row r="7096" s="563" customFormat="1"/>
    <row r="7097" s="563" customFormat="1"/>
    <row r="7098" s="563" customFormat="1"/>
    <row r="7099" s="563" customFormat="1"/>
    <row r="7100" s="563" customFormat="1"/>
    <row r="7101" s="563" customFormat="1"/>
    <row r="7102" s="563" customFormat="1"/>
    <row r="7103" s="563" customFormat="1"/>
    <row r="7104" s="563" customFormat="1"/>
    <row r="7105" s="563" customFormat="1"/>
    <row r="7106" s="563" customFormat="1"/>
    <row r="7107" s="563" customFormat="1"/>
    <row r="7108" s="563" customFormat="1"/>
    <row r="7109" s="563" customFormat="1"/>
    <row r="7110" s="563" customFormat="1"/>
    <row r="7111" s="563" customFormat="1"/>
    <row r="7112" s="563" customFormat="1"/>
    <row r="7113" s="563" customFormat="1"/>
    <row r="7114" s="563" customFormat="1"/>
    <row r="7115" s="563" customFormat="1"/>
    <row r="7116" s="563" customFormat="1"/>
    <row r="7117" s="563" customFormat="1"/>
    <row r="7118" s="563" customFormat="1"/>
    <row r="7119" s="563" customFormat="1"/>
    <row r="7120" s="563" customFormat="1"/>
    <row r="7121" s="563" customFormat="1"/>
    <row r="7122" s="563" customFormat="1"/>
    <row r="7123" s="563" customFormat="1"/>
    <row r="7124" s="563" customFormat="1"/>
    <row r="7125" s="563" customFormat="1"/>
    <row r="7126" s="563" customFormat="1"/>
    <row r="7127" s="563" customFormat="1"/>
    <row r="7128" s="563" customFormat="1"/>
    <row r="7129" s="563" customFormat="1"/>
    <row r="7130" s="563" customFormat="1"/>
    <row r="7131" s="563" customFormat="1"/>
    <row r="7132" s="563" customFormat="1"/>
    <row r="7133" s="563" customFormat="1"/>
    <row r="7134" s="563" customFormat="1"/>
    <row r="7135" s="563" customFormat="1"/>
    <row r="7136" s="563" customFormat="1"/>
    <row r="7137" s="563" customFormat="1"/>
    <row r="7138" s="563" customFormat="1"/>
    <row r="7139" s="563" customFormat="1"/>
    <row r="7140" s="563" customFormat="1"/>
    <row r="7141" s="563" customFormat="1"/>
    <row r="7142" s="563" customFormat="1"/>
    <row r="7143" s="563" customFormat="1"/>
    <row r="7144" s="563" customFormat="1"/>
    <row r="7145" s="563" customFormat="1"/>
    <row r="7146" s="563" customFormat="1"/>
    <row r="7147" s="563" customFormat="1"/>
    <row r="7148" s="563" customFormat="1"/>
    <row r="7149" s="563" customFormat="1"/>
    <row r="7150" s="563" customFormat="1"/>
    <row r="7151" s="563" customFormat="1"/>
    <row r="7152" s="563" customFormat="1"/>
    <row r="7153" s="563" customFormat="1"/>
    <row r="7154" s="563" customFormat="1"/>
    <row r="7155" s="563" customFormat="1"/>
    <row r="7156" s="563" customFormat="1"/>
    <row r="7157" s="563" customFormat="1"/>
    <row r="7158" s="563" customFormat="1"/>
    <row r="7159" s="563" customFormat="1"/>
    <row r="7160" s="563" customFormat="1"/>
    <row r="7161" s="563" customFormat="1"/>
    <row r="7162" s="563" customFormat="1"/>
    <row r="7163" s="563" customFormat="1"/>
    <row r="7164" s="563" customFormat="1"/>
    <row r="7165" s="563" customFormat="1"/>
    <row r="7166" s="563" customFormat="1"/>
    <row r="7167" s="563" customFormat="1"/>
    <row r="7168" s="563" customFormat="1"/>
    <row r="7169" s="563" customFormat="1"/>
    <row r="7170" s="563" customFormat="1"/>
    <row r="7171" s="563" customFormat="1"/>
    <row r="7172" s="563" customFormat="1"/>
    <row r="7173" s="563" customFormat="1"/>
    <row r="7174" s="563" customFormat="1"/>
    <row r="7175" s="563" customFormat="1"/>
    <row r="7176" s="563" customFormat="1"/>
    <row r="7177" s="563" customFormat="1"/>
    <row r="7178" s="563" customFormat="1"/>
    <row r="7179" s="563" customFormat="1"/>
    <row r="7180" s="563" customFormat="1"/>
    <row r="7181" s="563" customFormat="1"/>
    <row r="7182" s="563" customFormat="1"/>
    <row r="7183" s="563" customFormat="1"/>
    <row r="7184" s="563" customFormat="1"/>
    <row r="7185" s="563" customFormat="1"/>
    <row r="7186" s="563" customFormat="1"/>
    <row r="7187" s="563" customFormat="1"/>
    <row r="7188" s="563" customFormat="1"/>
    <row r="7189" s="563" customFormat="1"/>
    <row r="7190" s="563" customFormat="1"/>
    <row r="7191" s="563" customFormat="1"/>
    <row r="7192" s="563" customFormat="1"/>
    <row r="7193" s="563" customFormat="1"/>
    <row r="7194" s="563" customFormat="1"/>
    <row r="7195" s="563" customFormat="1"/>
    <row r="7196" s="563" customFormat="1"/>
    <row r="7197" s="563" customFormat="1"/>
    <row r="7198" s="563" customFormat="1"/>
    <row r="7199" s="563" customFormat="1"/>
    <row r="7200" s="563" customFormat="1"/>
    <row r="7201" s="563" customFormat="1"/>
    <row r="7202" s="563" customFormat="1"/>
    <row r="7203" s="563" customFormat="1"/>
    <row r="7204" s="563" customFormat="1"/>
    <row r="7205" s="563" customFormat="1"/>
    <row r="7206" s="563" customFormat="1"/>
    <row r="7207" s="563" customFormat="1"/>
    <row r="7208" s="563" customFormat="1"/>
    <row r="7209" s="563" customFormat="1"/>
    <row r="7210" s="563" customFormat="1"/>
    <row r="7211" s="563" customFormat="1"/>
    <row r="7212" s="563" customFormat="1"/>
    <row r="7213" s="563" customFormat="1"/>
    <row r="7214" s="563" customFormat="1"/>
    <row r="7215" s="563" customFormat="1"/>
    <row r="7216" s="563" customFormat="1"/>
    <row r="7217" s="563" customFormat="1"/>
    <row r="7218" s="563" customFormat="1"/>
    <row r="7219" s="563" customFormat="1"/>
    <row r="7220" s="563" customFormat="1"/>
    <row r="7221" s="563" customFormat="1"/>
    <row r="7222" s="563" customFormat="1"/>
    <row r="7223" s="563" customFormat="1"/>
    <row r="7224" s="563" customFormat="1"/>
    <row r="7225" s="563" customFormat="1"/>
    <row r="7226" s="563" customFormat="1"/>
    <row r="7227" s="563" customFormat="1"/>
    <row r="7228" s="563" customFormat="1"/>
    <row r="7229" s="563" customFormat="1"/>
    <row r="7230" s="563" customFormat="1"/>
    <row r="7231" s="563" customFormat="1"/>
    <row r="7232" s="563" customFormat="1"/>
    <row r="7233" s="563" customFormat="1"/>
    <row r="7234" s="563" customFormat="1"/>
    <row r="7235" s="563" customFormat="1"/>
    <row r="7236" s="563" customFormat="1"/>
    <row r="7237" s="563" customFormat="1"/>
    <row r="7238" s="563" customFormat="1"/>
    <row r="7239" s="563" customFormat="1"/>
    <row r="7240" s="563" customFormat="1"/>
    <row r="7241" s="563" customFormat="1"/>
    <row r="7242" s="563" customFormat="1"/>
    <row r="7243" s="563" customFormat="1"/>
    <row r="7244" s="563" customFormat="1"/>
    <row r="7245" s="563" customFormat="1"/>
    <row r="7246" s="563" customFormat="1"/>
    <row r="7247" s="563" customFormat="1"/>
    <row r="7248" s="563" customFormat="1"/>
    <row r="7249" s="563" customFormat="1"/>
    <row r="7250" s="563" customFormat="1"/>
    <row r="7251" s="563" customFormat="1"/>
    <row r="7252" s="563" customFormat="1"/>
    <row r="7253" s="563" customFormat="1"/>
    <row r="7254" s="563" customFormat="1"/>
    <row r="7255" s="563" customFormat="1"/>
    <row r="7256" s="563" customFormat="1"/>
    <row r="7257" s="563" customFormat="1"/>
    <row r="7258" s="563" customFormat="1"/>
    <row r="7259" s="563" customFormat="1"/>
    <row r="7260" s="563" customFormat="1"/>
    <row r="7261" s="563" customFormat="1"/>
    <row r="7262" s="563" customFormat="1"/>
    <row r="7263" s="563" customFormat="1"/>
    <row r="7264" s="563" customFormat="1"/>
    <row r="7265" s="563" customFormat="1"/>
    <row r="7266" s="563" customFormat="1"/>
    <row r="7267" s="563" customFormat="1"/>
    <row r="7268" s="563" customFormat="1"/>
    <row r="7269" s="563" customFormat="1"/>
    <row r="7270" s="563" customFormat="1"/>
    <row r="7271" s="563" customFormat="1"/>
    <row r="7272" s="563" customFormat="1"/>
    <row r="7273" s="563" customFormat="1"/>
    <row r="7274" s="563" customFormat="1"/>
    <row r="7275" s="563" customFormat="1"/>
    <row r="7276" s="563" customFormat="1"/>
    <row r="7277" s="563" customFormat="1"/>
    <row r="7278" s="563" customFormat="1"/>
    <row r="7279" s="563" customFormat="1"/>
    <row r="7280" s="563" customFormat="1"/>
    <row r="7281" s="563" customFormat="1"/>
    <row r="7282" s="563" customFormat="1"/>
    <row r="7283" s="563" customFormat="1"/>
    <row r="7284" s="563" customFormat="1"/>
    <row r="7285" s="563" customFormat="1"/>
    <row r="7286" s="563" customFormat="1"/>
    <row r="7287" s="563" customFormat="1"/>
    <row r="7288" s="563" customFormat="1"/>
    <row r="7289" s="563" customFormat="1"/>
    <row r="7290" s="563" customFormat="1"/>
    <row r="7291" s="563" customFormat="1"/>
    <row r="7292" s="563" customFormat="1"/>
    <row r="7293" s="563" customFormat="1"/>
    <row r="7294" s="563" customFormat="1"/>
    <row r="7295" s="563" customFormat="1"/>
    <row r="7296" s="563" customFormat="1"/>
    <row r="7297" s="563" customFormat="1"/>
    <row r="7298" s="563" customFormat="1"/>
    <row r="7299" s="563" customFormat="1"/>
    <row r="7300" s="563" customFormat="1"/>
    <row r="7301" s="563" customFormat="1"/>
    <row r="7302" s="563" customFormat="1"/>
    <row r="7303" s="563" customFormat="1"/>
    <row r="7304" s="563" customFormat="1"/>
    <row r="7305" s="563" customFormat="1"/>
    <row r="7306" s="563" customFormat="1"/>
    <row r="7307" s="563" customFormat="1"/>
    <row r="7308" s="563" customFormat="1"/>
    <row r="7309" s="563" customFormat="1"/>
    <row r="7310" s="563" customFormat="1"/>
    <row r="7311" s="563" customFormat="1"/>
    <row r="7312" s="563" customFormat="1"/>
    <row r="7313" s="563" customFormat="1"/>
    <row r="7314" s="563" customFormat="1"/>
    <row r="7315" s="563" customFormat="1"/>
    <row r="7316" s="563" customFormat="1"/>
    <row r="7317" s="563" customFormat="1"/>
    <row r="7318" s="563" customFormat="1"/>
    <row r="7319" s="563" customFormat="1"/>
    <row r="7320" s="563" customFormat="1"/>
    <row r="7321" s="563" customFormat="1"/>
    <row r="7322" s="563" customFormat="1"/>
    <row r="7323" s="563" customFormat="1"/>
    <row r="7324" s="563" customFormat="1"/>
    <row r="7325" s="563" customFormat="1"/>
    <row r="7326" s="563" customFormat="1"/>
    <row r="7327" s="563" customFormat="1"/>
    <row r="7328" s="563" customFormat="1"/>
    <row r="7329" s="563" customFormat="1"/>
    <row r="7330" s="563" customFormat="1"/>
    <row r="7331" s="563" customFormat="1"/>
    <row r="7332" s="563" customFormat="1"/>
    <row r="7333" s="563" customFormat="1"/>
    <row r="7334" s="563" customFormat="1"/>
    <row r="7335" s="563" customFormat="1"/>
    <row r="7336" s="563" customFormat="1"/>
    <row r="7337" s="563" customFormat="1"/>
    <row r="7338" s="563" customFormat="1"/>
    <row r="7339" s="563" customFormat="1"/>
    <row r="7340" s="563" customFormat="1"/>
    <row r="7341" s="563" customFormat="1"/>
    <row r="7342" s="563" customFormat="1"/>
    <row r="7343" s="563" customFormat="1"/>
    <row r="7344" s="563" customFormat="1"/>
    <row r="7345" s="563" customFormat="1"/>
    <row r="7346" s="563" customFormat="1"/>
    <row r="7347" s="563" customFormat="1"/>
    <row r="7348" s="563" customFormat="1"/>
    <row r="7349" s="563" customFormat="1"/>
    <row r="7350" s="563" customFormat="1"/>
    <row r="7351" s="563" customFormat="1"/>
    <row r="7352" s="563" customFormat="1"/>
    <row r="7353" s="563" customFormat="1"/>
    <row r="7354" s="563" customFormat="1"/>
    <row r="7355" s="563" customFormat="1"/>
    <row r="7356" s="563" customFormat="1"/>
    <row r="7357" s="563" customFormat="1"/>
    <row r="7358" s="563" customFormat="1"/>
    <row r="7359" s="563" customFormat="1"/>
    <row r="7360" s="563" customFormat="1"/>
    <row r="7361" s="563" customFormat="1"/>
    <row r="7362" s="563" customFormat="1"/>
    <row r="7363" s="563" customFormat="1"/>
    <row r="7364" s="563" customFormat="1"/>
    <row r="7365" s="563" customFormat="1"/>
    <row r="7366" s="563" customFormat="1"/>
    <row r="7367" s="563" customFormat="1"/>
    <row r="7368" s="563" customFormat="1"/>
    <row r="7369" s="563" customFormat="1"/>
    <row r="7370" s="563" customFormat="1"/>
    <row r="7371" s="563" customFormat="1"/>
    <row r="7372" s="563" customFormat="1"/>
    <row r="7373" s="563" customFormat="1"/>
    <row r="7374" s="563" customFormat="1"/>
    <row r="7375" s="563" customFormat="1"/>
    <row r="7376" s="563" customFormat="1"/>
    <row r="7377" s="563" customFormat="1"/>
    <row r="7378" s="563" customFormat="1"/>
    <row r="7379" s="563" customFormat="1"/>
    <row r="7380" s="563" customFormat="1"/>
    <row r="7381" s="563" customFormat="1"/>
    <row r="7382" s="563" customFormat="1"/>
    <row r="7383" s="563" customFormat="1"/>
    <row r="7384" s="563" customFormat="1"/>
    <row r="7385" s="563" customFormat="1"/>
    <row r="7386" s="563" customFormat="1"/>
    <row r="7387" s="563" customFormat="1"/>
    <row r="7388" s="563" customFormat="1"/>
    <row r="7389" s="563" customFormat="1"/>
    <row r="7390" s="563" customFormat="1"/>
    <row r="7391" s="563" customFormat="1"/>
    <row r="7392" s="563" customFormat="1"/>
    <row r="7393" s="563" customFormat="1"/>
    <row r="7394" s="563" customFormat="1"/>
    <row r="7395" s="563" customFormat="1"/>
    <row r="7396" s="563" customFormat="1"/>
    <row r="7397" s="563" customFormat="1"/>
    <row r="7398" s="563" customFormat="1"/>
    <row r="7399" s="563" customFormat="1"/>
    <row r="7400" s="563" customFormat="1"/>
    <row r="7401" s="563" customFormat="1"/>
    <row r="7402" s="563" customFormat="1"/>
    <row r="7403" s="563" customFormat="1"/>
    <row r="7404" s="563" customFormat="1"/>
    <row r="7405" s="563" customFormat="1"/>
    <row r="7406" s="563" customFormat="1"/>
    <row r="7407" s="563" customFormat="1"/>
    <row r="7408" s="563" customFormat="1"/>
    <row r="7409" s="563" customFormat="1"/>
    <row r="7410" s="563" customFormat="1"/>
    <row r="7411" s="563" customFormat="1"/>
    <row r="7412" s="563" customFormat="1"/>
    <row r="7413" s="563" customFormat="1"/>
    <row r="7414" s="563" customFormat="1"/>
    <row r="7415" s="563" customFormat="1"/>
    <row r="7416" s="563" customFormat="1"/>
    <row r="7417" s="563" customFormat="1"/>
    <row r="7418" s="563" customFormat="1"/>
    <row r="7419" s="563" customFormat="1"/>
    <row r="7420" s="563" customFormat="1"/>
    <row r="7421" s="563" customFormat="1"/>
    <row r="7422" s="563" customFormat="1"/>
    <row r="7423" s="563" customFormat="1"/>
    <row r="7424" s="563" customFormat="1"/>
    <row r="7425" s="563" customFormat="1"/>
    <row r="7426" s="563" customFormat="1"/>
    <row r="7427" s="563" customFormat="1"/>
    <row r="7428" s="563" customFormat="1"/>
    <row r="7429" s="563" customFormat="1"/>
    <row r="7430" s="563" customFormat="1"/>
    <row r="7431" s="563" customFormat="1"/>
    <row r="7432" s="563" customFormat="1"/>
    <row r="7433" s="563" customFormat="1"/>
    <row r="7434" s="563" customFormat="1"/>
    <row r="7435" s="563" customFormat="1"/>
    <row r="7436" s="563" customFormat="1"/>
    <row r="7437" s="563" customFormat="1"/>
    <row r="7438" s="563" customFormat="1"/>
    <row r="7439" s="563" customFormat="1"/>
    <row r="7440" s="563" customFormat="1"/>
    <row r="7441" s="563" customFormat="1"/>
    <row r="7442" s="563" customFormat="1"/>
    <row r="7443" s="563" customFormat="1"/>
    <row r="7444" s="563" customFormat="1"/>
    <row r="7445" s="563" customFormat="1"/>
    <row r="7446" s="563" customFormat="1"/>
    <row r="7447" s="563" customFormat="1"/>
    <row r="7448" s="563" customFormat="1"/>
    <row r="7449" s="563" customFormat="1"/>
    <row r="7450" s="563" customFormat="1"/>
    <row r="7451" s="563" customFormat="1"/>
    <row r="7452" s="563" customFormat="1"/>
    <row r="7453" s="563" customFormat="1"/>
    <row r="7454" s="563" customFormat="1"/>
    <row r="7455" s="563" customFormat="1"/>
    <row r="7456" s="563" customFormat="1"/>
    <row r="7457" s="563" customFormat="1"/>
    <row r="7458" s="563" customFormat="1"/>
    <row r="7459" s="563" customFormat="1"/>
    <row r="7460" s="563" customFormat="1"/>
    <row r="7461" s="563" customFormat="1"/>
    <row r="7462" s="563" customFormat="1"/>
    <row r="7463" s="563" customFormat="1"/>
    <row r="7464" s="563" customFormat="1"/>
    <row r="7465" s="563" customFormat="1"/>
    <row r="7466" s="563" customFormat="1"/>
    <row r="7467" s="563" customFormat="1"/>
    <row r="7468" s="563" customFormat="1"/>
    <row r="7469" s="563" customFormat="1"/>
    <row r="7470" s="563" customFormat="1"/>
    <row r="7471" s="563" customFormat="1"/>
    <row r="7472" s="563" customFormat="1"/>
    <row r="7473" s="563" customFormat="1"/>
    <row r="7474" s="563" customFormat="1"/>
    <row r="7475" s="563" customFormat="1"/>
    <row r="7476" s="563" customFormat="1"/>
    <row r="7477" s="563" customFormat="1"/>
    <row r="7478" s="563" customFormat="1"/>
    <row r="7479" s="563" customFormat="1"/>
    <row r="7480" s="563" customFormat="1"/>
    <row r="7481" s="563" customFormat="1"/>
    <row r="7482" s="563" customFormat="1"/>
    <row r="7483" s="563" customFormat="1"/>
    <row r="7484" s="563" customFormat="1"/>
    <row r="7485" s="563" customFormat="1"/>
    <row r="7486" s="563" customFormat="1"/>
    <row r="7487" s="563" customFormat="1"/>
    <row r="7488" s="563" customFormat="1"/>
    <row r="7489" s="563" customFormat="1"/>
    <row r="7490" s="563" customFormat="1"/>
    <row r="7491" s="563" customFormat="1"/>
    <row r="7492" s="563" customFormat="1"/>
    <row r="7493" s="563" customFormat="1"/>
    <row r="7494" s="563" customFormat="1"/>
    <row r="7495" s="563" customFormat="1"/>
    <row r="7496" s="563" customFormat="1"/>
    <row r="7497" s="563" customFormat="1"/>
    <row r="7498" s="563" customFormat="1"/>
    <row r="7499" s="563" customFormat="1"/>
    <row r="7500" s="563" customFormat="1"/>
    <row r="7501" s="563" customFormat="1"/>
    <row r="7502" s="563" customFormat="1"/>
    <row r="7503" s="563" customFormat="1"/>
    <row r="7504" s="563" customFormat="1"/>
    <row r="7505" s="563" customFormat="1"/>
    <row r="7506" s="563" customFormat="1"/>
    <row r="7507" s="563" customFormat="1"/>
    <row r="7508" s="563" customFormat="1"/>
    <row r="7509" s="563" customFormat="1"/>
    <row r="7510" s="563" customFormat="1"/>
    <row r="7511" s="563" customFormat="1"/>
    <row r="7512" s="563" customFormat="1"/>
    <row r="7513" s="563" customFormat="1"/>
    <row r="7514" s="563" customFormat="1"/>
    <row r="7515" s="563" customFormat="1"/>
    <row r="7516" s="563" customFormat="1"/>
    <row r="7517" s="563" customFormat="1"/>
    <row r="7518" s="563" customFormat="1"/>
    <row r="7519" s="563" customFormat="1"/>
    <row r="7520" s="563" customFormat="1"/>
    <row r="7521" s="563" customFormat="1"/>
    <row r="7522" s="563" customFormat="1"/>
    <row r="7523" s="563" customFormat="1"/>
    <row r="7524" s="563" customFormat="1"/>
    <row r="7525" s="563" customFormat="1"/>
    <row r="7526" s="563" customFormat="1"/>
    <row r="7527" s="563" customFormat="1"/>
    <row r="7528" s="563" customFormat="1"/>
    <row r="7529" s="563" customFormat="1"/>
    <row r="7530" s="563" customFormat="1"/>
    <row r="7531" s="563" customFormat="1"/>
    <row r="7532" s="563" customFormat="1"/>
    <row r="7533" s="563" customFormat="1"/>
    <row r="7534" s="563" customFormat="1"/>
    <row r="7535" s="563" customFormat="1"/>
    <row r="7536" s="563" customFormat="1"/>
    <row r="7537" s="563" customFormat="1"/>
    <row r="7538" s="563" customFormat="1"/>
    <row r="7539" s="563" customFormat="1"/>
    <row r="7540" s="563" customFormat="1"/>
    <row r="7541" s="563" customFormat="1"/>
    <row r="7542" s="563" customFormat="1"/>
    <row r="7543" s="563" customFormat="1"/>
    <row r="7544" s="563" customFormat="1"/>
    <row r="7545" s="563" customFormat="1"/>
    <row r="7546" s="563" customFormat="1"/>
    <row r="7547" s="563" customFormat="1"/>
    <row r="7548" s="563" customFormat="1"/>
    <row r="7549" s="563" customFormat="1"/>
    <row r="7550" s="563" customFormat="1"/>
    <row r="7551" s="563" customFormat="1"/>
    <row r="7552" s="563" customFormat="1"/>
    <row r="7553" s="563" customFormat="1"/>
    <row r="7554" s="563" customFormat="1"/>
    <row r="7555" s="563" customFormat="1"/>
    <row r="7556" s="563" customFormat="1"/>
    <row r="7557" s="563" customFormat="1"/>
    <row r="7558" s="563" customFormat="1"/>
    <row r="7559" s="563" customFormat="1"/>
    <row r="7560" s="563" customFormat="1"/>
    <row r="7561" s="563" customFormat="1"/>
    <row r="7562" s="563" customFormat="1"/>
    <row r="7563" s="563" customFormat="1"/>
    <row r="7564" s="563" customFormat="1"/>
    <row r="7565" s="563" customFormat="1"/>
    <row r="7566" s="563" customFormat="1"/>
    <row r="7567" s="563" customFormat="1"/>
    <row r="7568" s="563" customFormat="1"/>
    <row r="7569" s="563" customFormat="1"/>
    <row r="7570" s="563" customFormat="1"/>
    <row r="7571" s="563" customFormat="1"/>
    <row r="7572" s="563" customFormat="1"/>
    <row r="7573" s="563" customFormat="1"/>
    <row r="7574" s="563" customFormat="1"/>
    <row r="7575" s="563" customFormat="1"/>
    <row r="7576" s="563" customFormat="1"/>
    <row r="7577" s="563" customFormat="1"/>
    <row r="7578" s="563" customFormat="1"/>
    <row r="7579" s="563" customFormat="1"/>
    <row r="7580" s="563" customFormat="1"/>
    <row r="7581" s="563" customFormat="1"/>
    <row r="7582" s="563" customFormat="1"/>
    <row r="7583" s="563" customFormat="1"/>
    <row r="7584" s="563" customFormat="1"/>
    <row r="7585" s="563" customFormat="1"/>
    <row r="7586" s="563" customFormat="1"/>
    <row r="7587" s="563" customFormat="1"/>
    <row r="7588" s="563" customFormat="1"/>
    <row r="7589" s="563" customFormat="1"/>
    <row r="7590" s="563" customFormat="1"/>
    <row r="7591" s="563" customFormat="1"/>
    <row r="7592" s="563" customFormat="1"/>
    <row r="7593" s="563" customFormat="1"/>
    <row r="7594" s="563" customFormat="1"/>
    <row r="7595" s="563" customFormat="1"/>
    <row r="7596" s="563" customFormat="1"/>
    <row r="7597" s="563" customFormat="1"/>
    <row r="7598" s="563" customFormat="1"/>
    <row r="7599" s="563" customFormat="1"/>
    <row r="7600" s="563" customFormat="1"/>
    <row r="7601" s="563" customFormat="1"/>
    <row r="7602" s="563" customFormat="1"/>
    <row r="7603" s="563" customFormat="1"/>
    <row r="7604" s="563" customFormat="1"/>
    <row r="7605" s="563" customFormat="1"/>
    <row r="7606" s="563" customFormat="1"/>
    <row r="7607" s="563" customFormat="1"/>
    <row r="7608" s="563" customFormat="1"/>
    <row r="7609" s="563" customFormat="1"/>
    <row r="7610" s="563" customFormat="1"/>
    <row r="7611" s="563" customFormat="1"/>
    <row r="7612" s="563" customFormat="1"/>
    <row r="7613" s="563" customFormat="1"/>
    <row r="7614" s="563" customFormat="1"/>
    <row r="7615" s="563" customFormat="1"/>
    <row r="7616" s="563" customFormat="1"/>
    <row r="7617" s="563" customFormat="1"/>
    <row r="7618" s="563" customFormat="1"/>
    <row r="7619" s="563" customFormat="1"/>
    <row r="7620" s="563" customFormat="1"/>
    <row r="7621" s="563" customFormat="1"/>
    <row r="7622" s="563" customFormat="1"/>
    <row r="7623" s="563" customFormat="1"/>
    <row r="7624" s="563" customFormat="1"/>
    <row r="7625" s="563" customFormat="1"/>
    <row r="7626" s="563" customFormat="1"/>
    <row r="7627" s="563" customFormat="1"/>
    <row r="7628" s="563" customFormat="1"/>
    <row r="7629" s="563" customFormat="1"/>
    <row r="7630" s="563" customFormat="1"/>
    <row r="7631" s="563" customFormat="1"/>
    <row r="7632" s="563" customFormat="1"/>
    <row r="7633" s="563" customFormat="1"/>
    <row r="7634" s="563" customFormat="1"/>
    <row r="7635" s="563" customFormat="1"/>
    <row r="7636" s="563" customFormat="1"/>
    <row r="7637" s="563" customFormat="1"/>
    <row r="7638" s="563" customFormat="1"/>
    <row r="7639" s="563" customFormat="1"/>
    <row r="7640" s="563" customFormat="1"/>
    <row r="7641" s="563" customFormat="1"/>
    <row r="7642" s="563" customFormat="1"/>
    <row r="7643" s="563" customFormat="1"/>
    <row r="7644" s="563" customFormat="1"/>
    <row r="7645" s="563" customFormat="1"/>
    <row r="7646" s="563" customFormat="1"/>
    <row r="7647" s="563" customFormat="1"/>
    <row r="7648" s="563" customFormat="1"/>
    <row r="7649" s="563" customFormat="1"/>
    <row r="7650" s="563" customFormat="1"/>
    <row r="7651" s="563" customFormat="1"/>
    <row r="7652" s="563" customFormat="1"/>
    <row r="7653" s="563" customFormat="1"/>
    <row r="7654" s="563" customFormat="1"/>
    <row r="7655" s="563" customFormat="1"/>
    <row r="7656" s="563" customFormat="1"/>
    <row r="7657" s="563" customFormat="1"/>
    <row r="7658" s="563" customFormat="1"/>
    <row r="7659" s="563" customFormat="1"/>
    <row r="7660" s="563" customFormat="1"/>
    <row r="7661" s="563" customFormat="1"/>
    <row r="7662" s="563" customFormat="1"/>
    <row r="7663" s="563" customFormat="1"/>
    <row r="7664" s="563" customFormat="1"/>
    <row r="7665" s="563" customFormat="1"/>
    <row r="7666" s="563" customFormat="1"/>
    <row r="7667" s="563" customFormat="1"/>
    <row r="7668" s="563" customFormat="1"/>
    <row r="7669" s="563" customFormat="1"/>
    <row r="7670" s="563" customFormat="1"/>
    <row r="7671" s="563" customFormat="1"/>
    <row r="7672" s="563" customFormat="1"/>
    <row r="7673" s="563" customFormat="1"/>
    <row r="7674" s="563" customFormat="1"/>
    <row r="7675" s="563" customFormat="1"/>
    <row r="7676" s="563" customFormat="1"/>
    <row r="7677" s="563" customFormat="1"/>
    <row r="7678" s="563" customFormat="1"/>
    <row r="7679" s="563" customFormat="1"/>
    <row r="7680" s="563" customFormat="1"/>
    <row r="7681" s="563" customFormat="1"/>
    <row r="7682" s="563" customFormat="1"/>
    <row r="7683" s="563" customFormat="1"/>
    <row r="7684" s="563" customFormat="1"/>
    <row r="7685" s="563" customFormat="1"/>
    <row r="7686" s="563" customFormat="1"/>
    <row r="7687" s="563" customFormat="1"/>
    <row r="7688" s="563" customFormat="1"/>
    <row r="7689" s="563" customFormat="1"/>
    <row r="7690" s="563" customFormat="1"/>
    <row r="7691" s="563" customFormat="1"/>
    <row r="7692" s="563" customFormat="1"/>
    <row r="7693" s="563" customFormat="1"/>
    <row r="7694" s="563" customFormat="1"/>
    <row r="7695" s="563" customFormat="1"/>
    <row r="7696" s="563" customFormat="1"/>
    <row r="7697" s="563" customFormat="1"/>
    <row r="7698" s="563" customFormat="1"/>
    <row r="7699" s="563" customFormat="1"/>
    <row r="7700" s="563" customFormat="1"/>
    <row r="7701" s="563" customFormat="1"/>
    <row r="7702" s="563" customFormat="1"/>
    <row r="7703" s="563" customFormat="1"/>
    <row r="7704" s="563" customFormat="1"/>
    <row r="7705" s="563" customFormat="1"/>
    <row r="7706" s="563" customFormat="1"/>
    <row r="7707" s="563" customFormat="1"/>
    <row r="7708" s="563" customFormat="1"/>
    <row r="7709" s="563" customFormat="1"/>
    <row r="7710" s="563" customFormat="1"/>
    <row r="7711" s="563" customFormat="1"/>
    <row r="7712" s="563" customFormat="1"/>
    <row r="7713" s="563" customFormat="1"/>
    <row r="7714" s="563" customFormat="1"/>
    <row r="7715" s="563" customFormat="1"/>
    <row r="7716" s="563" customFormat="1"/>
    <row r="7717" s="563" customFormat="1"/>
    <row r="7718" s="563" customFormat="1"/>
    <row r="7719" s="563" customFormat="1"/>
    <row r="7720" s="563" customFormat="1"/>
    <row r="7721" s="563" customFormat="1"/>
    <row r="7722" s="563" customFormat="1"/>
    <row r="7723" s="563" customFormat="1"/>
    <row r="7724" s="563" customFormat="1"/>
    <row r="7725" s="563" customFormat="1"/>
    <row r="7726" s="563" customFormat="1"/>
    <row r="7727" s="563" customFormat="1"/>
    <row r="7728" s="563" customFormat="1"/>
    <row r="7729" s="563" customFormat="1"/>
    <row r="7730" s="563" customFormat="1"/>
    <row r="7731" s="563" customFormat="1"/>
    <row r="7732" s="563" customFormat="1"/>
    <row r="7733" s="563" customFormat="1"/>
    <row r="7734" s="563" customFormat="1"/>
    <row r="7735" s="563" customFormat="1"/>
    <row r="7736" s="563" customFormat="1"/>
    <row r="7737" s="563" customFormat="1"/>
    <row r="7738" s="563" customFormat="1"/>
    <row r="7739" s="563" customFormat="1"/>
    <row r="7740" s="563" customFormat="1"/>
    <row r="7741" s="563" customFormat="1"/>
    <row r="7742" s="563" customFormat="1"/>
    <row r="7743" s="563" customFormat="1"/>
    <row r="7744" s="563" customFormat="1"/>
    <row r="7745" s="563" customFormat="1"/>
    <row r="7746" s="563" customFormat="1"/>
    <row r="7747" s="563" customFormat="1"/>
    <row r="7748" s="563" customFormat="1"/>
    <row r="7749" s="563" customFormat="1"/>
    <row r="7750" s="563" customFormat="1"/>
    <row r="7751" s="563" customFormat="1"/>
    <row r="7752" s="563" customFormat="1"/>
    <row r="7753" s="563" customFormat="1"/>
    <row r="7754" s="563" customFormat="1"/>
    <row r="7755" s="563" customFormat="1"/>
    <row r="7756" s="563" customFormat="1"/>
    <row r="7757" s="563" customFormat="1"/>
    <row r="7758" s="563" customFormat="1"/>
    <row r="7759" s="563" customFormat="1"/>
    <row r="7760" s="563" customFormat="1"/>
    <row r="7761" s="563" customFormat="1"/>
    <row r="7762" s="563" customFormat="1"/>
    <row r="7763" s="563" customFormat="1"/>
    <row r="7764" s="563" customFormat="1"/>
    <row r="7765" s="563" customFormat="1"/>
    <row r="7766" s="563" customFormat="1"/>
    <row r="7767" s="563" customFormat="1"/>
    <row r="7768" s="563" customFormat="1"/>
    <row r="7769" s="563" customFormat="1"/>
    <row r="7770" s="563" customFormat="1"/>
    <row r="7771" s="563" customFormat="1"/>
    <row r="7772" s="563" customFormat="1"/>
    <row r="7773" s="563" customFormat="1"/>
    <row r="7774" s="563" customFormat="1"/>
    <row r="7775" s="563" customFormat="1"/>
    <row r="7776" s="563" customFormat="1"/>
    <row r="7777" s="563" customFormat="1"/>
    <row r="7778" s="563" customFormat="1"/>
    <row r="7779" s="563" customFormat="1"/>
    <row r="7780" s="563" customFormat="1"/>
    <row r="7781" s="563" customFormat="1"/>
    <row r="7782" s="563" customFormat="1"/>
    <row r="7783" s="563" customFormat="1"/>
    <row r="7784" s="563" customFormat="1"/>
    <row r="7785" s="563" customFormat="1"/>
    <row r="7786" s="563" customFormat="1"/>
    <row r="7787" s="563" customFormat="1"/>
    <row r="7788" s="563" customFormat="1"/>
    <row r="7789" s="563" customFormat="1"/>
    <row r="7790" s="563" customFormat="1"/>
    <row r="7791" s="563" customFormat="1"/>
    <row r="7792" s="563" customFormat="1"/>
    <row r="7793" s="563" customFormat="1"/>
    <row r="7794" s="563" customFormat="1"/>
    <row r="7795" s="563" customFormat="1"/>
    <row r="7796" s="563" customFormat="1"/>
    <row r="7797" s="563" customFormat="1"/>
    <row r="7798" s="563" customFormat="1"/>
    <row r="7799" s="563" customFormat="1"/>
    <row r="7800" s="563" customFormat="1"/>
    <row r="7801" s="563" customFormat="1"/>
    <row r="7802" s="563" customFormat="1"/>
    <row r="7803" s="563" customFormat="1"/>
    <row r="7804" s="563" customFormat="1"/>
    <row r="7805" s="563" customFormat="1"/>
    <row r="7806" s="563" customFormat="1"/>
    <row r="7807" s="563" customFormat="1"/>
    <row r="7808" s="563" customFormat="1"/>
    <row r="7809" s="563" customFormat="1"/>
    <row r="7810" s="563" customFormat="1"/>
    <row r="7811" s="563" customFormat="1"/>
    <row r="7812" s="563" customFormat="1"/>
    <row r="7813" s="563" customFormat="1"/>
    <row r="7814" s="563" customFormat="1"/>
    <row r="7815" s="563" customFormat="1"/>
    <row r="7816" s="563" customFormat="1"/>
    <row r="7817" s="563" customFormat="1"/>
    <row r="7818" s="563" customFormat="1"/>
    <row r="7819" s="563" customFormat="1"/>
    <row r="7820" s="563" customFormat="1"/>
    <row r="7821" s="563" customFormat="1"/>
    <row r="7822" s="563" customFormat="1"/>
    <row r="7823" s="563" customFormat="1"/>
    <row r="7824" s="563" customFormat="1"/>
    <row r="7825" s="563" customFormat="1"/>
    <row r="7826" s="563" customFormat="1"/>
    <row r="7827" s="563" customFormat="1"/>
    <row r="7828" s="563" customFormat="1"/>
    <row r="7829" s="563" customFormat="1"/>
    <row r="7830" s="563" customFormat="1"/>
    <row r="7831" s="563" customFormat="1"/>
    <row r="7832" s="563" customFormat="1"/>
    <row r="7833" s="563" customFormat="1"/>
    <row r="7834" s="563" customFormat="1"/>
    <row r="7835" s="563" customFormat="1"/>
    <row r="7836" s="563" customFormat="1"/>
    <row r="7837" s="563" customFormat="1"/>
    <row r="7838" s="563" customFormat="1"/>
    <row r="7839" s="563" customFormat="1"/>
    <row r="7840" s="563" customFormat="1"/>
    <row r="7841" s="563" customFormat="1"/>
    <row r="7842" s="563" customFormat="1"/>
    <row r="7843" s="563" customFormat="1"/>
    <row r="7844" s="563" customFormat="1"/>
    <row r="7845" s="563" customFormat="1"/>
    <row r="7846" s="563" customFormat="1"/>
    <row r="7847" s="563" customFormat="1"/>
    <row r="7848" s="563" customFormat="1"/>
    <row r="7849" s="563" customFormat="1"/>
    <row r="7850" s="563" customFormat="1"/>
    <row r="7851" s="563" customFormat="1"/>
    <row r="7852" s="563" customFormat="1"/>
    <row r="7853" s="563" customFormat="1"/>
    <row r="7854" s="563" customFormat="1"/>
    <row r="7855" s="563" customFormat="1"/>
    <row r="7856" s="563" customFormat="1"/>
    <row r="7857" s="563" customFormat="1"/>
    <row r="7858" s="563" customFormat="1"/>
    <row r="7859" s="563" customFormat="1"/>
    <row r="7860" s="563" customFormat="1"/>
    <row r="7861" s="563" customFormat="1"/>
    <row r="7862" s="563" customFormat="1"/>
    <row r="7863" s="563" customFormat="1"/>
    <row r="7864" s="563" customFormat="1"/>
    <row r="7865" s="563" customFormat="1"/>
    <row r="7866" s="563" customFormat="1"/>
    <row r="7867" s="563" customFormat="1"/>
    <row r="7868" s="563" customFormat="1"/>
    <row r="7869" s="563" customFormat="1"/>
    <row r="7870" s="563" customFormat="1"/>
    <row r="7871" s="563" customFormat="1"/>
    <row r="7872" s="563" customFormat="1"/>
    <row r="7873" s="563" customFormat="1"/>
    <row r="7874" s="563" customFormat="1"/>
    <row r="7875" s="563" customFormat="1"/>
    <row r="7876" s="563" customFormat="1"/>
    <row r="7877" s="563" customFormat="1"/>
    <row r="7878" s="563" customFormat="1"/>
    <row r="7879" s="563" customFormat="1"/>
    <row r="7880" s="563" customFormat="1"/>
    <row r="7881" s="563" customFormat="1"/>
    <row r="7882" s="563" customFormat="1"/>
    <row r="7883" s="563" customFormat="1"/>
    <row r="7884" s="563" customFormat="1"/>
    <row r="7885" s="563" customFormat="1"/>
    <row r="7886" s="563" customFormat="1"/>
    <row r="7887" s="563" customFormat="1"/>
    <row r="7888" s="563" customFormat="1"/>
    <row r="7889" s="563" customFormat="1"/>
    <row r="7890" s="563" customFormat="1"/>
    <row r="7891" s="563" customFormat="1"/>
    <row r="7892" s="563" customFormat="1"/>
    <row r="7893" s="563" customFormat="1"/>
    <row r="7894" s="563" customFormat="1"/>
    <row r="7895" s="563" customFormat="1"/>
    <row r="7896" s="563" customFormat="1"/>
    <row r="7897" s="563" customFormat="1"/>
    <row r="7898" s="563" customFormat="1"/>
    <row r="7899" s="563" customFormat="1"/>
    <row r="7900" s="563" customFormat="1"/>
    <row r="7901" s="563" customFormat="1"/>
    <row r="7902" s="563" customFormat="1"/>
    <row r="7903" s="563" customFormat="1"/>
    <row r="7904" s="563" customFormat="1"/>
    <row r="7905" s="563" customFormat="1"/>
    <row r="7906" s="563" customFormat="1"/>
    <row r="7907" s="563" customFormat="1"/>
    <row r="7908" s="563" customFormat="1"/>
    <row r="7909" s="563" customFormat="1"/>
    <row r="7910" s="563" customFormat="1"/>
    <row r="7911" s="563" customFormat="1"/>
    <row r="7912" s="563" customFormat="1"/>
    <row r="7913" s="563" customFormat="1"/>
    <row r="7914" s="563" customFormat="1"/>
    <row r="7915" s="563" customFormat="1"/>
    <row r="7916" s="563" customFormat="1"/>
    <row r="7917" s="563" customFormat="1"/>
    <row r="7918" s="563" customFormat="1"/>
    <row r="7919" s="563" customFormat="1"/>
    <row r="7920" s="563" customFormat="1"/>
    <row r="7921" s="563" customFormat="1"/>
    <row r="7922" s="563" customFormat="1"/>
    <row r="7923" s="563" customFormat="1"/>
    <row r="7924" s="563" customFormat="1"/>
    <row r="7925" s="563" customFormat="1"/>
    <row r="7926" s="563" customFormat="1"/>
    <row r="7927" s="563" customFormat="1"/>
    <row r="7928" s="563" customFormat="1"/>
    <row r="7929" s="563" customFormat="1"/>
    <row r="7930" s="563" customFormat="1"/>
    <row r="7931" s="563" customFormat="1"/>
    <row r="7932" s="563" customFormat="1"/>
    <row r="7933" s="563" customFormat="1"/>
    <row r="7934" s="563" customFormat="1"/>
    <row r="7935" s="563" customFormat="1"/>
    <row r="7936" s="563" customFormat="1"/>
    <row r="7937" s="563" customFormat="1"/>
    <row r="7938" s="563" customFormat="1"/>
    <row r="7939" s="563" customFormat="1"/>
    <row r="7940" s="563" customFormat="1"/>
    <row r="7941" s="563" customFormat="1"/>
    <row r="7942" s="563" customFormat="1"/>
    <row r="7943" s="563" customFormat="1"/>
    <row r="7944" s="563" customFormat="1"/>
    <row r="7945" s="563" customFormat="1"/>
    <row r="7946" s="563" customFormat="1"/>
    <row r="7947" s="563" customFormat="1"/>
    <row r="7948" s="563" customFormat="1"/>
    <row r="7949" s="563" customFormat="1"/>
    <row r="7950" s="563" customFormat="1"/>
    <row r="7951" s="563" customFormat="1"/>
    <row r="7952" s="563" customFormat="1"/>
    <row r="7953" s="563" customFormat="1"/>
    <row r="7954" s="563" customFormat="1"/>
    <row r="7955" s="563" customFormat="1"/>
    <row r="7956" s="563" customFormat="1"/>
    <row r="7957" s="563" customFormat="1"/>
    <row r="7958" s="563" customFormat="1"/>
    <row r="7959" s="563" customFormat="1"/>
    <row r="7960" s="563" customFormat="1"/>
    <row r="7961" s="563" customFormat="1"/>
    <row r="7962" s="563" customFormat="1"/>
    <row r="7963" s="563" customFormat="1"/>
    <row r="7964" s="563" customFormat="1"/>
    <row r="7965" s="563" customFormat="1"/>
    <row r="7966" s="563" customFormat="1"/>
    <row r="7967" s="563" customFormat="1"/>
    <row r="7968" s="563" customFormat="1"/>
    <row r="7969" s="563" customFormat="1"/>
    <row r="7970" s="563" customFormat="1"/>
    <row r="7971" s="563" customFormat="1"/>
    <row r="7972" s="563" customFormat="1"/>
    <row r="7973" s="563" customFormat="1"/>
    <row r="7974" s="563" customFormat="1"/>
    <row r="7975" s="563" customFormat="1"/>
    <row r="7976" s="563" customFormat="1"/>
    <row r="7977" s="563" customFormat="1"/>
    <row r="7978" s="563" customFormat="1"/>
    <row r="7979" s="563" customFormat="1"/>
    <row r="7980" s="563" customFormat="1"/>
    <row r="7981" s="563" customFormat="1"/>
    <row r="7982" s="563" customFormat="1"/>
    <row r="7983" s="563" customFormat="1"/>
    <row r="7984" s="563" customFormat="1"/>
    <row r="7985" s="563" customFormat="1"/>
    <row r="7986" s="563" customFormat="1"/>
    <row r="7987" s="563" customFormat="1"/>
    <row r="7988" s="563" customFormat="1"/>
    <row r="7989" s="563" customFormat="1"/>
    <row r="7990" s="563" customFormat="1"/>
    <row r="7991" s="563" customFormat="1"/>
    <row r="7992" s="563" customFormat="1"/>
    <row r="7993" s="563" customFormat="1"/>
    <row r="7994" s="563" customFormat="1"/>
    <row r="7995" s="563" customFormat="1"/>
    <row r="7996" s="563" customFormat="1"/>
    <row r="7997" s="563" customFormat="1"/>
    <row r="7998" s="563" customFormat="1"/>
    <row r="7999" s="563" customFormat="1"/>
    <row r="8000" s="563" customFormat="1"/>
    <row r="8001" s="563" customFormat="1"/>
    <row r="8002" s="563" customFormat="1"/>
    <row r="8003" s="563" customFormat="1"/>
    <row r="8004" s="563" customFormat="1"/>
    <row r="8005" s="563" customFormat="1"/>
    <row r="8006" s="563" customFormat="1"/>
    <row r="8007" s="563" customFormat="1"/>
    <row r="8008" s="563" customFormat="1"/>
    <row r="8009" s="563" customFormat="1"/>
    <row r="8010" s="563" customFormat="1"/>
    <row r="8011" s="563" customFormat="1"/>
    <row r="8012" s="563" customFormat="1"/>
    <row r="8013" s="563" customFormat="1"/>
    <row r="8014" s="563" customFormat="1"/>
    <row r="8015" s="563" customFormat="1"/>
    <row r="8016" s="563" customFormat="1"/>
    <row r="8017" s="563" customFormat="1"/>
    <row r="8018" s="563" customFormat="1"/>
    <row r="8019" s="563" customFormat="1"/>
    <row r="8020" s="563" customFormat="1"/>
    <row r="8021" s="563" customFormat="1"/>
    <row r="8022" s="563" customFormat="1"/>
    <row r="8023" s="563" customFormat="1"/>
    <row r="8024" s="563" customFormat="1"/>
    <row r="8025" s="563" customFormat="1"/>
    <row r="8026" s="563" customFormat="1"/>
    <row r="8027" s="563" customFormat="1"/>
    <row r="8028" s="563" customFormat="1"/>
    <row r="8029" s="563" customFormat="1"/>
    <row r="8030" s="563" customFormat="1"/>
    <row r="8031" s="563" customFormat="1"/>
    <row r="8032" s="563" customFormat="1"/>
    <row r="8033" s="563" customFormat="1"/>
    <row r="8034" s="563" customFormat="1"/>
    <row r="8035" s="563" customFormat="1"/>
    <row r="8036" s="563" customFormat="1"/>
    <row r="8037" s="563" customFormat="1"/>
    <row r="8038" s="563" customFormat="1"/>
    <row r="8039" s="563" customFormat="1"/>
    <row r="8040" s="563" customFormat="1"/>
    <row r="8041" s="563" customFormat="1"/>
    <row r="8042" s="563" customFormat="1"/>
    <row r="8043" s="563" customFormat="1"/>
    <row r="8044" s="563" customFormat="1"/>
    <row r="8045" s="563" customFormat="1"/>
    <row r="8046" s="563" customFormat="1"/>
    <row r="8047" s="563" customFormat="1"/>
    <row r="8048" s="563" customFormat="1"/>
    <row r="8049" s="563" customFormat="1"/>
    <row r="8050" s="563" customFormat="1"/>
    <row r="8051" s="563" customFormat="1"/>
    <row r="8052" s="563" customFormat="1"/>
    <row r="8053" s="563" customFormat="1"/>
    <row r="8054" s="563" customFormat="1"/>
    <row r="8055" s="563" customFormat="1"/>
    <row r="8056" s="563" customFormat="1"/>
    <row r="8057" s="563" customFormat="1"/>
    <row r="8058" s="563" customFormat="1"/>
    <row r="8059" s="563" customFormat="1"/>
    <row r="8060" s="563" customFormat="1"/>
    <row r="8061" s="563" customFormat="1"/>
    <row r="8062" s="563" customFormat="1"/>
    <row r="8063" s="563" customFormat="1"/>
    <row r="8064" s="563" customFormat="1"/>
    <row r="8065" s="563" customFormat="1"/>
    <row r="8066" s="563" customFormat="1"/>
    <row r="8067" s="563" customFormat="1"/>
    <row r="8068" s="563" customFormat="1"/>
    <row r="8069" s="563" customFormat="1"/>
    <row r="8070" s="563" customFormat="1"/>
    <row r="8071" s="563" customFormat="1"/>
    <row r="8072" s="563" customFormat="1"/>
    <row r="8073" s="563" customFormat="1"/>
    <row r="8074" s="563" customFormat="1"/>
    <row r="8075" s="563" customFormat="1"/>
    <row r="8076" s="563" customFormat="1"/>
    <row r="8077" s="563" customFormat="1"/>
    <row r="8078" s="563" customFormat="1"/>
    <row r="8079" s="563" customFormat="1"/>
    <row r="8080" s="563" customFormat="1"/>
    <row r="8081" s="563" customFormat="1"/>
    <row r="8082" s="563" customFormat="1"/>
    <row r="8083" s="563" customFormat="1"/>
    <row r="8084" s="563" customFormat="1"/>
    <row r="8085" s="563" customFormat="1"/>
    <row r="8086" s="563" customFormat="1"/>
    <row r="8087" s="563" customFormat="1"/>
    <row r="8088" s="563" customFormat="1"/>
    <row r="8089" s="563" customFormat="1"/>
    <row r="8090" s="563" customFormat="1"/>
    <row r="8091" s="563" customFormat="1"/>
    <row r="8092" s="563" customFormat="1"/>
    <row r="8093" s="563" customFormat="1"/>
    <row r="8094" s="563" customFormat="1"/>
    <row r="8095" s="563" customFormat="1"/>
    <row r="8096" s="563" customFormat="1"/>
    <row r="8097" s="563" customFormat="1"/>
    <row r="8098" s="563" customFormat="1"/>
    <row r="8099" s="563" customFormat="1"/>
    <row r="8100" s="563" customFormat="1"/>
    <row r="8101" s="563" customFormat="1"/>
    <row r="8102" s="563" customFormat="1"/>
    <row r="8103" s="563" customFormat="1"/>
    <row r="8104" s="563" customFormat="1"/>
    <row r="8105" s="563" customFormat="1"/>
    <row r="8106" s="563" customFormat="1"/>
    <row r="8107" s="563" customFormat="1"/>
    <row r="8108" s="563" customFormat="1"/>
    <row r="8109" s="563" customFormat="1"/>
    <row r="8110" s="563" customFormat="1"/>
    <row r="8111" s="563" customFormat="1"/>
    <row r="8112" s="563" customFormat="1"/>
    <row r="8113" s="563" customFormat="1"/>
    <row r="8114" s="563" customFormat="1"/>
    <row r="8115" s="563" customFormat="1"/>
    <row r="8116" s="563" customFormat="1"/>
    <row r="8117" s="563" customFormat="1"/>
    <row r="8118" s="563" customFormat="1"/>
    <row r="8119" s="563" customFormat="1"/>
    <row r="8120" s="563" customFormat="1"/>
    <row r="8121" s="563" customFormat="1"/>
    <row r="8122" s="563" customFormat="1"/>
    <row r="8123" s="563" customFormat="1"/>
    <row r="8124" s="563" customFormat="1"/>
    <row r="8125" s="563" customFormat="1"/>
    <row r="8126" s="563" customFormat="1"/>
    <row r="8127" s="563" customFormat="1"/>
    <row r="8128" s="563" customFormat="1"/>
    <row r="8129" s="563" customFormat="1"/>
    <row r="8130" s="563" customFormat="1"/>
    <row r="8131" s="563" customFormat="1"/>
    <row r="8132" s="563" customFormat="1"/>
    <row r="8133" s="563" customFormat="1"/>
    <row r="8134" s="563" customFormat="1"/>
    <row r="8135" s="563" customFormat="1"/>
    <row r="8136" s="563" customFormat="1"/>
    <row r="8137" s="563" customFormat="1"/>
    <row r="8138" s="563" customFormat="1"/>
    <row r="8139" s="563" customFormat="1"/>
    <row r="8140" s="563" customFormat="1"/>
    <row r="8141" s="563" customFormat="1"/>
    <row r="8142" s="563" customFormat="1"/>
    <row r="8143" s="563" customFormat="1"/>
    <row r="8144" s="563" customFormat="1"/>
    <row r="8145" s="563" customFormat="1"/>
    <row r="8146" s="563" customFormat="1"/>
    <row r="8147" s="563" customFormat="1"/>
    <row r="8148" s="563" customFormat="1"/>
    <row r="8149" s="563" customFormat="1"/>
    <row r="8150" s="563" customFormat="1"/>
    <row r="8151" s="563" customFormat="1"/>
    <row r="8152" s="563" customFormat="1"/>
    <row r="8153" s="563" customFormat="1"/>
    <row r="8154" s="563" customFormat="1"/>
    <row r="8155" s="563" customFormat="1"/>
    <row r="8156" s="563" customFormat="1"/>
    <row r="8157" s="563" customFormat="1"/>
    <row r="8158" s="563" customFormat="1"/>
    <row r="8159" s="563" customFormat="1"/>
    <row r="8160" s="563" customFormat="1"/>
    <row r="8161" s="563" customFormat="1"/>
    <row r="8162" s="563" customFormat="1"/>
    <row r="8163" s="563" customFormat="1"/>
    <row r="8164" s="563" customFormat="1"/>
    <row r="8165" s="563" customFormat="1"/>
    <row r="8166" s="563" customFormat="1"/>
    <row r="8167" s="563" customFormat="1"/>
    <row r="8168" s="563" customFormat="1"/>
    <row r="8169" s="563" customFormat="1"/>
    <row r="8170" s="563" customFormat="1"/>
    <row r="8171" s="563" customFormat="1"/>
    <row r="8172" s="563" customFormat="1"/>
    <row r="8173" s="563" customFormat="1"/>
    <row r="8174" s="563" customFormat="1"/>
    <row r="8175" s="563" customFormat="1"/>
    <row r="8176" s="563" customFormat="1"/>
    <row r="8177" s="563" customFormat="1"/>
    <row r="8178" s="563" customFormat="1"/>
    <row r="8179" s="563" customFormat="1"/>
    <row r="8180" s="563" customFormat="1"/>
    <row r="8181" s="563" customFormat="1"/>
    <row r="8182" s="563" customFormat="1"/>
    <row r="8183" s="563" customFormat="1"/>
    <row r="8184" s="563" customFormat="1"/>
    <row r="8185" s="563" customFormat="1"/>
    <row r="8186" s="563" customFormat="1"/>
    <row r="8187" s="563" customFormat="1"/>
    <row r="8188" s="563" customFormat="1"/>
    <row r="8189" s="563" customFormat="1"/>
    <row r="8190" s="563" customFormat="1"/>
    <row r="8191" s="563" customFormat="1"/>
    <row r="8192" s="563" customFormat="1"/>
    <row r="8193" s="563" customFormat="1"/>
    <row r="8194" s="563" customFormat="1"/>
    <row r="8195" s="563" customFormat="1"/>
    <row r="8196" s="563" customFormat="1"/>
    <row r="8197" s="563" customFormat="1"/>
    <row r="8198" s="563" customFormat="1"/>
    <row r="8199" s="563" customFormat="1"/>
    <row r="8200" s="563" customFormat="1"/>
    <row r="8201" s="563" customFormat="1"/>
    <row r="8202" s="563" customFormat="1"/>
    <row r="8203" s="563" customFormat="1"/>
    <row r="8204" s="563" customFormat="1"/>
    <row r="8205" s="563" customFormat="1"/>
    <row r="8206" s="563" customFormat="1"/>
    <row r="8207" s="563" customFormat="1"/>
    <row r="8208" s="563" customFormat="1"/>
    <row r="8209" s="563" customFormat="1"/>
    <row r="8210" s="563" customFormat="1"/>
    <row r="8211" s="563" customFormat="1"/>
    <row r="8212" s="563" customFormat="1"/>
    <row r="8213" s="563" customFormat="1"/>
    <row r="8214" s="563" customFormat="1"/>
    <row r="8215" s="563" customFormat="1"/>
    <row r="8216" s="563" customFormat="1"/>
    <row r="8217" s="563" customFormat="1"/>
    <row r="8218" s="563" customFormat="1"/>
    <row r="8219" s="563" customFormat="1"/>
    <row r="8220" s="563" customFormat="1"/>
    <row r="8221" s="563" customFormat="1"/>
    <row r="8222" s="563" customFormat="1"/>
    <row r="8223" s="563" customFormat="1"/>
    <row r="8224" s="563" customFormat="1"/>
    <row r="8225" s="563" customFormat="1"/>
    <row r="8226" s="563" customFormat="1"/>
    <row r="8227" s="563" customFormat="1"/>
    <row r="8228" s="563" customFormat="1"/>
    <row r="8229" s="563" customFormat="1"/>
    <row r="8230" s="563" customFormat="1"/>
    <row r="8231" s="563" customFormat="1"/>
    <row r="8232" s="563" customFormat="1"/>
    <row r="8233" s="563" customFormat="1"/>
    <row r="8234" s="563" customFormat="1"/>
    <row r="8235" s="563" customFormat="1"/>
    <row r="8236" s="563" customFormat="1"/>
    <row r="8237" s="563" customFormat="1"/>
    <row r="8238" s="563" customFormat="1"/>
    <row r="8239" s="563" customFormat="1"/>
    <row r="8240" s="563" customFormat="1"/>
    <row r="8241" s="563" customFormat="1"/>
    <row r="8242" s="563" customFormat="1"/>
    <row r="8243" s="563" customFormat="1"/>
    <row r="8244" s="563" customFormat="1"/>
    <row r="8245" s="563" customFormat="1"/>
    <row r="8246" s="563" customFormat="1"/>
    <row r="8247" s="563" customFormat="1"/>
    <row r="8248" s="563" customFormat="1"/>
    <row r="8249" s="563" customFormat="1"/>
    <row r="8250" s="563" customFormat="1"/>
    <row r="8251" s="563" customFormat="1"/>
    <row r="8252" s="563" customFormat="1"/>
    <row r="8253" s="563" customFormat="1"/>
    <row r="8254" s="563" customFormat="1"/>
    <row r="8255" s="563" customFormat="1"/>
    <row r="8256" s="563" customFormat="1"/>
    <row r="8257" s="563" customFormat="1"/>
    <row r="8258" s="563" customFormat="1"/>
    <row r="8259" s="563" customFormat="1"/>
    <row r="8260" s="563" customFormat="1"/>
    <row r="8261" s="563" customFormat="1"/>
    <row r="8262" s="563" customFormat="1"/>
    <row r="8263" s="563" customFormat="1"/>
    <row r="8264" s="563" customFormat="1"/>
    <row r="8265" s="563" customFormat="1"/>
    <row r="8266" s="563" customFormat="1"/>
    <row r="8267" s="563" customFormat="1"/>
    <row r="8268" s="563" customFormat="1"/>
    <row r="8269" s="563" customFormat="1"/>
    <row r="8270" s="563" customFormat="1"/>
    <row r="8271" s="563" customFormat="1"/>
    <row r="8272" s="563" customFormat="1"/>
    <row r="8273" s="563" customFormat="1"/>
    <row r="8274" s="563" customFormat="1"/>
    <row r="8275" s="563" customFormat="1"/>
    <row r="8276" s="563" customFormat="1"/>
    <row r="8277" s="563" customFormat="1"/>
    <row r="8278" s="563" customFormat="1"/>
    <row r="8279" s="563" customFormat="1"/>
    <row r="8280" s="563" customFormat="1"/>
    <row r="8281" s="563" customFormat="1"/>
    <row r="8282" s="563" customFormat="1"/>
    <row r="8283" s="563" customFormat="1"/>
    <row r="8284" s="563" customFormat="1"/>
    <row r="8285" s="563" customFormat="1"/>
    <row r="8286" s="563" customFormat="1"/>
    <row r="8287" s="563" customFormat="1"/>
    <row r="8288" s="563" customFormat="1"/>
    <row r="8289" s="563" customFormat="1"/>
    <row r="8290" s="563" customFormat="1"/>
    <row r="8291" s="563" customFormat="1"/>
    <row r="8292" s="563" customFormat="1"/>
    <row r="8293" s="563" customFormat="1"/>
    <row r="8294" s="563" customFormat="1"/>
    <row r="8295" s="563" customFormat="1"/>
    <row r="8296" s="563" customFormat="1"/>
    <row r="8297" s="563" customFormat="1"/>
    <row r="8298" s="563" customFormat="1"/>
    <row r="8299" s="563" customFormat="1"/>
    <row r="8300" s="563" customFormat="1"/>
    <row r="8301" s="563" customFormat="1"/>
    <row r="8302" s="563" customFormat="1"/>
    <row r="8303" s="563" customFormat="1"/>
    <row r="8304" s="563" customFormat="1"/>
    <row r="8305" s="563" customFormat="1"/>
    <row r="8306" s="563" customFormat="1"/>
    <row r="8307" s="563" customFormat="1"/>
    <row r="8308" s="563" customFormat="1"/>
    <row r="8309" s="563" customFormat="1"/>
    <row r="8310" s="563" customFormat="1"/>
    <row r="8311" s="563" customFormat="1"/>
    <row r="8312" s="563" customFormat="1"/>
    <row r="8313" s="563" customFormat="1"/>
    <row r="8314" s="563" customFormat="1"/>
    <row r="8315" s="563" customFormat="1"/>
    <row r="8316" s="563" customFormat="1"/>
    <row r="8317" s="563" customFormat="1"/>
    <row r="8318" s="563" customFormat="1"/>
    <row r="8319" s="563" customFormat="1"/>
    <row r="8320" s="563" customFormat="1"/>
    <row r="8321" s="563" customFormat="1"/>
    <row r="8322" s="563" customFormat="1"/>
    <row r="8323" s="563" customFormat="1"/>
    <row r="8324" s="563" customFormat="1"/>
    <row r="8325" s="563" customFormat="1"/>
    <row r="8326" s="563" customFormat="1"/>
    <row r="8327" s="563" customFormat="1"/>
    <row r="8328" s="563" customFormat="1"/>
    <row r="8329" s="563" customFormat="1"/>
    <row r="8330" s="563" customFormat="1"/>
    <row r="8331" s="563" customFormat="1"/>
    <row r="8332" s="563" customFormat="1"/>
    <row r="8333" s="563" customFormat="1"/>
    <row r="8334" s="563" customFormat="1"/>
    <row r="8335" s="563" customFormat="1"/>
    <row r="8336" s="563" customFormat="1"/>
    <row r="8337" s="563" customFormat="1"/>
    <row r="8338" s="563" customFormat="1"/>
    <row r="8339" s="563" customFormat="1"/>
    <row r="8340" s="563" customFormat="1"/>
    <row r="8341" s="563" customFormat="1"/>
    <row r="8342" s="563" customFormat="1"/>
    <row r="8343" s="563" customFormat="1"/>
    <row r="8344" s="563" customFormat="1"/>
    <row r="8345" s="563" customFormat="1"/>
    <row r="8346" s="563" customFormat="1"/>
    <row r="8347" s="563" customFormat="1"/>
    <row r="8348" s="563" customFormat="1"/>
    <row r="8349" s="563" customFormat="1"/>
    <row r="8350" s="563" customFormat="1"/>
    <row r="8351" s="563" customFormat="1"/>
    <row r="8352" s="563" customFormat="1"/>
    <row r="8353" s="563" customFormat="1"/>
    <row r="8354" s="563" customFormat="1"/>
    <row r="8355" s="563" customFormat="1"/>
    <row r="8356" s="563" customFormat="1"/>
    <row r="8357" s="563" customFormat="1"/>
    <row r="8358" s="563" customFormat="1"/>
    <row r="8359" s="563" customFormat="1"/>
    <row r="8360" s="563" customFormat="1"/>
    <row r="8361" s="563" customFormat="1"/>
    <row r="8362" s="563" customFormat="1"/>
    <row r="8363" s="563" customFormat="1"/>
    <row r="8364" s="563" customFormat="1"/>
    <row r="8365" s="563" customFormat="1"/>
    <row r="8366" s="563" customFormat="1"/>
    <row r="8367" s="563" customFormat="1"/>
    <row r="8368" s="563" customFormat="1"/>
    <row r="8369" s="563" customFormat="1"/>
    <row r="8370" s="563" customFormat="1"/>
    <row r="8371" s="563" customFormat="1"/>
    <row r="8372" s="563" customFormat="1"/>
    <row r="8373" s="563" customFormat="1"/>
    <row r="8374" s="563" customFormat="1"/>
    <row r="8375" s="563" customFormat="1"/>
    <row r="8376" s="563" customFormat="1"/>
    <row r="8377" s="563" customFormat="1"/>
    <row r="8378" s="563" customFormat="1"/>
    <row r="8379" s="563" customFormat="1"/>
    <row r="8380" s="563" customFormat="1"/>
    <row r="8381" s="563" customFormat="1"/>
    <row r="8382" s="563" customFormat="1"/>
    <row r="8383" s="563" customFormat="1"/>
    <row r="8384" s="563" customFormat="1"/>
    <row r="8385" s="563" customFormat="1"/>
    <row r="8386" s="563" customFormat="1"/>
    <row r="8387" s="563" customFormat="1"/>
    <row r="8388" s="563" customFormat="1"/>
    <row r="8389" s="563" customFormat="1"/>
    <row r="8390" s="563" customFormat="1"/>
    <row r="8391" s="563" customFormat="1"/>
    <row r="8392" s="563" customFormat="1"/>
    <row r="8393" s="563" customFormat="1"/>
    <row r="8394" s="563" customFormat="1"/>
    <row r="8395" s="563" customFormat="1"/>
    <row r="8396" s="563" customFormat="1"/>
    <row r="8397" s="563" customFormat="1"/>
    <row r="8398" s="563" customFormat="1"/>
    <row r="8399" s="563" customFormat="1"/>
    <row r="8400" s="563" customFormat="1"/>
    <row r="8401" s="563" customFormat="1"/>
    <row r="8402" s="563" customFormat="1"/>
    <row r="8403" s="563" customFormat="1"/>
    <row r="8404" s="563" customFormat="1"/>
    <row r="8405" s="563" customFormat="1"/>
    <row r="8406" s="563" customFormat="1"/>
    <row r="8407" s="563" customFormat="1"/>
    <row r="8408" s="563" customFormat="1"/>
    <row r="8409" s="563" customFormat="1"/>
    <row r="8410" s="563" customFormat="1"/>
    <row r="8411" s="563" customFormat="1"/>
    <row r="8412" s="563" customFormat="1"/>
    <row r="8413" s="563" customFormat="1"/>
    <row r="8414" s="563" customFormat="1"/>
    <row r="8415" s="563" customFormat="1"/>
    <row r="8416" s="563" customFormat="1"/>
    <row r="8417" s="563" customFormat="1"/>
    <row r="8418" s="563" customFormat="1"/>
    <row r="8419" s="563" customFormat="1"/>
    <row r="8420" s="563" customFormat="1"/>
    <row r="8421" s="563" customFormat="1"/>
    <row r="8422" s="563" customFormat="1"/>
    <row r="8423" s="563" customFormat="1"/>
    <row r="8424" s="563" customFormat="1"/>
    <row r="8425" s="563" customFormat="1"/>
    <row r="8426" s="563" customFormat="1"/>
    <row r="8427" s="563" customFormat="1"/>
    <row r="8428" s="563" customFormat="1"/>
    <row r="8429" s="563" customFormat="1"/>
    <row r="8430" s="563" customFormat="1"/>
    <row r="8431" s="563" customFormat="1"/>
    <row r="8432" s="563" customFormat="1"/>
    <row r="8433" s="563" customFormat="1"/>
    <row r="8434" s="563" customFormat="1"/>
    <row r="8435" s="563" customFormat="1"/>
    <row r="8436" s="563" customFormat="1"/>
    <row r="8437" s="563" customFormat="1"/>
    <row r="8438" s="563" customFormat="1"/>
    <row r="8439" s="563" customFormat="1"/>
    <row r="8440" s="563" customFormat="1"/>
    <row r="8441" s="563" customFormat="1"/>
    <row r="8442" s="563" customFormat="1"/>
    <row r="8443" s="563" customFormat="1"/>
    <row r="8444" s="563" customFormat="1"/>
    <row r="8445" s="563" customFormat="1"/>
    <row r="8446" s="563" customFormat="1"/>
    <row r="8447" s="563" customFormat="1"/>
    <row r="8448" s="563" customFormat="1"/>
    <row r="8449" s="563" customFormat="1"/>
    <row r="8450" s="563" customFormat="1"/>
    <row r="8451" s="563" customFormat="1"/>
    <row r="8452" s="563" customFormat="1"/>
    <row r="8453" s="563" customFormat="1"/>
    <row r="8454" s="563" customFormat="1"/>
    <row r="8455" s="563" customFormat="1"/>
    <row r="8456" s="563" customFormat="1"/>
    <row r="8457" s="563" customFormat="1"/>
    <row r="8458" s="563" customFormat="1"/>
    <row r="8459" s="563" customFormat="1"/>
    <row r="8460" s="563" customFormat="1"/>
    <row r="8461" s="563" customFormat="1"/>
    <row r="8462" s="563" customFormat="1"/>
    <row r="8463" s="563" customFormat="1"/>
    <row r="8464" s="563" customFormat="1"/>
    <row r="8465" s="563" customFormat="1"/>
    <row r="8466" s="563" customFormat="1"/>
    <row r="8467" s="563" customFormat="1"/>
    <row r="8468" s="563" customFormat="1"/>
    <row r="8469" s="563" customFormat="1"/>
    <row r="8470" s="563" customFormat="1"/>
    <row r="8471" s="563" customFormat="1"/>
    <row r="8472" s="563" customFormat="1"/>
    <row r="8473" s="563" customFormat="1"/>
    <row r="8474" s="563" customFormat="1"/>
    <row r="8475" s="563" customFormat="1"/>
    <row r="8476" s="563" customFormat="1"/>
    <row r="8477" s="563" customFormat="1"/>
    <row r="8478" s="563" customFormat="1"/>
    <row r="8479" s="563" customFormat="1"/>
    <row r="8480" s="563" customFormat="1"/>
    <row r="8481" s="563" customFormat="1"/>
    <row r="8482" s="563" customFormat="1"/>
    <row r="8483" s="563" customFormat="1"/>
    <row r="8484" s="563" customFormat="1"/>
    <row r="8485" s="563" customFormat="1"/>
    <row r="8486" s="563" customFormat="1"/>
    <row r="8487" s="563" customFormat="1"/>
    <row r="8488" s="563" customFormat="1"/>
    <row r="8489" s="563" customFormat="1"/>
    <row r="8490" s="563" customFormat="1"/>
    <row r="8491" s="563" customFormat="1"/>
    <row r="8492" s="563" customFormat="1"/>
    <row r="8493" s="563" customFormat="1"/>
    <row r="8494" s="563" customFormat="1"/>
    <row r="8495" s="563" customFormat="1"/>
    <row r="8496" s="563" customFormat="1"/>
    <row r="8497" s="563" customFormat="1"/>
    <row r="8498" s="563" customFormat="1"/>
    <row r="8499" s="563" customFormat="1"/>
    <row r="8500" s="563" customFormat="1"/>
    <row r="8501" s="563" customFormat="1"/>
    <row r="8502" s="563" customFormat="1"/>
    <row r="8503" s="563" customFormat="1"/>
    <row r="8504" s="563" customFormat="1"/>
    <row r="8505" s="563" customFormat="1"/>
    <row r="8506" s="563" customFormat="1"/>
    <row r="8507" s="563" customFormat="1"/>
    <row r="8508" s="563" customFormat="1"/>
    <row r="8509" s="563" customFormat="1"/>
    <row r="8510" s="563" customFormat="1"/>
    <row r="8511" s="563" customFormat="1"/>
    <row r="8512" s="563" customFormat="1"/>
    <row r="8513" s="563" customFormat="1"/>
    <row r="8514" s="563" customFormat="1"/>
    <row r="8515" s="563" customFormat="1"/>
    <row r="8516" s="563" customFormat="1"/>
    <row r="8517" s="563" customFormat="1"/>
    <row r="8518" s="563" customFormat="1"/>
    <row r="8519" s="563" customFormat="1"/>
    <row r="8520" s="563" customFormat="1"/>
    <row r="8521" s="563" customFormat="1"/>
    <row r="8522" s="563" customFormat="1"/>
    <row r="8523" s="563" customFormat="1"/>
    <row r="8524" s="563" customFormat="1"/>
    <row r="8525" s="563" customFormat="1"/>
    <row r="8526" s="563" customFormat="1"/>
    <row r="8527" s="563" customFormat="1"/>
    <row r="8528" s="563" customFormat="1"/>
    <row r="8529" s="563" customFormat="1"/>
    <row r="8530" s="563" customFormat="1"/>
    <row r="8531" s="563" customFormat="1"/>
    <row r="8532" s="563" customFormat="1"/>
    <row r="8533" s="563" customFormat="1"/>
    <row r="8534" s="563" customFormat="1"/>
    <row r="8535" s="563" customFormat="1"/>
    <row r="8536" s="563" customFormat="1"/>
    <row r="8537" s="563" customFormat="1"/>
    <row r="8538" s="563" customFormat="1"/>
    <row r="8539" s="563" customFormat="1"/>
    <row r="8540" s="563" customFormat="1"/>
    <row r="8541" s="563" customFormat="1"/>
    <row r="8542" s="563" customFormat="1"/>
    <row r="8543" s="563" customFormat="1"/>
    <row r="8544" s="563" customFormat="1"/>
    <row r="8545" s="563" customFormat="1"/>
    <row r="8546" s="563" customFormat="1"/>
    <row r="8547" s="563" customFormat="1"/>
    <row r="8548" s="563" customFormat="1"/>
    <row r="8549" s="563" customFormat="1"/>
    <row r="8550" s="563" customFormat="1"/>
    <row r="8551" s="563" customFormat="1"/>
    <row r="8552" s="563" customFormat="1"/>
    <row r="8553" s="563" customFormat="1"/>
    <row r="8554" s="563" customFormat="1"/>
    <row r="8555" s="563" customFormat="1"/>
    <row r="8556" s="563" customFormat="1"/>
    <row r="8557" s="563" customFormat="1"/>
    <row r="8558" s="563" customFormat="1"/>
    <row r="8559" s="563" customFormat="1"/>
    <row r="8560" s="563" customFormat="1"/>
    <row r="8561" s="563" customFormat="1"/>
    <row r="8562" s="563" customFormat="1"/>
    <row r="8563" s="563" customFormat="1"/>
    <row r="8564" s="563" customFormat="1"/>
    <row r="8565" s="563" customFormat="1"/>
    <row r="8566" s="563" customFormat="1"/>
    <row r="8567" s="563" customFormat="1"/>
    <row r="8568" s="563" customFormat="1"/>
    <row r="8569" s="563" customFormat="1"/>
    <row r="8570" s="563" customFormat="1"/>
    <row r="8571" s="563" customFormat="1"/>
    <row r="8572" s="563" customFormat="1"/>
    <row r="8573" s="563" customFormat="1"/>
    <row r="8574" s="563" customFormat="1"/>
    <row r="8575" s="563" customFormat="1"/>
    <row r="8576" s="563" customFormat="1"/>
    <row r="8577" s="563" customFormat="1"/>
    <row r="8578" s="563" customFormat="1"/>
    <row r="8579" s="563" customFormat="1"/>
    <row r="8580" s="563" customFormat="1"/>
    <row r="8581" s="563" customFormat="1"/>
    <row r="8582" s="563" customFormat="1"/>
    <row r="8583" s="563" customFormat="1"/>
    <row r="8584" s="563" customFormat="1"/>
    <row r="8585" s="563" customFormat="1"/>
    <row r="8586" s="563" customFormat="1"/>
    <row r="8587" s="563" customFormat="1"/>
    <row r="8588" s="563" customFormat="1"/>
    <row r="8589" s="563" customFormat="1"/>
    <row r="8590" s="563" customFormat="1"/>
    <row r="8591" s="563" customFormat="1"/>
    <row r="8592" s="563" customFormat="1"/>
    <row r="8593" s="563" customFormat="1"/>
    <row r="8594" s="563" customFormat="1"/>
    <row r="8595" s="563" customFormat="1"/>
    <row r="8596" s="563" customFormat="1"/>
    <row r="8597" s="563" customFormat="1"/>
    <row r="8598" s="563" customFormat="1"/>
    <row r="8599" s="563" customFormat="1"/>
    <row r="8600" s="563" customFormat="1"/>
    <row r="8601" s="563" customFormat="1"/>
    <row r="8602" s="563" customFormat="1"/>
    <row r="8603" s="563" customFormat="1"/>
    <row r="8604" s="563" customFormat="1"/>
    <row r="8605" s="563" customFormat="1"/>
    <row r="8606" s="563" customFormat="1"/>
    <row r="8607" s="563" customFormat="1"/>
    <row r="8608" s="563" customFormat="1"/>
    <row r="8609" s="563" customFormat="1"/>
    <row r="8610" s="563" customFormat="1"/>
    <row r="8611" s="563" customFormat="1"/>
    <row r="8612" s="563" customFormat="1"/>
    <row r="8613" s="563" customFormat="1"/>
    <row r="8614" s="563" customFormat="1"/>
    <row r="8615" s="563" customFormat="1"/>
    <row r="8616" s="563" customFormat="1"/>
    <row r="8617" s="563" customFormat="1"/>
    <row r="8618" s="563" customFormat="1"/>
    <row r="8619" s="563" customFormat="1"/>
    <row r="8620" s="563" customFormat="1"/>
    <row r="8621" s="563" customFormat="1"/>
    <row r="8622" s="563" customFormat="1"/>
    <row r="8623" s="563" customFormat="1"/>
    <row r="8624" s="563" customFormat="1"/>
    <row r="8625" s="563" customFormat="1"/>
    <row r="8626" s="563" customFormat="1"/>
    <row r="8627" s="563" customFormat="1"/>
    <row r="8628" s="563" customFormat="1"/>
    <row r="8629" s="563" customFormat="1"/>
    <row r="8630" s="563" customFormat="1"/>
    <row r="8631" s="563" customFormat="1"/>
    <row r="8632" s="563" customFormat="1"/>
    <row r="8633" s="563" customFormat="1"/>
    <row r="8634" s="563" customFormat="1"/>
    <row r="8635" s="563" customFormat="1"/>
    <row r="8636" s="563" customFormat="1"/>
    <row r="8637" s="563" customFormat="1"/>
    <row r="8638" s="563" customFormat="1"/>
    <row r="8639" s="563" customFormat="1"/>
    <row r="8640" s="563" customFormat="1"/>
    <row r="8641" s="563" customFormat="1"/>
    <row r="8642" s="563" customFormat="1"/>
    <row r="8643" s="563" customFormat="1"/>
    <row r="8644" s="563" customFormat="1"/>
    <row r="8645" s="563" customFormat="1"/>
    <row r="8646" s="563" customFormat="1"/>
    <row r="8647" s="563" customFormat="1"/>
    <row r="8648" s="563" customFormat="1"/>
    <row r="8649" s="563" customFormat="1"/>
    <row r="8650" s="563" customFormat="1"/>
    <row r="8651" s="563" customFormat="1"/>
    <row r="8652" s="563" customFormat="1"/>
    <row r="8653" s="563" customFormat="1"/>
    <row r="8654" s="563" customFormat="1"/>
    <row r="8655" s="563" customFormat="1"/>
    <row r="8656" s="563" customFormat="1"/>
    <row r="8657" s="563" customFormat="1"/>
    <row r="8658" s="563" customFormat="1"/>
    <row r="8659" s="563" customFormat="1"/>
    <row r="8660" s="563" customFormat="1"/>
    <row r="8661" s="563" customFormat="1"/>
    <row r="8662" s="563" customFormat="1"/>
    <row r="8663" s="563" customFormat="1"/>
    <row r="8664" s="563" customFormat="1"/>
    <row r="8665" s="563" customFormat="1"/>
    <row r="8666" s="563" customFormat="1"/>
    <row r="8667" s="563" customFormat="1"/>
    <row r="8668" s="563" customFormat="1"/>
    <row r="8669" s="563" customFormat="1"/>
    <row r="8670" s="563" customFormat="1"/>
    <row r="8671" s="563" customFormat="1"/>
    <row r="8672" s="563" customFormat="1"/>
    <row r="8673" s="563" customFormat="1"/>
    <row r="8674" s="563" customFormat="1"/>
    <row r="8675" s="563" customFormat="1"/>
    <row r="8676" s="563" customFormat="1"/>
    <row r="8677" s="563" customFormat="1"/>
    <row r="8678" s="563" customFormat="1"/>
    <row r="8679" s="563" customFormat="1"/>
    <row r="8680" s="563" customFormat="1"/>
    <row r="8681" s="563" customFormat="1"/>
    <row r="8682" s="563" customFormat="1"/>
    <row r="8683" s="563" customFormat="1"/>
    <row r="8684" s="563" customFormat="1"/>
    <row r="8685" s="563" customFormat="1"/>
    <row r="8686" s="563" customFormat="1"/>
    <row r="8687" s="563" customFormat="1"/>
    <row r="8688" s="563" customFormat="1"/>
    <row r="8689" s="563" customFormat="1"/>
    <row r="8690" s="563" customFormat="1"/>
    <row r="8691" s="563" customFormat="1"/>
    <row r="8692" s="563" customFormat="1"/>
    <row r="8693" s="563" customFormat="1"/>
    <row r="8694" s="563" customFormat="1"/>
    <row r="8695" s="563" customFormat="1"/>
    <row r="8696" s="563" customFormat="1"/>
    <row r="8697" s="563" customFormat="1"/>
    <row r="8698" s="563" customFormat="1"/>
    <row r="8699" s="563" customFormat="1"/>
    <row r="8700" s="563" customFormat="1"/>
    <row r="8701" s="563" customFormat="1"/>
    <row r="8702" s="563" customFormat="1"/>
    <row r="8703" s="563" customFormat="1"/>
    <row r="8704" s="563" customFormat="1"/>
    <row r="8705" s="563" customFormat="1"/>
    <row r="8706" s="563" customFormat="1"/>
    <row r="8707" s="563" customFormat="1"/>
    <row r="8708" s="563" customFormat="1"/>
    <row r="8709" s="563" customFormat="1"/>
    <row r="8710" s="563" customFormat="1"/>
    <row r="8711" s="563" customFormat="1"/>
    <row r="8712" s="563" customFormat="1"/>
    <row r="8713" s="563" customFormat="1"/>
    <row r="8714" s="563" customFormat="1"/>
    <row r="8715" s="563" customFormat="1"/>
    <row r="8716" s="563" customFormat="1"/>
    <row r="8717" s="563" customFormat="1"/>
    <row r="8718" s="563" customFormat="1"/>
    <row r="8719" s="563" customFormat="1"/>
    <row r="8720" s="563" customFormat="1"/>
    <row r="8721" s="563" customFormat="1"/>
    <row r="8722" s="563" customFormat="1"/>
    <row r="8723" s="563" customFormat="1"/>
    <row r="8724" s="563" customFormat="1"/>
    <row r="8725" s="563" customFormat="1"/>
    <row r="8726" s="563" customFormat="1"/>
    <row r="8727" s="563" customFormat="1"/>
    <row r="8728" s="563" customFormat="1"/>
    <row r="8729" s="563" customFormat="1"/>
    <row r="8730" s="563" customFormat="1"/>
    <row r="8731" s="563" customFormat="1"/>
    <row r="8732" s="563" customFormat="1"/>
    <row r="8733" s="563" customFormat="1"/>
    <row r="8734" s="563" customFormat="1"/>
    <row r="8735" s="563" customFormat="1"/>
    <row r="8736" s="563" customFormat="1"/>
    <row r="8737" s="563" customFormat="1"/>
    <row r="8738" s="563" customFormat="1"/>
    <row r="8739" s="563" customFormat="1"/>
    <row r="8740" s="563" customFormat="1"/>
    <row r="8741" s="563" customFormat="1"/>
    <row r="8742" s="563" customFormat="1"/>
    <row r="8743" s="563" customFormat="1"/>
    <row r="8744" s="563" customFormat="1"/>
    <row r="8745" s="563" customFormat="1"/>
    <row r="8746" s="563" customFormat="1"/>
    <row r="8747" s="563" customFormat="1"/>
    <row r="8748" s="563" customFormat="1"/>
    <row r="8749" s="563" customFormat="1"/>
    <row r="8750" s="563" customFormat="1"/>
    <row r="8751" s="563" customFormat="1"/>
    <row r="8752" s="563" customFormat="1"/>
    <row r="8753" s="563" customFormat="1"/>
    <row r="8754" s="563" customFormat="1"/>
    <row r="8755" s="563" customFormat="1"/>
    <row r="8756" s="563" customFormat="1"/>
    <row r="8757" s="563" customFormat="1"/>
    <row r="8758" s="563" customFormat="1"/>
    <row r="8759" s="563" customFormat="1"/>
    <row r="8760" s="563" customFormat="1"/>
    <row r="8761" s="563" customFormat="1"/>
    <row r="8762" s="563" customFormat="1"/>
    <row r="8763" s="563" customFormat="1"/>
    <row r="8764" s="563" customFormat="1"/>
    <row r="8765" s="563" customFormat="1"/>
    <row r="8766" s="563" customFormat="1"/>
    <row r="8767" s="563" customFormat="1"/>
    <row r="8768" s="563" customFormat="1"/>
    <row r="8769" s="563" customFormat="1"/>
    <row r="8770" s="563" customFormat="1"/>
    <row r="8771" s="563" customFormat="1"/>
    <row r="8772" s="563" customFormat="1"/>
    <row r="8773" s="563" customFormat="1"/>
    <row r="8774" s="563" customFormat="1"/>
    <row r="8775" s="563" customFormat="1"/>
    <row r="8776" s="563" customFormat="1"/>
    <row r="8777" s="563" customFormat="1"/>
    <row r="8778" s="563" customFormat="1"/>
    <row r="8779" s="563" customFormat="1"/>
    <row r="8780" s="563" customFormat="1"/>
    <row r="8781" s="563" customFormat="1"/>
    <row r="8782" s="563" customFormat="1"/>
    <row r="8783" s="563" customFormat="1"/>
    <row r="8784" s="563" customFormat="1"/>
    <row r="8785" s="563" customFormat="1"/>
    <row r="8786" s="563" customFormat="1"/>
    <row r="8787" s="563" customFormat="1"/>
    <row r="8788" s="563" customFormat="1"/>
    <row r="8789" s="563" customFormat="1"/>
    <row r="8790" s="563" customFormat="1"/>
    <row r="8791" s="563" customFormat="1"/>
    <row r="8792" s="563" customFormat="1"/>
    <row r="8793" s="563" customFormat="1"/>
    <row r="8794" s="563" customFormat="1"/>
    <row r="8795" s="563" customFormat="1"/>
    <row r="8796" s="563" customFormat="1"/>
    <row r="8797" s="563" customFormat="1"/>
    <row r="8798" s="563" customFormat="1"/>
    <row r="8799" s="563" customFormat="1"/>
    <row r="8800" s="563" customFormat="1"/>
    <row r="8801" s="563" customFormat="1"/>
    <row r="8802" s="563" customFormat="1"/>
    <row r="8803" s="563" customFormat="1"/>
    <row r="8804" s="563" customFormat="1"/>
    <row r="8805" s="563" customFormat="1"/>
    <row r="8806" s="563" customFormat="1"/>
    <row r="8807" s="563" customFormat="1"/>
    <row r="8808" s="563" customFormat="1"/>
    <row r="8809" s="563" customFormat="1"/>
    <row r="8810" s="563" customFormat="1"/>
    <row r="8811" s="563" customFormat="1"/>
    <row r="8812" s="563" customFormat="1"/>
    <row r="8813" s="563" customFormat="1"/>
    <row r="8814" s="563" customFormat="1"/>
    <row r="8815" s="563" customFormat="1"/>
    <row r="8816" s="563" customFormat="1"/>
    <row r="8817" s="563" customFormat="1"/>
    <row r="8818" s="563" customFormat="1"/>
    <row r="8819" s="563" customFormat="1"/>
    <row r="8820" s="563" customFormat="1"/>
    <row r="8821" s="563" customFormat="1"/>
    <row r="8822" s="563" customFormat="1"/>
    <row r="8823" s="563" customFormat="1"/>
    <row r="8824" s="563" customFormat="1"/>
    <row r="8825" s="563" customFormat="1"/>
    <row r="8826" s="563" customFormat="1"/>
    <row r="8827" s="563" customFormat="1"/>
    <row r="8828" s="563" customFormat="1"/>
    <row r="8829" s="563" customFormat="1"/>
    <row r="8830" s="563" customFormat="1"/>
    <row r="8831" s="563" customFormat="1"/>
    <row r="8832" s="563" customFormat="1"/>
    <row r="8833" s="563" customFormat="1"/>
    <row r="8834" s="563" customFormat="1"/>
    <row r="8835" s="563" customFormat="1"/>
    <row r="8836" s="563" customFormat="1"/>
    <row r="8837" s="563" customFormat="1"/>
    <row r="8838" s="563" customFormat="1"/>
    <row r="8839" s="563" customFormat="1"/>
    <row r="8840" s="563" customFormat="1"/>
    <row r="8841" s="563" customFormat="1"/>
    <row r="8842" s="563" customFormat="1"/>
    <row r="8843" s="563" customFormat="1"/>
    <row r="8844" s="563" customFormat="1"/>
    <row r="8845" s="563" customFormat="1"/>
    <row r="8846" s="563" customFormat="1"/>
    <row r="8847" s="563" customFormat="1"/>
    <row r="8848" s="563" customFormat="1"/>
    <row r="8849" s="563" customFormat="1"/>
    <row r="8850" s="563" customFormat="1"/>
    <row r="8851" s="563" customFormat="1"/>
    <row r="8852" s="563" customFormat="1"/>
    <row r="8853" s="563" customFormat="1"/>
    <row r="8854" s="563" customFormat="1"/>
    <row r="8855" s="563" customFormat="1"/>
    <row r="8856" s="563" customFormat="1"/>
    <row r="8857" s="563" customFormat="1"/>
    <row r="8858" s="563" customFormat="1"/>
    <row r="8859" s="563" customFormat="1"/>
    <row r="8860" s="563" customFormat="1"/>
    <row r="8861" s="563" customFormat="1"/>
    <row r="8862" s="563" customFormat="1"/>
    <row r="8863" s="563" customFormat="1"/>
    <row r="8864" s="563" customFormat="1"/>
    <row r="8865" s="563" customFormat="1"/>
    <row r="8866" s="563" customFormat="1"/>
    <row r="8867" s="563" customFormat="1"/>
    <row r="8868" s="563" customFormat="1"/>
    <row r="8869" s="563" customFormat="1"/>
    <row r="8870" s="563" customFormat="1"/>
    <row r="8871" s="563" customFormat="1"/>
    <row r="8872" s="563" customFormat="1"/>
    <row r="8873" s="563" customFormat="1"/>
    <row r="8874" s="563" customFormat="1"/>
    <row r="8875" s="563" customFormat="1"/>
    <row r="8876" s="563" customFormat="1"/>
    <row r="8877" s="563" customFormat="1"/>
    <row r="8878" s="563" customFormat="1"/>
    <row r="8879" s="563" customFormat="1"/>
    <row r="8880" s="563" customFormat="1"/>
    <row r="8881" s="563" customFormat="1"/>
    <row r="8882" s="563" customFormat="1"/>
    <row r="8883" s="563" customFormat="1"/>
    <row r="8884" s="563" customFormat="1"/>
    <row r="8885" s="563" customFormat="1"/>
    <row r="8886" s="563" customFormat="1"/>
    <row r="8887" s="563" customFormat="1"/>
    <row r="8888" s="563" customFormat="1"/>
    <row r="8889" s="563" customFormat="1"/>
    <row r="8890" s="563" customFormat="1"/>
    <row r="8891" s="563" customFormat="1"/>
    <row r="8892" s="563" customFormat="1"/>
    <row r="8893" s="563" customFormat="1"/>
    <row r="8894" s="563" customFormat="1"/>
    <row r="8895" s="563" customFormat="1"/>
    <row r="8896" s="563" customFormat="1"/>
    <row r="8897" s="563" customFormat="1"/>
    <row r="8898" s="563" customFormat="1"/>
    <row r="8899" s="563" customFormat="1"/>
    <row r="8900" s="563" customFormat="1"/>
    <row r="8901" s="563" customFormat="1"/>
    <row r="8902" s="563" customFormat="1"/>
    <row r="8903" s="563" customFormat="1"/>
    <row r="8904" s="563" customFormat="1"/>
    <row r="8905" s="563" customFormat="1"/>
    <row r="8906" s="563" customFormat="1"/>
    <row r="8907" s="563" customFormat="1"/>
    <row r="8908" s="563" customFormat="1"/>
    <row r="8909" s="563" customFormat="1"/>
    <row r="8910" s="563" customFormat="1"/>
    <row r="8911" s="563" customFormat="1"/>
    <row r="8912" s="563" customFormat="1"/>
    <row r="8913" s="563" customFormat="1"/>
    <row r="8914" s="563" customFormat="1"/>
    <row r="8915" s="563" customFormat="1"/>
    <row r="8916" s="563" customFormat="1"/>
    <row r="8917" s="563" customFormat="1"/>
    <row r="8918" s="563" customFormat="1"/>
    <row r="8919" s="563" customFormat="1"/>
    <row r="8920" s="563" customFormat="1"/>
    <row r="8921" s="563" customFormat="1"/>
    <row r="8922" s="563" customFormat="1"/>
    <row r="8923" s="563" customFormat="1"/>
    <row r="8924" s="563" customFormat="1"/>
    <row r="8925" s="563" customFormat="1"/>
    <row r="8926" s="563" customFormat="1"/>
    <row r="8927" s="563" customFormat="1"/>
    <row r="8928" s="563" customFormat="1"/>
    <row r="8929" s="563" customFormat="1"/>
    <row r="8930" s="563" customFormat="1"/>
    <row r="8931" s="563" customFormat="1"/>
    <row r="8932" s="563" customFormat="1"/>
    <row r="8933" s="563" customFormat="1"/>
    <row r="8934" s="563" customFormat="1"/>
    <row r="8935" s="563" customFormat="1"/>
    <row r="8936" s="563" customFormat="1"/>
    <row r="8937" s="563" customFormat="1"/>
    <row r="8938" s="563" customFormat="1"/>
    <row r="8939" s="563" customFormat="1"/>
    <row r="8940" s="563" customFormat="1"/>
    <row r="8941" s="563" customFormat="1"/>
    <row r="8942" s="563" customFormat="1"/>
    <row r="8943" s="563" customFormat="1"/>
    <row r="8944" s="563" customFormat="1"/>
    <row r="8945" s="563" customFormat="1"/>
    <row r="8946" s="563" customFormat="1"/>
    <row r="8947" s="563" customFormat="1"/>
    <row r="8948" s="563" customFormat="1"/>
    <row r="8949" s="563" customFormat="1"/>
    <row r="8950" s="563" customFormat="1"/>
    <row r="8951" s="563" customFormat="1"/>
    <row r="8952" s="563" customFormat="1"/>
    <row r="8953" s="563" customFormat="1"/>
    <row r="8954" s="563" customFormat="1"/>
    <row r="8955" s="563" customFormat="1"/>
    <row r="8956" s="563" customFormat="1"/>
    <row r="8957" s="563" customFormat="1"/>
    <row r="8958" s="563" customFormat="1"/>
    <row r="8959" s="563" customFormat="1"/>
    <row r="8960" s="563" customFormat="1"/>
    <row r="8961" s="563" customFormat="1"/>
    <row r="8962" s="563" customFormat="1"/>
    <row r="8963" s="563" customFormat="1"/>
    <row r="8964" s="563" customFormat="1"/>
    <row r="8965" s="563" customFormat="1"/>
    <row r="8966" s="563" customFormat="1"/>
    <row r="8967" s="563" customFormat="1"/>
    <row r="8968" s="563" customFormat="1"/>
    <row r="8969" s="563" customFormat="1"/>
    <row r="8970" s="563" customFormat="1"/>
    <row r="8971" s="563" customFormat="1"/>
    <row r="8972" s="563" customFormat="1"/>
    <row r="8973" s="563" customFormat="1"/>
    <row r="8974" s="563" customFormat="1"/>
    <row r="8975" s="563" customFormat="1"/>
    <row r="8976" s="563" customFormat="1"/>
    <row r="8977" s="563" customFormat="1"/>
    <row r="8978" s="563" customFormat="1"/>
    <row r="8979" s="563" customFormat="1"/>
    <row r="8980" s="563" customFormat="1"/>
    <row r="8981" s="563" customFormat="1"/>
    <row r="8982" s="563" customFormat="1"/>
    <row r="8983" s="563" customFormat="1"/>
    <row r="8984" s="563" customFormat="1"/>
    <row r="8985" s="563" customFormat="1"/>
    <row r="8986" s="563" customFormat="1"/>
    <row r="8987" s="563" customFormat="1"/>
    <row r="8988" s="563" customFormat="1"/>
    <row r="8989" s="563" customFormat="1"/>
    <row r="8990" s="563" customFormat="1"/>
    <row r="8991" s="563" customFormat="1"/>
    <row r="8992" s="563" customFormat="1"/>
    <row r="8993" s="563" customFormat="1"/>
    <row r="8994" s="563" customFormat="1"/>
    <row r="8995" s="563" customFormat="1"/>
    <row r="8996" s="563" customFormat="1"/>
    <row r="8997" s="563" customFormat="1"/>
    <row r="8998" s="563" customFormat="1"/>
    <row r="8999" s="563" customFormat="1"/>
    <row r="9000" s="563" customFormat="1"/>
    <row r="9001" s="563" customFormat="1"/>
    <row r="9002" s="563" customFormat="1"/>
    <row r="9003" s="563" customFormat="1"/>
    <row r="9004" s="563" customFormat="1"/>
    <row r="9005" s="563" customFormat="1"/>
    <row r="9006" s="563" customFormat="1"/>
    <row r="9007" s="563" customFormat="1"/>
    <row r="9008" s="563" customFormat="1"/>
    <row r="9009" s="563" customFormat="1"/>
    <row r="9010" s="563" customFormat="1"/>
    <row r="9011" s="563" customFormat="1"/>
    <row r="9012" s="563" customFormat="1"/>
    <row r="9013" s="563" customFormat="1"/>
    <row r="9014" s="563" customFormat="1"/>
    <row r="9015" s="563" customFormat="1"/>
    <row r="9016" s="563" customFormat="1"/>
    <row r="9017" s="563" customFormat="1"/>
    <row r="9018" s="563" customFormat="1"/>
    <row r="9019" s="563" customFormat="1"/>
    <row r="9020" s="563" customFormat="1"/>
    <row r="9021" s="563" customFormat="1"/>
    <row r="9022" s="563" customFormat="1"/>
    <row r="9023" s="563" customFormat="1"/>
    <row r="9024" s="563" customFormat="1"/>
    <row r="9025" s="563" customFormat="1"/>
    <row r="9026" s="563" customFormat="1"/>
    <row r="9027" s="563" customFormat="1"/>
    <row r="9028" s="563" customFormat="1"/>
    <row r="9029" s="563" customFormat="1"/>
    <row r="9030" s="563" customFormat="1"/>
    <row r="9031" s="563" customFormat="1"/>
    <row r="9032" s="563" customFormat="1"/>
    <row r="9033" s="563" customFormat="1"/>
    <row r="9034" s="563" customFormat="1"/>
    <row r="9035" s="563" customFormat="1"/>
    <row r="9036" s="563" customFormat="1"/>
    <row r="9037" s="563" customFormat="1"/>
    <row r="9038" s="563" customFormat="1"/>
    <row r="9039" s="563" customFormat="1"/>
    <row r="9040" s="563" customFormat="1"/>
    <row r="9041" s="563" customFormat="1"/>
    <row r="9042" s="563" customFormat="1"/>
    <row r="9043" s="563" customFormat="1"/>
    <row r="9044" s="563" customFormat="1"/>
    <row r="9045" s="563" customFormat="1"/>
    <row r="9046" s="563" customFormat="1"/>
    <row r="9047" s="563" customFormat="1"/>
    <row r="9048" s="563" customFormat="1"/>
    <row r="9049" s="563" customFormat="1"/>
    <row r="9050" s="563" customFormat="1"/>
    <row r="9051" s="563" customFormat="1"/>
    <row r="9052" s="563" customFormat="1"/>
    <row r="9053" s="563" customFormat="1"/>
    <row r="9054" s="563" customFormat="1"/>
    <row r="9055" s="563" customFormat="1"/>
    <row r="9056" s="563" customFormat="1"/>
    <row r="9057" s="563" customFormat="1"/>
    <row r="9058" s="563" customFormat="1"/>
    <row r="9059" s="563" customFormat="1"/>
    <row r="9060" s="563" customFormat="1"/>
    <row r="9061" s="563" customFormat="1"/>
    <row r="9062" s="563" customFormat="1"/>
    <row r="9063" s="563" customFormat="1"/>
    <row r="9064" s="563" customFormat="1"/>
    <row r="9065" s="563" customFormat="1"/>
    <row r="9066" s="563" customFormat="1"/>
    <row r="9067" s="563" customFormat="1"/>
    <row r="9068" s="563" customFormat="1"/>
    <row r="9069" s="563" customFormat="1"/>
    <row r="9070" s="563" customFormat="1"/>
    <row r="9071" s="563" customFormat="1"/>
    <row r="9072" s="563" customFormat="1"/>
    <row r="9073" s="563" customFormat="1"/>
    <row r="9074" s="563" customFormat="1"/>
    <row r="9075" s="563" customFormat="1"/>
    <row r="9076" s="563" customFormat="1"/>
    <row r="9077" s="563" customFormat="1"/>
    <row r="9078" s="563" customFormat="1"/>
    <row r="9079" s="563" customFormat="1"/>
    <row r="9080" s="563" customFormat="1"/>
    <row r="9081" s="563" customFormat="1"/>
    <row r="9082" s="563" customFormat="1"/>
    <row r="9083" s="563" customFormat="1"/>
    <row r="9084" s="563" customFormat="1"/>
    <row r="9085" s="563" customFormat="1"/>
    <row r="9086" s="563" customFormat="1"/>
    <row r="9087" s="563" customFormat="1"/>
    <row r="9088" s="563" customFormat="1"/>
    <row r="9089" s="563" customFormat="1"/>
    <row r="9090" s="563" customFormat="1"/>
    <row r="9091" s="563" customFormat="1"/>
    <row r="9092" s="563" customFormat="1"/>
    <row r="9093" s="563" customFormat="1"/>
    <row r="9094" s="563" customFormat="1"/>
    <row r="9095" s="563" customFormat="1"/>
    <row r="9096" s="563" customFormat="1"/>
    <row r="9097" s="563" customFormat="1"/>
    <row r="9098" s="563" customFormat="1"/>
    <row r="9099" s="563" customFormat="1"/>
    <row r="9100" s="563" customFormat="1"/>
    <row r="9101" s="563" customFormat="1"/>
    <row r="9102" s="563" customFormat="1"/>
    <row r="9103" s="563" customFormat="1"/>
    <row r="9104" s="563" customFormat="1"/>
    <row r="9105" s="563" customFormat="1"/>
    <row r="9106" s="563" customFormat="1"/>
    <row r="9107" s="563" customFormat="1"/>
    <row r="9108" s="563" customFormat="1"/>
    <row r="9109" s="563" customFormat="1"/>
    <row r="9110" s="563" customFormat="1"/>
    <row r="9111" s="563" customFormat="1"/>
    <row r="9112" s="563" customFormat="1"/>
    <row r="9113" s="563" customFormat="1"/>
    <row r="9114" s="563" customFormat="1"/>
    <row r="9115" s="563" customFormat="1"/>
    <row r="9116" s="563" customFormat="1"/>
    <row r="9117" s="563" customFormat="1"/>
    <row r="9118" s="563" customFormat="1"/>
    <row r="9119" s="563" customFormat="1"/>
    <row r="9120" s="563" customFormat="1"/>
    <row r="9121" s="563" customFormat="1"/>
    <row r="9122" s="563" customFormat="1"/>
    <row r="9123" s="563" customFormat="1"/>
    <row r="9124" s="563" customFormat="1"/>
    <row r="9125" s="563" customFormat="1"/>
    <row r="9126" s="563" customFormat="1"/>
    <row r="9127" s="563" customFormat="1"/>
    <row r="9128" s="563" customFormat="1"/>
    <row r="9129" s="563" customFormat="1"/>
    <row r="9130" s="563" customFormat="1"/>
    <row r="9131" s="563" customFormat="1"/>
    <row r="9132" s="563" customFormat="1"/>
    <row r="9133" s="563" customFormat="1"/>
    <row r="9134" s="563" customFormat="1"/>
    <row r="9135" s="563" customFormat="1"/>
    <row r="9136" s="563" customFormat="1"/>
    <row r="9137" s="563" customFormat="1"/>
    <row r="9138" s="563" customFormat="1"/>
    <row r="9139" s="563" customFormat="1"/>
    <row r="9140" s="563" customFormat="1"/>
    <row r="9141" s="563" customFormat="1"/>
    <row r="9142" s="563" customFormat="1"/>
    <row r="9143" s="563" customFormat="1"/>
    <row r="9144" s="563" customFormat="1"/>
    <row r="9145" s="563" customFormat="1"/>
    <row r="9146" s="563" customFormat="1"/>
    <row r="9147" s="563" customFormat="1"/>
    <row r="9148" s="563" customFormat="1"/>
    <row r="9149" s="563" customFormat="1"/>
    <row r="9150" s="563" customFormat="1"/>
    <row r="9151" s="563" customFormat="1"/>
    <row r="9152" s="563" customFormat="1"/>
    <row r="9153" s="563" customFormat="1"/>
    <row r="9154" s="563" customFormat="1"/>
    <row r="9155" s="563" customFormat="1"/>
    <row r="9156" s="563" customFormat="1"/>
    <row r="9157" s="563" customFormat="1"/>
    <row r="9158" s="563" customFormat="1"/>
    <row r="9159" s="563" customFormat="1"/>
    <row r="9160" s="563" customFormat="1"/>
    <row r="9161" s="563" customFormat="1"/>
    <row r="9162" s="563" customFormat="1"/>
    <row r="9163" s="563" customFormat="1"/>
    <row r="9164" s="563" customFormat="1"/>
    <row r="9165" s="563" customFormat="1"/>
    <row r="9166" s="563" customFormat="1"/>
    <row r="9167" s="563" customFormat="1"/>
    <row r="9168" s="563" customFormat="1"/>
    <row r="9169" s="563" customFormat="1"/>
    <row r="9170" s="563" customFormat="1"/>
    <row r="9171" s="563" customFormat="1"/>
    <row r="9172" s="563" customFormat="1"/>
    <row r="9173" s="563" customFormat="1"/>
    <row r="9174" s="563" customFormat="1"/>
    <row r="9175" s="563" customFormat="1"/>
    <row r="9176" s="563" customFormat="1"/>
    <row r="9177" s="563" customFormat="1"/>
    <row r="9178" s="563" customFormat="1"/>
    <row r="9179" s="563" customFormat="1"/>
    <row r="9180" s="563" customFormat="1"/>
    <row r="9181" s="563" customFormat="1"/>
    <row r="9182" s="563" customFormat="1"/>
    <row r="9183" s="563" customFormat="1"/>
    <row r="9184" s="563" customFormat="1"/>
    <row r="9185" s="563" customFormat="1"/>
    <row r="9186" s="563" customFormat="1"/>
    <row r="9187" s="563" customFormat="1"/>
    <row r="9188" s="563" customFormat="1"/>
    <row r="9189" s="563" customFormat="1"/>
    <row r="9190" s="563" customFormat="1"/>
    <row r="9191" s="563" customFormat="1"/>
    <row r="9192" s="563" customFormat="1"/>
    <row r="9193" s="563" customFormat="1"/>
    <row r="9194" s="563" customFormat="1"/>
    <row r="9195" s="563" customFormat="1"/>
    <row r="9196" s="563" customFormat="1"/>
    <row r="9197" s="563" customFormat="1"/>
    <row r="9198" s="563" customFormat="1"/>
    <row r="9199" s="563" customFormat="1"/>
    <row r="9200" s="563" customFormat="1"/>
    <row r="9201" s="563" customFormat="1"/>
    <row r="9202" s="563" customFormat="1"/>
    <row r="9203" s="563" customFormat="1"/>
    <row r="9204" s="563" customFormat="1"/>
    <row r="9205" s="563" customFormat="1"/>
    <row r="9206" s="563" customFormat="1"/>
    <row r="9207" s="563" customFormat="1"/>
    <row r="9208" s="563" customFormat="1"/>
    <row r="9209" s="563" customFormat="1"/>
    <row r="9210" s="563" customFormat="1"/>
    <row r="9211" s="563" customFormat="1"/>
    <row r="9212" s="563" customFormat="1"/>
    <row r="9213" s="563" customFormat="1"/>
    <row r="9214" s="563" customFormat="1"/>
    <row r="9215" s="563" customFormat="1"/>
    <row r="9216" s="563" customFormat="1"/>
    <row r="9217" s="563" customFormat="1"/>
    <row r="9218" s="563" customFormat="1"/>
    <row r="9219" s="563" customFormat="1"/>
    <row r="9220" s="563" customFormat="1"/>
    <row r="9221" s="563" customFormat="1"/>
    <row r="9222" s="563" customFormat="1"/>
    <row r="9223" s="563" customFormat="1"/>
    <row r="9224" s="563" customFormat="1"/>
    <row r="9225" s="563" customFormat="1"/>
    <row r="9226" s="563" customFormat="1"/>
    <row r="9227" s="563" customFormat="1"/>
    <row r="9228" s="563" customFormat="1"/>
    <row r="9229" s="563" customFormat="1"/>
    <row r="9230" s="563" customFormat="1"/>
    <row r="9231" s="563" customFormat="1"/>
    <row r="9232" s="563" customFormat="1"/>
    <row r="9233" s="563" customFormat="1"/>
    <row r="9234" s="563" customFormat="1"/>
    <row r="9235" s="563" customFormat="1"/>
    <row r="9236" s="563" customFormat="1"/>
    <row r="9237" s="563" customFormat="1"/>
    <row r="9238" s="563" customFormat="1"/>
    <row r="9239" s="563" customFormat="1"/>
    <row r="9240" s="563" customFormat="1"/>
    <row r="9241" s="563" customFormat="1"/>
    <row r="9242" s="563" customFormat="1"/>
    <row r="9243" s="563" customFormat="1"/>
    <row r="9244" s="563" customFormat="1"/>
    <row r="9245" s="563" customFormat="1"/>
    <row r="9246" s="563" customFormat="1"/>
    <row r="9247" s="563" customFormat="1"/>
    <row r="9248" s="563" customFormat="1"/>
    <row r="9249" s="563" customFormat="1"/>
    <row r="9250" s="563" customFormat="1"/>
    <row r="9251" s="563" customFormat="1"/>
    <row r="9252" s="563" customFormat="1"/>
    <row r="9253" s="563" customFormat="1"/>
    <row r="9254" s="563" customFormat="1"/>
    <row r="9255" s="563" customFormat="1"/>
    <row r="9256" s="563" customFormat="1"/>
    <row r="9257" s="563" customFormat="1"/>
    <row r="9258" s="563" customFormat="1"/>
    <row r="9259" s="563" customFormat="1"/>
    <row r="9260" s="563" customFormat="1"/>
    <row r="9261" s="563" customFormat="1"/>
    <row r="9262" s="563" customFormat="1"/>
    <row r="9263" s="563" customFormat="1"/>
    <row r="9264" s="563" customFormat="1"/>
    <row r="9265" s="563" customFormat="1"/>
    <row r="9266" s="563" customFormat="1"/>
    <row r="9267" s="563" customFormat="1"/>
    <row r="9268" s="563" customFormat="1"/>
    <row r="9269" s="563" customFormat="1"/>
    <row r="9270" s="563" customFormat="1"/>
    <row r="9271" s="563" customFormat="1"/>
    <row r="9272" s="563" customFormat="1"/>
    <row r="9273" s="563" customFormat="1"/>
    <row r="9274" s="563" customFormat="1"/>
    <row r="9275" s="563" customFormat="1"/>
    <row r="9276" s="563" customFormat="1"/>
    <row r="9277" s="563" customFormat="1"/>
    <row r="9278" s="563" customFormat="1"/>
    <row r="9279" s="563" customFormat="1"/>
    <row r="9280" s="563" customFormat="1"/>
    <row r="9281" s="563" customFormat="1"/>
    <row r="9282" s="563" customFormat="1"/>
    <row r="9283" s="563" customFormat="1"/>
    <row r="9284" s="563" customFormat="1"/>
    <row r="9285" s="563" customFormat="1"/>
    <row r="9286" s="563" customFormat="1"/>
    <row r="9287" s="563" customFormat="1"/>
    <row r="9288" s="563" customFormat="1"/>
    <row r="9289" s="563" customFormat="1"/>
    <row r="9290" s="563" customFormat="1"/>
    <row r="9291" s="563" customFormat="1"/>
    <row r="9292" s="563" customFormat="1"/>
    <row r="9293" s="563" customFormat="1"/>
    <row r="9294" s="563" customFormat="1"/>
    <row r="9295" s="563" customFormat="1"/>
    <row r="9296" s="563" customFormat="1"/>
    <row r="9297" s="563" customFormat="1"/>
    <row r="9298" s="563" customFormat="1"/>
    <row r="9299" s="563" customFormat="1"/>
    <row r="9300" s="563" customFormat="1"/>
    <row r="9301" s="563" customFormat="1"/>
    <row r="9302" s="563" customFormat="1"/>
    <row r="9303" s="563" customFormat="1"/>
    <row r="9304" s="563" customFormat="1"/>
    <row r="9305" s="563" customFormat="1"/>
    <row r="9306" s="563" customFormat="1"/>
    <row r="9307" s="563" customFormat="1"/>
    <row r="9308" s="563" customFormat="1"/>
    <row r="9309" s="563" customFormat="1"/>
    <row r="9310" s="563" customFormat="1"/>
    <row r="9311" s="563" customFormat="1"/>
    <row r="9312" s="563" customFormat="1"/>
    <row r="9313" s="563" customFormat="1"/>
    <row r="9314" s="563" customFormat="1"/>
    <row r="9315" s="563" customFormat="1"/>
    <row r="9316" s="563" customFormat="1"/>
    <row r="9317" s="563" customFormat="1"/>
    <row r="9318" s="563" customFormat="1"/>
    <row r="9319" s="563" customFormat="1"/>
    <row r="9320" s="563" customFormat="1"/>
    <row r="9321" s="563" customFormat="1"/>
    <row r="9322" s="563" customFormat="1"/>
    <row r="9323" s="563" customFormat="1"/>
    <row r="9324" s="563" customFormat="1"/>
    <row r="9325" s="563" customFormat="1"/>
    <row r="9326" s="563" customFormat="1"/>
    <row r="9327" s="563" customFormat="1"/>
    <row r="9328" s="563" customFormat="1"/>
    <row r="9329" s="563" customFormat="1"/>
    <row r="9330" s="563" customFormat="1"/>
    <row r="9331" s="563" customFormat="1"/>
    <row r="9332" s="563" customFormat="1"/>
    <row r="9333" s="563" customFormat="1"/>
    <row r="9334" s="563" customFormat="1"/>
    <row r="9335" s="563" customFormat="1"/>
    <row r="9336" s="563" customFormat="1"/>
    <row r="9337" s="563" customFormat="1"/>
    <row r="9338" s="563" customFormat="1"/>
    <row r="9339" s="563" customFormat="1"/>
    <row r="9340" s="563" customFormat="1"/>
    <row r="9341" s="563" customFormat="1"/>
    <row r="9342" s="563" customFormat="1"/>
    <row r="9343" s="563" customFormat="1"/>
    <row r="9344" s="563" customFormat="1"/>
    <row r="9345" s="563" customFormat="1"/>
    <row r="9346" s="563" customFormat="1"/>
    <row r="9347" s="563" customFormat="1"/>
    <row r="9348" s="563" customFormat="1"/>
    <row r="9349" s="563" customFormat="1"/>
    <row r="9350" s="563" customFormat="1"/>
    <row r="9351" s="563" customFormat="1"/>
    <row r="9352" s="563" customFormat="1"/>
    <row r="9353" s="563" customFormat="1"/>
    <row r="9354" s="563" customFormat="1"/>
    <row r="9355" s="563" customFormat="1"/>
    <row r="9356" s="563" customFormat="1"/>
    <row r="9357" s="563" customFormat="1"/>
    <row r="9358" s="563" customFormat="1"/>
    <row r="9359" s="563" customFormat="1"/>
    <row r="9360" s="563" customFormat="1"/>
    <row r="9361" s="563" customFormat="1"/>
    <row r="9362" s="563" customFormat="1"/>
    <row r="9363" s="563" customFormat="1"/>
    <row r="9364" s="563" customFormat="1"/>
    <row r="9365" s="563" customFormat="1"/>
    <row r="9366" s="563" customFormat="1"/>
    <row r="9367" s="563" customFormat="1"/>
    <row r="9368" s="563" customFormat="1"/>
    <row r="9369" s="563" customFormat="1"/>
    <row r="9370" s="563" customFormat="1"/>
    <row r="9371" s="563" customFormat="1"/>
    <row r="9372" s="563" customFormat="1"/>
    <row r="9373" s="563" customFormat="1"/>
    <row r="9374" s="563" customFormat="1"/>
    <row r="9375" s="563" customFormat="1"/>
    <row r="9376" s="563" customFormat="1"/>
    <row r="9377" s="563" customFormat="1"/>
    <row r="9378" s="563" customFormat="1"/>
    <row r="9379" s="563" customFormat="1"/>
    <row r="9380" s="563" customFormat="1"/>
    <row r="9381" s="563" customFormat="1"/>
    <row r="9382" s="563" customFormat="1"/>
    <row r="9383" s="563" customFormat="1"/>
    <row r="9384" s="563" customFormat="1"/>
    <row r="9385" s="563" customFormat="1"/>
    <row r="9386" s="563" customFormat="1"/>
    <row r="9387" s="563" customFormat="1"/>
    <row r="9388" s="563" customFormat="1"/>
    <row r="9389" s="563" customFormat="1"/>
    <row r="9390" s="563" customFormat="1"/>
    <row r="9391" s="563" customFormat="1"/>
    <row r="9392" s="563" customFormat="1"/>
    <row r="9393" s="563" customFormat="1"/>
    <row r="9394" s="563" customFormat="1"/>
    <row r="9395" s="563" customFormat="1"/>
    <row r="9396" s="563" customFormat="1"/>
    <row r="9397" s="563" customFormat="1"/>
    <row r="9398" s="563" customFormat="1"/>
    <row r="9399" s="563" customFormat="1"/>
    <row r="9400" s="563" customFormat="1"/>
    <row r="9401" s="563" customFormat="1"/>
    <row r="9402" s="563" customFormat="1"/>
    <row r="9403" s="563" customFormat="1"/>
    <row r="9404" s="563" customFormat="1"/>
    <row r="9405" s="563" customFormat="1"/>
    <row r="9406" s="563" customFormat="1"/>
    <row r="9407" s="563" customFormat="1"/>
    <row r="9408" s="563" customFormat="1"/>
    <row r="9409" s="563" customFormat="1"/>
    <row r="9410" s="563" customFormat="1"/>
    <row r="9411" s="563" customFormat="1"/>
    <row r="9412" s="563" customFormat="1"/>
    <row r="9413" s="563" customFormat="1"/>
    <row r="9414" s="563" customFormat="1"/>
    <row r="9415" s="563" customFormat="1"/>
    <row r="9416" s="563" customFormat="1"/>
    <row r="9417" s="563" customFormat="1"/>
    <row r="9418" s="563" customFormat="1"/>
    <row r="9419" s="563" customFormat="1"/>
    <row r="9420" s="563" customFormat="1"/>
    <row r="9421" s="563" customFormat="1"/>
    <row r="9422" s="563" customFormat="1"/>
    <row r="9423" s="563" customFormat="1"/>
    <row r="9424" s="563" customFormat="1"/>
    <row r="9425" s="563" customFormat="1"/>
    <row r="9426" s="563" customFormat="1"/>
    <row r="9427" s="563" customFormat="1"/>
    <row r="9428" s="563" customFormat="1"/>
    <row r="9429" s="563" customFormat="1"/>
    <row r="9430" s="563" customFormat="1"/>
    <row r="9431" s="563" customFormat="1"/>
    <row r="9432" s="563" customFormat="1"/>
    <row r="9433" s="563" customFormat="1"/>
    <row r="9434" s="563" customFormat="1"/>
    <row r="9435" s="563" customFormat="1"/>
    <row r="9436" s="563" customFormat="1"/>
    <row r="9437" s="563" customFormat="1"/>
    <row r="9438" s="563" customFormat="1"/>
    <row r="9439" s="563" customFormat="1"/>
    <row r="9440" s="563" customFormat="1"/>
    <row r="9441" s="563" customFormat="1"/>
    <row r="9442" s="563" customFormat="1"/>
    <row r="9443" s="563" customFormat="1"/>
    <row r="9444" s="563" customFormat="1"/>
    <row r="9445" s="563" customFormat="1"/>
    <row r="9446" s="563" customFormat="1"/>
    <row r="9447" s="563" customFormat="1"/>
    <row r="9448" s="563" customFormat="1"/>
    <row r="9449" s="563" customFormat="1"/>
    <row r="9450" s="563" customFormat="1"/>
    <row r="9451" s="563" customFormat="1"/>
    <row r="9452" s="563" customFormat="1"/>
    <row r="9453" s="563" customFormat="1"/>
    <row r="9454" s="563" customFormat="1"/>
    <row r="9455" s="563" customFormat="1"/>
    <row r="9456" s="563" customFormat="1"/>
    <row r="9457" s="563" customFormat="1"/>
    <row r="9458" s="563" customFormat="1"/>
    <row r="9459" s="563" customFormat="1"/>
    <row r="9460" s="563" customFormat="1"/>
    <row r="9461" s="563" customFormat="1"/>
    <row r="9462" s="563" customFormat="1"/>
    <row r="9463" s="563" customFormat="1"/>
    <row r="9464" s="563" customFormat="1"/>
    <row r="9465" s="563" customFormat="1"/>
    <row r="9466" s="563" customFormat="1"/>
    <row r="9467" s="563" customFormat="1"/>
    <row r="9468" s="563" customFormat="1"/>
    <row r="9469" s="563" customFormat="1"/>
    <row r="9470" s="563" customFormat="1"/>
    <row r="9471" s="563" customFormat="1"/>
    <row r="9472" s="563" customFormat="1"/>
    <row r="9473" s="563" customFormat="1"/>
    <row r="9474" s="563" customFormat="1"/>
    <row r="9475" s="563" customFormat="1"/>
    <row r="9476" s="563" customFormat="1"/>
    <row r="9477" s="563" customFormat="1"/>
    <row r="9478" s="563" customFormat="1"/>
    <row r="9479" s="563" customFormat="1"/>
    <row r="9480" s="563" customFormat="1"/>
    <row r="9481" s="563" customFormat="1"/>
    <row r="9482" s="563" customFormat="1"/>
    <row r="9483" s="563" customFormat="1"/>
    <row r="9484" s="563" customFormat="1"/>
    <row r="9485" s="563" customFormat="1"/>
    <row r="9486" s="563" customFormat="1"/>
    <row r="9487" s="563" customFormat="1"/>
    <row r="9488" s="563" customFormat="1"/>
    <row r="9489" s="563" customFormat="1"/>
    <row r="9490" s="563" customFormat="1"/>
    <row r="9491" s="563" customFormat="1"/>
    <row r="9492" s="563" customFormat="1"/>
    <row r="9493" s="563" customFormat="1"/>
    <row r="9494" s="563" customFormat="1"/>
    <row r="9495" s="563" customFormat="1"/>
    <row r="9496" s="563" customFormat="1"/>
    <row r="9497" s="563" customFormat="1"/>
    <row r="9498" s="563" customFormat="1"/>
    <row r="9499" s="563" customFormat="1"/>
    <row r="9500" s="563" customFormat="1"/>
    <row r="9501" s="563" customFormat="1"/>
    <row r="9502" s="563" customFormat="1"/>
    <row r="9503" s="563" customFormat="1"/>
    <row r="9504" s="563" customFormat="1"/>
    <row r="9505" s="563" customFormat="1"/>
    <row r="9506" s="563" customFormat="1"/>
    <row r="9507" s="563" customFormat="1"/>
    <row r="9508" s="563" customFormat="1"/>
    <row r="9509" s="563" customFormat="1"/>
    <row r="9510" s="563" customFormat="1"/>
    <row r="9511" s="563" customFormat="1"/>
    <row r="9512" s="563" customFormat="1"/>
    <row r="9513" s="563" customFormat="1"/>
    <row r="9514" s="563" customFormat="1"/>
    <row r="9515" s="563" customFormat="1"/>
    <row r="9516" s="563" customFormat="1"/>
    <row r="9517" s="563" customFormat="1"/>
    <row r="9518" s="563" customFormat="1"/>
    <row r="9519" s="563" customFormat="1"/>
    <row r="9520" s="563" customFormat="1"/>
    <row r="9521" s="563" customFormat="1"/>
    <row r="9522" s="563" customFormat="1"/>
    <row r="9523" s="563" customFormat="1"/>
    <row r="9524" s="563" customFormat="1"/>
    <row r="9525" s="563" customFormat="1"/>
    <row r="9526" s="563" customFormat="1"/>
    <row r="9527" s="563" customFormat="1"/>
    <row r="9528" s="563" customFormat="1"/>
    <row r="9529" s="563" customFormat="1"/>
    <row r="9530" s="563" customFormat="1"/>
    <row r="9531" s="563" customFormat="1"/>
    <row r="9532" s="563" customFormat="1"/>
    <row r="9533" s="563" customFormat="1"/>
    <row r="9534" s="563" customFormat="1"/>
    <row r="9535" s="563" customFormat="1"/>
    <row r="9536" s="563" customFormat="1"/>
    <row r="9537" s="563" customFormat="1"/>
    <row r="9538" s="563" customFormat="1"/>
    <row r="9539" s="563" customFormat="1"/>
    <row r="9540" s="563" customFormat="1"/>
    <row r="9541" s="563" customFormat="1"/>
    <row r="9542" s="563" customFormat="1"/>
    <row r="9543" s="563" customFormat="1"/>
    <row r="9544" s="563" customFormat="1"/>
    <row r="9545" s="563" customFormat="1"/>
    <row r="9546" s="563" customFormat="1"/>
    <row r="9547" s="563" customFormat="1"/>
    <row r="9548" s="563" customFormat="1"/>
    <row r="9549" s="563" customFormat="1"/>
    <row r="9550" s="563" customFormat="1"/>
    <row r="9551" s="563" customFormat="1"/>
    <row r="9552" s="563" customFormat="1"/>
    <row r="9553" s="563" customFormat="1"/>
    <row r="9554" s="563" customFormat="1"/>
    <row r="9555" s="563" customFormat="1"/>
    <row r="9556" s="563" customFormat="1"/>
    <row r="9557" s="563" customFormat="1"/>
    <row r="9558" s="563" customFormat="1"/>
    <row r="9559" s="563" customFormat="1"/>
    <row r="9560" s="563" customFormat="1"/>
    <row r="9561" s="563" customFormat="1"/>
    <row r="9562" s="563" customFormat="1"/>
    <row r="9563" s="563" customFormat="1"/>
    <row r="9564" s="563" customFormat="1"/>
    <row r="9565" s="563" customFormat="1"/>
    <row r="9566" s="563" customFormat="1"/>
    <row r="9567" s="563" customFormat="1"/>
    <row r="9568" s="563" customFormat="1"/>
    <row r="9569" s="563" customFormat="1"/>
    <row r="9570" s="563" customFormat="1"/>
    <row r="9571" s="563" customFormat="1"/>
    <row r="9572" s="563" customFormat="1"/>
    <row r="9573" s="563" customFormat="1"/>
    <row r="9574" s="563" customFormat="1"/>
    <row r="9575" s="563" customFormat="1"/>
    <row r="9576" s="563" customFormat="1"/>
    <row r="9577" s="563" customFormat="1"/>
    <row r="9578" s="563" customFormat="1"/>
    <row r="9579" s="563" customFormat="1"/>
    <row r="9580" s="563" customFormat="1"/>
    <row r="9581" s="563" customFormat="1"/>
    <row r="9582" s="563" customFormat="1"/>
    <row r="9583" s="563" customFormat="1"/>
    <row r="9584" s="563" customFormat="1"/>
    <row r="9585" s="563" customFormat="1"/>
    <row r="9586" s="563" customFormat="1"/>
    <row r="9587" s="563" customFormat="1"/>
    <row r="9588" s="563" customFormat="1"/>
    <row r="9589" s="563" customFormat="1"/>
    <row r="9590" s="563" customFormat="1"/>
    <row r="9591" s="563" customFormat="1"/>
    <row r="9592" s="563" customFormat="1"/>
    <row r="9593" s="563" customFormat="1"/>
    <row r="9594" s="563" customFormat="1"/>
    <row r="9595" s="563" customFormat="1"/>
    <row r="9596" s="563" customFormat="1"/>
    <row r="9597" s="563" customFormat="1"/>
    <row r="9598" s="563" customFormat="1"/>
    <row r="9599" s="563" customFormat="1"/>
    <row r="9600" s="563" customFormat="1"/>
    <row r="9601" s="563" customFormat="1"/>
    <row r="9602" s="563" customFormat="1"/>
    <row r="9603" s="563" customFormat="1"/>
    <row r="9604" s="563" customFormat="1"/>
    <row r="9605" s="563" customFormat="1"/>
    <row r="9606" s="563" customFormat="1"/>
    <row r="9607" s="563" customFormat="1"/>
    <row r="9608" s="563" customFormat="1"/>
    <row r="9609" s="563" customFormat="1"/>
    <row r="9610" s="563" customFormat="1"/>
    <row r="9611" s="563" customFormat="1"/>
    <row r="9612" s="563" customFormat="1"/>
    <row r="9613" s="563" customFormat="1"/>
    <row r="9614" s="563" customFormat="1"/>
    <row r="9615" s="563" customFormat="1"/>
    <row r="9616" s="563" customFormat="1"/>
    <row r="9617" s="563" customFormat="1"/>
    <row r="9618" s="563" customFormat="1"/>
    <row r="9619" s="563" customFormat="1"/>
    <row r="9620" s="563" customFormat="1"/>
    <row r="9621" s="563" customFormat="1"/>
    <row r="9622" s="563" customFormat="1"/>
    <row r="9623" s="563" customFormat="1"/>
    <row r="9624" s="563" customFormat="1"/>
    <row r="9625" s="563" customFormat="1"/>
    <row r="9626" s="563" customFormat="1"/>
    <row r="9627" s="563" customFormat="1"/>
    <row r="9628" s="563" customFormat="1"/>
    <row r="9629" s="563" customFormat="1"/>
    <row r="9630" s="563" customFormat="1"/>
    <row r="9631" s="563" customFormat="1"/>
    <row r="9632" s="563" customFormat="1"/>
    <row r="9633" s="563" customFormat="1"/>
    <row r="9634" s="563" customFormat="1"/>
    <row r="9635" s="563" customFormat="1"/>
    <row r="9636" s="563" customFormat="1"/>
    <row r="9637" s="563" customFormat="1"/>
    <row r="9638" s="563" customFormat="1"/>
    <row r="9639" s="563" customFormat="1"/>
    <row r="9640" s="563" customFormat="1"/>
    <row r="9641" s="563" customFormat="1"/>
    <row r="9642" s="563" customFormat="1"/>
    <row r="9643" s="563" customFormat="1"/>
    <row r="9644" s="563" customFormat="1"/>
    <row r="9645" s="563" customFormat="1"/>
    <row r="9646" s="563" customFormat="1"/>
    <row r="9647" s="563" customFormat="1"/>
    <row r="9648" s="563" customFormat="1"/>
    <row r="9649" s="563" customFormat="1"/>
    <row r="9650" s="563" customFormat="1"/>
    <row r="9651" s="563" customFormat="1"/>
    <row r="9652" s="563" customFormat="1"/>
    <row r="9653" s="563" customFormat="1"/>
    <row r="9654" s="563" customFormat="1"/>
    <row r="9655" s="563" customFormat="1"/>
    <row r="9656" s="563" customFormat="1"/>
    <row r="9657" s="563" customFormat="1"/>
    <row r="9658" s="563" customFormat="1"/>
    <row r="9659" s="563" customFormat="1"/>
    <row r="9660" s="563" customFormat="1"/>
    <row r="9661" s="563" customFormat="1"/>
    <row r="9662" s="563" customFormat="1"/>
    <row r="9663" s="563" customFormat="1"/>
    <row r="9664" s="563" customFormat="1"/>
    <row r="9665" s="563" customFormat="1"/>
    <row r="9666" s="563" customFormat="1"/>
    <row r="9667" s="563" customFormat="1"/>
    <row r="9668" s="563" customFormat="1"/>
    <row r="9669" s="563" customFormat="1"/>
    <row r="9670" s="563" customFormat="1"/>
    <row r="9671" s="563" customFormat="1"/>
    <row r="9672" s="563" customFormat="1"/>
    <row r="9673" s="563" customFormat="1"/>
    <row r="9674" s="563" customFormat="1"/>
    <row r="9675" s="563" customFormat="1"/>
    <row r="9676" s="563" customFormat="1"/>
    <row r="9677" s="563" customFormat="1"/>
    <row r="9678" s="563" customFormat="1"/>
    <row r="9679" s="563" customFormat="1"/>
    <row r="9680" s="563" customFormat="1"/>
    <row r="9681" s="563" customFormat="1"/>
    <row r="9682" s="563" customFormat="1"/>
    <row r="9683" s="563" customFormat="1"/>
    <row r="9684" s="563" customFormat="1"/>
    <row r="9685" s="563" customFormat="1"/>
    <row r="9686" s="563" customFormat="1"/>
    <row r="9687" s="563" customFormat="1"/>
    <row r="9688" s="563" customFormat="1"/>
    <row r="9689" s="563" customFormat="1"/>
    <row r="9690" s="563" customFormat="1"/>
    <row r="9691" s="563" customFormat="1"/>
    <row r="9692" s="563" customFormat="1"/>
    <row r="9693" s="563" customFormat="1"/>
    <row r="9694" s="563" customFormat="1"/>
    <row r="9695" s="563" customFormat="1"/>
    <row r="9696" s="563" customFormat="1"/>
    <row r="9697" s="563" customFormat="1"/>
    <row r="9698" s="563" customFormat="1"/>
    <row r="9699" s="563" customFormat="1"/>
    <row r="9700" s="563" customFormat="1"/>
    <row r="9701" s="563" customFormat="1"/>
    <row r="9702" s="563" customFormat="1"/>
    <row r="9703" s="563" customFormat="1"/>
    <row r="9704" s="563" customFormat="1"/>
    <row r="9705" s="563" customFormat="1"/>
    <row r="9706" s="563" customFormat="1"/>
    <row r="9707" s="563" customFormat="1"/>
    <row r="9708" s="563" customFormat="1"/>
    <row r="9709" s="563" customFormat="1"/>
    <row r="9710" s="563" customFormat="1"/>
    <row r="9711" s="563" customFormat="1"/>
    <row r="9712" s="563" customFormat="1"/>
    <row r="9713" s="563" customFormat="1"/>
    <row r="9714" s="563" customFormat="1"/>
    <row r="9715" s="563" customFormat="1"/>
    <row r="9716" s="563" customFormat="1"/>
    <row r="9717" s="563" customFormat="1"/>
    <row r="9718" s="563" customFormat="1"/>
    <row r="9719" s="563" customFormat="1"/>
    <row r="9720" s="563" customFormat="1"/>
    <row r="9721" s="563" customFormat="1"/>
    <row r="9722" s="563" customFormat="1"/>
    <row r="9723" s="563" customFormat="1"/>
    <row r="9724" s="563" customFormat="1"/>
    <row r="9725" s="563" customFormat="1"/>
    <row r="9726" s="563" customFormat="1"/>
    <row r="9727" s="563" customFormat="1"/>
    <row r="9728" s="563" customFormat="1"/>
    <row r="9729" s="563" customFormat="1"/>
    <row r="9730" s="563" customFormat="1"/>
    <row r="9731" s="563" customFormat="1"/>
    <row r="9732" s="563" customFormat="1"/>
    <row r="9733" s="563" customFormat="1"/>
    <row r="9734" s="563" customFormat="1"/>
    <row r="9735" s="563" customFormat="1"/>
    <row r="9736" s="563" customFormat="1"/>
    <row r="9737" s="563" customFormat="1"/>
    <row r="9738" s="563" customFormat="1"/>
    <row r="9739" s="563" customFormat="1"/>
    <row r="9740" s="563" customFormat="1"/>
    <row r="9741" s="563" customFormat="1"/>
    <row r="9742" s="563" customFormat="1"/>
    <row r="9743" s="563" customFormat="1"/>
    <row r="9744" s="563" customFormat="1"/>
    <row r="9745" s="563" customFormat="1"/>
    <row r="9746" s="563" customFormat="1"/>
    <row r="9747" s="563" customFormat="1"/>
    <row r="9748" s="563" customFormat="1"/>
    <row r="9749" s="563" customFormat="1"/>
    <row r="9750" s="563" customFormat="1"/>
    <row r="9751" s="563" customFormat="1"/>
    <row r="9752" s="563" customFormat="1"/>
    <row r="9753" s="563" customFormat="1"/>
    <row r="9754" s="563" customFormat="1"/>
    <row r="9755" s="563" customFormat="1"/>
    <row r="9756" s="563" customFormat="1"/>
    <row r="9757" s="563" customFormat="1"/>
    <row r="9758" s="563" customFormat="1"/>
    <row r="9759" s="563" customFormat="1"/>
    <row r="9760" s="563" customFormat="1"/>
    <row r="9761" s="563" customFormat="1"/>
    <row r="9762" s="563" customFormat="1"/>
    <row r="9763" s="563" customFormat="1"/>
    <row r="9764" s="563" customFormat="1"/>
    <row r="9765" s="563" customFormat="1"/>
    <row r="9766" s="563" customFormat="1"/>
    <row r="9767" s="563" customFormat="1"/>
    <row r="9768" s="563" customFormat="1"/>
    <row r="9769" s="563" customFormat="1"/>
    <row r="9770" s="563" customFormat="1"/>
    <row r="9771" s="563" customFormat="1"/>
    <row r="9772" s="563" customFormat="1"/>
    <row r="9773" s="563" customFormat="1"/>
    <row r="9774" s="563" customFormat="1"/>
    <row r="9775" s="563" customFormat="1"/>
    <row r="9776" s="563" customFormat="1"/>
    <row r="9777" s="563" customFormat="1"/>
    <row r="9778" s="563" customFormat="1"/>
    <row r="9779" s="563" customFormat="1"/>
    <row r="9780" s="563" customFormat="1"/>
    <row r="9781" s="563" customFormat="1"/>
    <row r="9782" s="563" customFormat="1"/>
    <row r="9783" s="563" customFormat="1"/>
    <row r="9784" s="563" customFormat="1"/>
    <row r="9785" s="563" customFormat="1"/>
    <row r="9786" s="563" customFormat="1"/>
    <row r="9787" s="563" customFormat="1"/>
    <row r="9788" s="563" customFormat="1"/>
    <row r="9789" s="563" customFormat="1"/>
    <row r="9790" s="563" customFormat="1"/>
    <row r="9791" s="563" customFormat="1"/>
    <row r="9792" s="563" customFormat="1"/>
    <row r="9793" s="563" customFormat="1"/>
    <row r="9794" s="563" customFormat="1"/>
    <row r="9795" s="563" customFormat="1"/>
    <row r="9796" s="563" customFormat="1"/>
    <row r="9797" s="563" customFormat="1"/>
    <row r="9798" s="563" customFormat="1"/>
    <row r="9799" s="563" customFormat="1"/>
    <row r="9800" s="563" customFormat="1"/>
    <row r="9801" s="563" customFormat="1"/>
    <row r="9802" s="563" customFormat="1"/>
    <row r="9803" s="563" customFormat="1"/>
    <row r="9804" s="563" customFormat="1"/>
    <row r="9805" s="563" customFormat="1"/>
    <row r="9806" s="563" customFormat="1"/>
    <row r="9807" s="563" customFormat="1"/>
    <row r="9808" s="563" customFormat="1"/>
    <row r="9809" s="563" customFormat="1"/>
    <row r="9810" s="563" customFormat="1"/>
    <row r="9811" s="563" customFormat="1"/>
    <row r="9812" s="563" customFormat="1"/>
    <row r="9813" s="563" customFormat="1"/>
    <row r="9814" s="563" customFormat="1"/>
    <row r="9815" s="563" customFormat="1"/>
    <row r="9816" s="563" customFormat="1"/>
    <row r="9817" s="563" customFormat="1"/>
    <row r="9818" s="563" customFormat="1"/>
    <row r="9819" s="563" customFormat="1"/>
    <row r="9820" s="563" customFormat="1"/>
    <row r="9821" s="563" customFormat="1"/>
    <row r="9822" s="563" customFormat="1"/>
    <row r="9823" s="563" customFormat="1"/>
    <row r="9824" s="563" customFormat="1"/>
    <row r="9825" s="563" customFormat="1"/>
    <row r="9826" s="563" customFormat="1"/>
    <row r="9827" s="563" customFormat="1"/>
    <row r="9828" s="563" customFormat="1"/>
    <row r="9829" s="563" customFormat="1"/>
    <row r="9830" s="563" customFormat="1"/>
    <row r="9831" s="563" customFormat="1"/>
    <row r="9832" s="563" customFormat="1"/>
    <row r="9833" s="563" customFormat="1"/>
    <row r="9834" s="563" customFormat="1"/>
    <row r="9835" s="563" customFormat="1"/>
    <row r="9836" s="563" customFormat="1"/>
    <row r="9837" s="563" customFormat="1"/>
    <row r="9838" s="563" customFormat="1"/>
    <row r="9839" s="563" customFormat="1"/>
    <row r="9840" s="563" customFormat="1"/>
    <row r="9841" s="563" customFormat="1"/>
    <row r="9842" s="563" customFormat="1"/>
    <row r="9843" s="563" customFormat="1"/>
    <row r="9844" s="563" customFormat="1"/>
    <row r="9845" s="563" customFormat="1"/>
    <row r="9846" s="563" customFormat="1"/>
    <row r="9847" s="563" customFormat="1"/>
    <row r="9848" s="563" customFormat="1"/>
    <row r="9849" s="563" customFormat="1"/>
    <row r="9850" s="563" customFormat="1"/>
    <row r="9851" s="563" customFormat="1"/>
    <row r="9852" s="563" customFormat="1"/>
    <row r="9853" s="563" customFormat="1"/>
    <row r="9854" s="563" customFormat="1"/>
    <row r="9855" s="563" customFormat="1"/>
    <row r="9856" s="563" customFormat="1"/>
    <row r="9857" s="563" customFormat="1"/>
    <row r="9858" s="563" customFormat="1"/>
    <row r="9859" s="563" customFormat="1"/>
    <row r="9860" s="563" customFormat="1"/>
    <row r="9861" s="563" customFormat="1"/>
    <row r="9862" s="563" customFormat="1"/>
    <row r="9863" s="563" customFormat="1"/>
    <row r="9864" s="563" customFormat="1"/>
    <row r="9865" s="563" customFormat="1"/>
    <row r="9866" s="563" customFormat="1"/>
    <row r="9867" s="563" customFormat="1"/>
    <row r="9868" s="563" customFormat="1"/>
    <row r="9869" s="563" customFormat="1"/>
    <row r="9870" s="563" customFormat="1"/>
    <row r="9871" s="563" customFormat="1"/>
    <row r="9872" s="563" customFormat="1"/>
    <row r="9873" s="563" customFormat="1"/>
    <row r="9874" s="563" customFormat="1"/>
    <row r="9875" s="563" customFormat="1"/>
    <row r="9876" s="563" customFormat="1"/>
    <row r="9877" s="563" customFormat="1"/>
    <row r="9878" s="563" customFormat="1"/>
    <row r="9879" s="563" customFormat="1"/>
    <row r="9880" s="563" customFormat="1"/>
    <row r="9881" s="563" customFormat="1"/>
    <row r="9882" s="563" customFormat="1"/>
    <row r="9883" s="563" customFormat="1"/>
    <row r="9884" s="563" customFormat="1"/>
  </sheetData>
  <mergeCells count="20">
    <mergeCell ref="C1:J1"/>
    <mergeCell ref="C3:J3"/>
    <mergeCell ref="B171:K171"/>
    <mergeCell ref="B26:M26"/>
    <mergeCell ref="C31:J31"/>
    <mergeCell ref="B82:K82"/>
    <mergeCell ref="B86:K86"/>
    <mergeCell ref="C5:J5"/>
    <mergeCell ref="B22:J22"/>
    <mergeCell ref="G10:I10"/>
    <mergeCell ref="C178:J178"/>
    <mergeCell ref="B125:K125"/>
    <mergeCell ref="B129:K129"/>
    <mergeCell ref="B81:K81"/>
    <mergeCell ref="C93:J93"/>
    <mergeCell ref="C138:J138"/>
    <mergeCell ref="B124:K124"/>
    <mergeCell ref="B170:K170"/>
    <mergeCell ref="B175:K175"/>
    <mergeCell ref="B89:J89"/>
  </mergeCells>
  <phoneticPr fontId="0" type="noConversion"/>
  <printOptions horizontalCentered="1"/>
  <pageMargins left="0.5" right="0" top="1" bottom="0.5" header="0.5" footer="0.5"/>
  <pageSetup scale="37" fitToHeight="0" orientation="landscape" r:id="rId1"/>
  <headerFooter alignWithMargins="0">
    <oddHeader>&amp;R&amp;14EXHIBIT NO. TRC-203
ATTACHMENT H-18A
Page &amp;P of &amp;N</oddHeader>
  </headerFooter>
  <rowBreaks count="3" manualBreakCount="3">
    <brk id="29" max="12" man="1"/>
    <brk id="86" max="12" man="1"/>
    <brk id="13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61"/>
    <pageSetUpPr fitToPage="1"/>
  </sheetPr>
  <dimension ref="A1:S91"/>
  <sheetViews>
    <sheetView view="pageBreakPreview" topLeftCell="A31" zoomScale="85" zoomScaleNormal="115" zoomScaleSheetLayoutView="85" workbookViewId="0">
      <selection activeCell="G59" sqref="G59"/>
    </sheetView>
  </sheetViews>
  <sheetFormatPr defaultRowHeight="13.2"/>
  <cols>
    <col min="1" max="2" width="4.6640625" customWidth="1"/>
    <col min="3" max="3" width="59.88671875" customWidth="1"/>
    <col min="4" max="4" width="20.109375" bestFit="1" customWidth="1"/>
    <col min="5" max="5" width="12.33203125" style="225" customWidth="1"/>
    <col min="6" max="6" width="15.33203125" customWidth="1"/>
    <col min="7" max="7" width="13.6640625" customWidth="1"/>
    <col min="8" max="8" width="31.5546875" customWidth="1"/>
    <col min="9" max="9" width="42.88671875" customWidth="1"/>
    <col min="10" max="10" width="30.6640625" customWidth="1"/>
  </cols>
  <sheetData>
    <row r="1" spans="1:13" ht="17.399999999999999">
      <c r="A1" s="2013" t="str">
        <f>'Appendix A'!A3</f>
        <v>Trans-Allegheny Interstate Line Company</v>
      </c>
      <c r="B1" s="2013"/>
      <c r="C1" s="2013"/>
      <c r="D1" s="2013"/>
      <c r="E1" s="2013"/>
      <c r="F1" s="2013"/>
      <c r="G1" s="2013"/>
      <c r="H1" s="2014"/>
    </row>
    <row r="2" spans="1:13">
      <c r="A2" s="227"/>
    </row>
    <row r="3" spans="1:13" ht="15.6">
      <c r="A3" s="2015" t="s">
        <v>408</v>
      </c>
      <c r="B3" s="2016"/>
      <c r="C3" s="2016"/>
      <c r="D3" s="2016"/>
      <c r="E3" s="2016"/>
      <c r="F3" s="2017"/>
      <c r="G3" s="2017"/>
      <c r="H3" s="2017"/>
    </row>
    <row r="4" spans="1:13">
      <c r="A4" s="404"/>
      <c r="B4" s="404"/>
      <c r="C4" s="404"/>
      <c r="D4" s="404"/>
      <c r="E4" s="598"/>
      <c r="F4" s="404"/>
      <c r="G4" s="404"/>
      <c r="H4" s="404"/>
    </row>
    <row r="5" spans="1:13">
      <c r="A5" s="404"/>
      <c r="B5" s="404"/>
      <c r="C5" s="404"/>
      <c r="D5" s="229"/>
      <c r="E5" s="598"/>
      <c r="F5" s="404"/>
      <c r="G5" s="404"/>
      <c r="H5" s="404"/>
    </row>
    <row r="6" spans="1:13">
      <c r="A6" s="404"/>
      <c r="B6" s="404"/>
      <c r="C6" s="404"/>
      <c r="D6" s="404"/>
      <c r="E6" s="598"/>
      <c r="F6" s="404"/>
      <c r="G6" s="404"/>
      <c r="H6" s="404"/>
      <c r="K6" s="227"/>
      <c r="L6" s="227"/>
      <c r="M6" s="227"/>
    </row>
    <row r="7" spans="1:13">
      <c r="A7" s="404"/>
      <c r="B7" s="404"/>
      <c r="C7" s="404"/>
      <c r="D7" s="447" t="s">
        <v>277</v>
      </c>
      <c r="F7" s="447"/>
      <c r="G7" s="447" t="s">
        <v>902</v>
      </c>
      <c r="H7" s="447"/>
    </row>
    <row r="8" spans="1:13">
      <c r="A8" s="566" t="s">
        <v>533</v>
      </c>
      <c r="B8" s="566"/>
      <c r="C8" s="404"/>
      <c r="D8" s="447" t="s">
        <v>278</v>
      </c>
      <c r="E8" s="476" t="s">
        <v>903</v>
      </c>
      <c r="F8" s="447" t="s">
        <v>628</v>
      </c>
      <c r="G8" s="447" t="s">
        <v>903</v>
      </c>
      <c r="H8" s="447"/>
    </row>
    <row r="9" spans="1:13">
      <c r="A9" s="566"/>
      <c r="B9" s="566"/>
      <c r="C9" s="404"/>
      <c r="D9" s="447"/>
      <c r="E9" s="599"/>
      <c r="F9" s="447"/>
      <c r="G9" s="447"/>
      <c r="H9" s="447"/>
    </row>
    <row r="10" spans="1:13">
      <c r="A10" s="404"/>
      <c r="B10" s="404"/>
      <c r="C10" s="404"/>
      <c r="D10" s="447"/>
      <c r="E10" s="599"/>
      <c r="F10" s="404"/>
      <c r="G10" s="447"/>
      <c r="H10" s="476"/>
    </row>
    <row r="11" spans="1:13">
      <c r="A11" s="531"/>
      <c r="B11" s="566" t="s">
        <v>896</v>
      </c>
      <c r="C11" s="404"/>
      <c r="D11" s="447"/>
      <c r="E11" s="600"/>
      <c r="F11" s="567" t="s">
        <v>511</v>
      </c>
      <c r="G11" s="447"/>
      <c r="H11" s="476"/>
    </row>
    <row r="12" spans="1:13">
      <c r="A12" s="531"/>
      <c r="B12" s="404"/>
      <c r="C12" s="404"/>
      <c r="D12" s="447"/>
      <c r="E12" s="600"/>
      <c r="F12" s="447"/>
      <c r="G12" s="447"/>
      <c r="H12" s="476"/>
      <c r="J12" s="404"/>
    </row>
    <row r="13" spans="1:13" ht="12.75" customHeight="1">
      <c r="A13" s="531">
        <v>1.1000000000000001</v>
      </c>
      <c r="B13" s="404"/>
      <c r="C13" s="601" t="s">
        <v>1290</v>
      </c>
      <c r="D13" s="601" t="s">
        <v>1304</v>
      </c>
      <c r="E13" s="1948">
        <v>5488279.7000000002</v>
      </c>
      <c r="F13" s="603">
        <v>1</v>
      </c>
      <c r="G13" s="524">
        <f t="shared" ref="G13:G18" si="0">F13*E13</f>
        <v>5488279.7000000002</v>
      </c>
      <c r="H13" s="602"/>
      <c r="I13" s="601"/>
      <c r="J13" s="601"/>
    </row>
    <row r="14" spans="1:13" ht="12.75" customHeight="1">
      <c r="A14" s="531">
        <f>A13+0.1</f>
        <v>1.2000000000000002</v>
      </c>
      <c r="B14" s="404"/>
      <c r="C14" s="601" t="s">
        <v>1305</v>
      </c>
      <c r="D14" s="601" t="s">
        <v>1306</v>
      </c>
      <c r="E14" s="1948">
        <v>5644783</v>
      </c>
      <c r="F14" s="603">
        <v>1</v>
      </c>
      <c r="G14" s="1027">
        <f t="shared" si="0"/>
        <v>5644783</v>
      </c>
      <c r="H14" s="602"/>
      <c r="I14" s="601"/>
      <c r="J14" s="601"/>
    </row>
    <row r="15" spans="1:13" ht="12.75" customHeight="1">
      <c r="A15" s="531">
        <f t="shared" ref="A15:A21" si="1">A14+0.1</f>
        <v>1.3000000000000003</v>
      </c>
      <c r="B15" s="404"/>
      <c r="C15" s="601" t="s">
        <v>1307</v>
      </c>
      <c r="D15" s="601" t="s">
        <v>1255</v>
      </c>
      <c r="E15" s="1948">
        <v>-1526</v>
      </c>
      <c r="F15" s="603">
        <v>1</v>
      </c>
      <c r="G15" s="1027">
        <f t="shared" si="0"/>
        <v>-1526</v>
      </c>
      <c r="H15" s="602"/>
      <c r="I15" s="601"/>
      <c r="J15" s="601"/>
    </row>
    <row r="16" spans="1:13" ht="12.75" customHeight="1">
      <c r="A16" s="531">
        <f t="shared" si="1"/>
        <v>1.4000000000000004</v>
      </c>
      <c r="B16" s="404"/>
      <c r="C16" s="601" t="s">
        <v>1308</v>
      </c>
      <c r="D16" s="601" t="s">
        <v>1309</v>
      </c>
      <c r="E16" s="1948">
        <v>33526</v>
      </c>
      <c r="F16" s="603">
        <v>1</v>
      </c>
      <c r="G16" s="1027">
        <f t="shared" si="0"/>
        <v>33526</v>
      </c>
      <c r="H16" s="602"/>
      <c r="I16" s="601"/>
      <c r="J16" s="601"/>
    </row>
    <row r="17" spans="1:10" ht="12.75" customHeight="1">
      <c r="A17" s="531">
        <f t="shared" si="1"/>
        <v>1.5000000000000004</v>
      </c>
      <c r="B17" s="404"/>
      <c r="C17" s="601" t="s">
        <v>1291</v>
      </c>
      <c r="D17" s="601" t="s">
        <v>1310</v>
      </c>
      <c r="E17" s="1948">
        <v>4749</v>
      </c>
      <c r="F17" s="603">
        <v>1</v>
      </c>
      <c r="G17" s="1027">
        <f t="shared" si="0"/>
        <v>4749</v>
      </c>
      <c r="H17" s="602"/>
      <c r="I17" s="601"/>
      <c r="J17" s="601"/>
    </row>
    <row r="18" spans="1:10" ht="12.75" customHeight="1">
      <c r="A18" s="531">
        <f t="shared" si="1"/>
        <v>1.6000000000000005</v>
      </c>
      <c r="B18" s="404"/>
      <c r="C18" s="601" t="s">
        <v>1311</v>
      </c>
      <c r="D18" s="601" t="s">
        <v>1292</v>
      </c>
      <c r="E18" s="1948">
        <v>5157</v>
      </c>
      <c r="F18" s="603">
        <v>1</v>
      </c>
      <c r="G18" s="1051">
        <f t="shared" si="0"/>
        <v>5157</v>
      </c>
      <c r="H18" s="602"/>
      <c r="I18" s="601"/>
      <c r="J18" s="601"/>
    </row>
    <row r="19" spans="1:10" ht="12.75" customHeight="1">
      <c r="A19" s="531">
        <f t="shared" si="1"/>
        <v>1.7000000000000006</v>
      </c>
      <c r="B19" s="598"/>
      <c r="C19" s="601" t="s">
        <v>1312</v>
      </c>
      <c r="D19" s="601" t="s">
        <v>1293</v>
      </c>
      <c r="E19" s="1948">
        <v>1686135</v>
      </c>
      <c r="F19" s="603">
        <v>1</v>
      </c>
      <c r="G19" s="1051">
        <f>E19</f>
        <v>1686135</v>
      </c>
      <c r="H19" s="602"/>
      <c r="I19" s="601"/>
      <c r="J19" s="601"/>
    </row>
    <row r="20" spans="1:10" ht="12.75" customHeight="1">
      <c r="A20" s="531">
        <f t="shared" si="1"/>
        <v>1.8000000000000007</v>
      </c>
      <c r="B20" s="598"/>
      <c r="C20" s="601" t="s">
        <v>1313</v>
      </c>
      <c r="D20" s="601" t="s">
        <v>1314</v>
      </c>
      <c r="E20" s="1948">
        <v>4730</v>
      </c>
      <c r="F20" s="603">
        <v>1</v>
      </c>
      <c r="G20" s="1051">
        <f t="shared" ref="G20:G22" si="2">E20</f>
        <v>4730</v>
      </c>
      <c r="H20" s="602"/>
      <c r="I20" s="601"/>
      <c r="J20" s="601"/>
    </row>
    <row r="21" spans="1:10" ht="12.75" customHeight="1">
      <c r="A21" s="531">
        <f t="shared" si="1"/>
        <v>1.9000000000000008</v>
      </c>
      <c r="B21" s="598"/>
      <c r="C21" s="601" t="s">
        <v>1315</v>
      </c>
      <c r="D21" s="601" t="s">
        <v>1316</v>
      </c>
      <c r="E21" s="1948">
        <v>731317</v>
      </c>
      <c r="F21" s="603">
        <v>1</v>
      </c>
      <c r="G21" s="1051">
        <f t="shared" si="2"/>
        <v>731317</v>
      </c>
      <c r="H21" s="602"/>
      <c r="I21" s="601"/>
      <c r="J21" s="601"/>
    </row>
    <row r="22" spans="1:10" ht="12.75" customHeight="1">
      <c r="A22" s="1916">
        <v>2</v>
      </c>
      <c r="B22" s="598"/>
      <c r="C22" s="601" t="s">
        <v>1317</v>
      </c>
      <c r="D22" s="601" t="s">
        <v>1318</v>
      </c>
      <c r="E22" s="1948">
        <v>777394</v>
      </c>
      <c r="F22" s="603">
        <v>1</v>
      </c>
      <c r="G22" s="1051">
        <f t="shared" si="2"/>
        <v>777394</v>
      </c>
      <c r="H22" s="602"/>
      <c r="I22" s="601"/>
      <c r="J22" s="601"/>
    </row>
    <row r="23" spans="1:10" ht="12.75" customHeight="1">
      <c r="A23" s="531"/>
      <c r="B23" s="598"/>
      <c r="C23" s="601"/>
      <c r="D23" s="601"/>
      <c r="E23" s="1948"/>
      <c r="F23" s="603"/>
      <c r="G23" s="1051"/>
      <c r="H23" s="602"/>
      <c r="I23" s="601"/>
      <c r="J23" s="601"/>
    </row>
    <row r="24" spans="1:10" ht="12.75" customHeight="1">
      <c r="A24" s="531"/>
      <c r="B24" s="598"/>
      <c r="C24" s="601"/>
      <c r="D24" s="601"/>
      <c r="E24" s="1948"/>
      <c r="F24" s="603"/>
      <c r="G24" s="1051"/>
      <c r="H24" s="602"/>
      <c r="I24" s="226"/>
      <c r="J24" s="601"/>
    </row>
    <row r="25" spans="1:10" ht="12.75" customHeight="1">
      <c r="A25" s="531"/>
      <c r="B25" s="404"/>
      <c r="C25" s="226"/>
      <c r="D25" s="601"/>
      <c r="E25" s="1716"/>
      <c r="F25" s="603"/>
      <c r="G25" s="1051"/>
      <c r="H25" s="602"/>
      <c r="I25" s="226"/>
      <c r="J25" s="601"/>
    </row>
    <row r="26" spans="1:10" ht="12.75" customHeight="1">
      <c r="A26" s="531"/>
      <c r="B26" s="404"/>
      <c r="C26" s="226"/>
      <c r="D26" s="601"/>
      <c r="E26" s="1716"/>
      <c r="F26" s="603"/>
      <c r="G26" s="1051"/>
      <c r="H26" s="602"/>
      <c r="I26" s="226"/>
      <c r="J26" s="601"/>
    </row>
    <row r="27" spans="1:10" ht="12.75" customHeight="1">
      <c r="A27" s="531"/>
      <c r="B27" s="404"/>
      <c r="C27" s="226"/>
      <c r="D27" s="601"/>
      <c r="E27" s="1716"/>
      <c r="F27" s="603"/>
      <c r="G27" s="1051"/>
      <c r="H27" s="602"/>
      <c r="I27" s="211"/>
      <c r="J27" s="211"/>
    </row>
    <row r="28" spans="1:10" ht="12.75" customHeight="1">
      <c r="A28" s="531"/>
      <c r="B28" s="404"/>
      <c r="C28" s="226"/>
      <c r="D28" s="601"/>
      <c r="E28" s="1716"/>
      <c r="F28" s="603"/>
      <c r="G28" s="1051"/>
      <c r="H28" s="602"/>
      <c r="I28" s="226"/>
      <c r="J28" s="601"/>
    </row>
    <row r="29" spans="1:10" ht="12.75" customHeight="1">
      <c r="A29" s="531"/>
      <c r="B29" s="404"/>
      <c r="C29" s="226"/>
      <c r="D29" s="601"/>
      <c r="E29" s="1716"/>
      <c r="F29" s="603"/>
      <c r="G29" s="1051"/>
      <c r="H29" s="602"/>
      <c r="I29" s="226"/>
      <c r="J29" s="601"/>
    </row>
    <row r="30" spans="1:10" ht="12.75" customHeight="1">
      <c r="A30" s="531"/>
      <c r="B30" s="404"/>
      <c r="C30" s="226"/>
      <c r="D30" s="601"/>
      <c r="E30" s="1917"/>
      <c r="F30" s="603"/>
      <c r="G30" s="1051"/>
      <c r="H30" s="602"/>
      <c r="I30" s="226"/>
      <c r="J30" s="601"/>
    </row>
    <row r="31" spans="1:10" ht="12.75" customHeight="1">
      <c r="A31" s="531"/>
      <c r="B31" s="404"/>
      <c r="C31" s="226"/>
      <c r="D31" s="601"/>
      <c r="E31" s="1717"/>
      <c r="F31" s="1335"/>
      <c r="G31" s="1336"/>
      <c r="H31" s="602"/>
    </row>
    <row r="32" spans="1:10" ht="12.75" customHeight="1">
      <c r="A32" s="531"/>
      <c r="B32" s="404"/>
      <c r="C32" s="226"/>
      <c r="D32" s="601"/>
      <c r="E32" s="1334"/>
      <c r="F32" s="1335"/>
      <c r="G32" s="1336"/>
      <c r="H32" s="602"/>
    </row>
    <row r="33" spans="1:8" ht="12.75" customHeight="1">
      <c r="A33" s="531"/>
      <c r="B33" s="404"/>
      <c r="C33" s="226"/>
      <c r="D33" s="601"/>
      <c r="E33" s="1332"/>
      <c r="F33" s="603"/>
      <c r="G33" s="1333"/>
      <c r="H33" s="602"/>
    </row>
    <row r="34" spans="1:8" ht="12.75" customHeight="1">
      <c r="A34" s="1949">
        <v>3</v>
      </c>
      <c r="B34" s="566" t="s">
        <v>899</v>
      </c>
      <c r="C34" s="404"/>
      <c r="D34" s="602"/>
      <c r="E34" s="1052">
        <f>SUM(E13:E33)</f>
        <v>14374544.699999999</v>
      </c>
      <c r="F34" s="603">
        <v>1</v>
      </c>
      <c r="G34" s="1052">
        <f>SUM(G13:G33)</f>
        <v>14374544.699999999</v>
      </c>
      <c r="H34" s="602"/>
    </row>
    <row r="35" spans="1:8" ht="12.75" customHeight="1">
      <c r="A35" s="531"/>
      <c r="B35" s="404"/>
      <c r="C35" s="404"/>
      <c r="D35" s="602"/>
      <c r="E35" s="1052"/>
      <c r="F35" s="602"/>
      <c r="G35" s="1028"/>
      <c r="H35" s="602"/>
    </row>
    <row r="36" spans="1:8" ht="12.75" customHeight="1">
      <c r="A36" s="531"/>
      <c r="B36" s="566" t="s">
        <v>897</v>
      </c>
      <c r="C36" s="404"/>
      <c r="D36" s="602"/>
      <c r="E36" s="1052"/>
      <c r="F36" s="1328" t="s">
        <v>612</v>
      </c>
      <c r="G36" s="1028"/>
      <c r="H36" s="602"/>
    </row>
    <row r="37" spans="1:8" ht="12.75" customHeight="1">
      <c r="A37" s="531"/>
      <c r="B37" s="404"/>
      <c r="C37" s="404"/>
      <c r="D37" s="602"/>
      <c r="E37" s="1052"/>
      <c r="F37" s="602"/>
      <c r="G37" s="1028"/>
      <c r="H37" s="602"/>
    </row>
    <row r="38" spans="1:8" ht="12.75" customHeight="1">
      <c r="A38" s="531">
        <f>A34+1</f>
        <v>4</v>
      </c>
      <c r="B38" s="404"/>
      <c r="C38" s="226" t="s">
        <v>491</v>
      </c>
      <c r="D38" s="601"/>
      <c r="E38" s="1716">
        <v>0</v>
      </c>
      <c r="F38" s="605"/>
      <c r="G38" s="1029"/>
      <c r="H38" s="605"/>
    </row>
    <row r="39" spans="1:8">
      <c r="A39" s="531">
        <f>A38+1</f>
        <v>5</v>
      </c>
      <c r="B39" s="404"/>
      <c r="C39" s="226" t="s">
        <v>1320</v>
      </c>
      <c r="D39" s="601"/>
      <c r="E39" s="1716">
        <v>300</v>
      </c>
      <c r="F39" s="404"/>
      <c r="G39" s="1027"/>
      <c r="H39" s="605"/>
    </row>
    <row r="40" spans="1:8">
      <c r="A40" s="531">
        <f>A39+1</f>
        <v>6</v>
      </c>
      <c r="B40" s="404"/>
      <c r="C40" s="226" t="s">
        <v>1321</v>
      </c>
      <c r="D40" s="601"/>
      <c r="E40" s="1716">
        <v>1591</v>
      </c>
      <c r="F40" s="404"/>
      <c r="G40" s="1027"/>
      <c r="H40" s="605"/>
    </row>
    <row r="41" spans="1:8">
      <c r="A41" s="531">
        <f>A40+1</f>
        <v>7</v>
      </c>
      <c r="B41" s="404"/>
      <c r="C41" s="226" t="s">
        <v>1294</v>
      </c>
      <c r="D41" s="601"/>
      <c r="E41" s="1716">
        <v>37403</v>
      </c>
      <c r="F41" s="404"/>
      <c r="G41" s="1027"/>
      <c r="H41" s="404"/>
    </row>
    <row r="42" spans="1:8">
      <c r="A42" s="531"/>
      <c r="B42" s="404"/>
      <c r="C42" s="226"/>
      <c r="D42" s="226"/>
      <c r="E42" s="1061"/>
      <c r="F42" s="404"/>
      <c r="G42" s="1030"/>
      <c r="H42" s="404"/>
    </row>
    <row r="43" spans="1:8">
      <c r="A43" s="531">
        <f>A41+1</f>
        <v>8</v>
      </c>
      <c r="B43" s="566" t="s">
        <v>900</v>
      </c>
      <c r="C43" s="404"/>
      <c r="D43" s="404"/>
      <c r="E43" s="1052">
        <f>SUM(E38:E42)</f>
        <v>39294</v>
      </c>
      <c r="F43" s="606">
        <v>1</v>
      </c>
      <c r="G43" s="996">
        <f>+F43*E43</f>
        <v>39294</v>
      </c>
      <c r="H43" s="404"/>
    </row>
    <row r="44" spans="1:8">
      <c r="A44" s="531"/>
      <c r="B44" s="566"/>
      <c r="C44" s="604"/>
      <c r="D44" s="404"/>
      <c r="E44" s="1057"/>
      <c r="F44" s="215"/>
      <c r="G44" s="1027"/>
      <c r="H44" s="404"/>
    </row>
    <row r="45" spans="1:8">
      <c r="A45" s="531"/>
      <c r="B45" s="404"/>
      <c r="C45" s="404"/>
      <c r="D45" s="404"/>
      <c r="E45" s="1057"/>
      <c r="F45" s="404"/>
      <c r="G45" s="1027"/>
      <c r="H45" s="404"/>
    </row>
    <row r="46" spans="1:8">
      <c r="A46" s="531"/>
      <c r="B46" s="566" t="s">
        <v>898</v>
      </c>
      <c r="C46" s="404"/>
      <c r="D46" s="404"/>
      <c r="E46" s="1057"/>
      <c r="F46" s="567" t="s">
        <v>511</v>
      </c>
      <c r="G46" s="1027"/>
      <c r="H46" s="404"/>
    </row>
    <row r="47" spans="1:8">
      <c r="A47" s="531"/>
      <c r="B47" s="404"/>
      <c r="C47" s="404"/>
      <c r="D47" s="404"/>
      <c r="E47" s="1057"/>
      <c r="F47" s="404"/>
      <c r="G47" s="1027"/>
      <c r="H47" s="404"/>
    </row>
    <row r="48" spans="1:8">
      <c r="A48" s="531">
        <f>A43+1</f>
        <v>9</v>
      </c>
      <c r="B48" s="404"/>
      <c r="C48" s="601" t="s">
        <v>1208</v>
      </c>
      <c r="D48" s="601" t="s">
        <v>1319</v>
      </c>
      <c r="E48" s="1058">
        <v>108</v>
      </c>
      <c r="F48" s="603">
        <v>1</v>
      </c>
      <c r="G48" s="1051">
        <f>E48</f>
        <v>108</v>
      </c>
      <c r="H48" s="404"/>
    </row>
    <row r="49" spans="1:19" ht="12.75" customHeight="1">
      <c r="A49" s="531">
        <f>A48+1</f>
        <v>10</v>
      </c>
      <c r="B49" s="404"/>
      <c r="C49" s="601"/>
      <c r="D49" s="601"/>
      <c r="E49" s="1058">
        <v>0</v>
      </c>
      <c r="F49" s="603"/>
      <c r="G49" s="1051">
        <f>E49</f>
        <v>0</v>
      </c>
      <c r="H49" s="404"/>
    </row>
    <row r="50" spans="1:19">
      <c r="A50" s="531">
        <f>A49+1</f>
        <v>11</v>
      </c>
      <c r="B50" s="404"/>
      <c r="C50" s="226"/>
      <c r="D50" s="601"/>
      <c r="E50" s="1058">
        <v>0</v>
      </c>
      <c r="F50" s="226"/>
      <c r="G50" s="1051">
        <f>E50</f>
        <v>0</v>
      </c>
      <c r="H50" s="404"/>
    </row>
    <row r="51" spans="1:19">
      <c r="A51" s="531"/>
      <c r="B51" s="404"/>
      <c r="C51" s="226"/>
      <c r="D51" s="226"/>
      <c r="E51" s="1061"/>
      <c r="F51" s="226"/>
      <c r="G51" s="1030"/>
      <c r="H51" s="404"/>
    </row>
    <row r="52" spans="1:19">
      <c r="A52" s="531">
        <f>A50+1</f>
        <v>12</v>
      </c>
      <c r="B52" s="566" t="s">
        <v>901</v>
      </c>
      <c r="C52" s="404"/>
      <c r="D52" s="404"/>
      <c r="E52" s="1052">
        <f>SUM(E48:E51)</f>
        <v>108</v>
      </c>
      <c r="F52" s="606">
        <v>1</v>
      </c>
      <c r="G52" s="1244">
        <f>F52*E52</f>
        <v>108</v>
      </c>
      <c r="H52" s="404"/>
    </row>
    <row r="53" spans="1:19">
      <c r="A53" s="531"/>
      <c r="B53" s="404"/>
      <c r="C53" s="404"/>
      <c r="D53" s="404"/>
      <c r="E53" s="1329"/>
      <c r="F53" s="404"/>
      <c r="G53" s="1027"/>
      <c r="H53" s="404"/>
    </row>
    <row r="54" spans="1:19" ht="17.25" customHeight="1" thickBot="1">
      <c r="A54" s="531">
        <f>A52+1</f>
        <v>13</v>
      </c>
      <c r="B54" s="566" t="s">
        <v>1209</v>
      </c>
      <c r="C54" s="404"/>
      <c r="D54" s="404"/>
      <c r="E54" s="1057">
        <f>E34+E43+E52</f>
        <v>14413946.699999999</v>
      </c>
      <c r="F54" s="404"/>
      <c r="G54" s="1031">
        <f>+G52+G43+G34</f>
        <v>14413946.699999999</v>
      </c>
      <c r="H54" s="404" t="str">
        <f>"Input to Appendix A, Line "&amp;'Appendix A'!A150&amp;""</f>
        <v>Input to Appendix A, Line 82</v>
      </c>
    </row>
    <row r="55" spans="1:19" ht="13.8" thickTop="1">
      <c r="A55" s="531"/>
      <c r="B55" s="404"/>
      <c r="C55" s="250"/>
      <c r="D55" s="404"/>
      <c r="E55" s="1057"/>
      <c r="F55" s="404"/>
      <c r="G55" s="404"/>
      <c r="H55" s="404"/>
    </row>
    <row r="56" spans="1:19">
      <c r="A56" s="531"/>
      <c r="B56" s="404"/>
      <c r="C56" s="250"/>
      <c r="D56" s="404"/>
      <c r="E56" s="1057"/>
      <c r="F56" s="607"/>
      <c r="G56" s="404"/>
      <c r="H56" s="404"/>
    </row>
    <row r="57" spans="1:19">
      <c r="A57" s="531"/>
      <c r="B57" s="566" t="s">
        <v>924</v>
      </c>
      <c r="C57" s="404"/>
      <c r="D57" s="404"/>
      <c r="E57" s="1057"/>
      <c r="F57" s="404"/>
      <c r="G57" s="1000"/>
      <c r="H57" s="404"/>
    </row>
    <row r="58" spans="1:19">
      <c r="A58" s="531"/>
      <c r="B58" s="404"/>
      <c r="C58" s="404"/>
      <c r="D58" s="404"/>
      <c r="E58" s="1057"/>
      <c r="F58" s="404"/>
      <c r="G58" s="485"/>
      <c r="H58" s="215"/>
      <c r="I58" s="2"/>
      <c r="J58" s="434"/>
    </row>
    <row r="59" spans="1:19">
      <c r="A59" s="531">
        <f>A54+1</f>
        <v>14</v>
      </c>
      <c r="B59" s="404"/>
      <c r="C59" s="226" t="s">
        <v>424</v>
      </c>
      <c r="D59" s="601" t="s">
        <v>425</v>
      </c>
      <c r="E59" s="1058">
        <v>10337733</v>
      </c>
      <c r="F59" s="215"/>
      <c r="G59" s="215"/>
      <c r="H59" s="250"/>
      <c r="I59" s="2"/>
      <c r="J59" s="434"/>
      <c r="K59" s="2"/>
      <c r="L59" s="2"/>
      <c r="M59" s="2"/>
      <c r="N59" s="2"/>
      <c r="O59" s="2"/>
      <c r="P59" s="2"/>
      <c r="Q59" s="2"/>
      <c r="R59" s="2"/>
      <c r="S59" s="2"/>
    </row>
    <row r="60" spans="1:19">
      <c r="A60" s="531">
        <f>A59+1</f>
        <v>15</v>
      </c>
      <c r="B60" s="404"/>
      <c r="C60" s="226" t="s">
        <v>301</v>
      </c>
      <c r="D60" s="601" t="s">
        <v>1322</v>
      </c>
      <c r="E60" s="1058">
        <v>204162</v>
      </c>
      <c r="F60" s="215"/>
      <c r="G60" s="215"/>
      <c r="H60" s="250"/>
      <c r="I60" s="2"/>
      <c r="J60" s="434"/>
      <c r="K60" s="2"/>
      <c r="L60" s="2"/>
      <c r="M60" s="2"/>
      <c r="N60" s="2"/>
      <c r="O60" s="2"/>
      <c r="P60" s="2"/>
      <c r="Q60" s="2"/>
      <c r="R60" s="2"/>
      <c r="S60" s="2"/>
    </row>
    <row r="61" spans="1:19">
      <c r="A61" s="531">
        <f>A60+1</f>
        <v>16</v>
      </c>
      <c r="B61" s="404"/>
      <c r="C61" s="226" t="s">
        <v>302</v>
      </c>
      <c r="D61" s="601" t="s">
        <v>1323</v>
      </c>
      <c r="E61" s="1058">
        <v>1510556</v>
      </c>
      <c r="F61" s="404"/>
      <c r="G61" s="215"/>
      <c r="H61" s="250"/>
      <c r="I61" s="2"/>
      <c r="J61" s="434"/>
      <c r="K61" s="2"/>
      <c r="L61" s="2"/>
      <c r="M61" s="2"/>
      <c r="N61" s="2"/>
      <c r="O61" s="2"/>
      <c r="P61" s="2"/>
      <c r="Q61" s="2"/>
      <c r="R61" s="2"/>
      <c r="S61" s="2"/>
    </row>
    <row r="62" spans="1:19">
      <c r="A62" s="531">
        <f>A61+1</f>
        <v>17</v>
      </c>
      <c r="B62" s="404"/>
      <c r="C62" s="226" t="s">
        <v>303</v>
      </c>
      <c r="D62" s="601" t="s">
        <v>1324</v>
      </c>
      <c r="E62" s="1058">
        <v>203969</v>
      </c>
      <c r="F62" s="404"/>
      <c r="G62" s="215"/>
      <c r="H62" s="250"/>
      <c r="I62" s="2"/>
      <c r="J62" s="434"/>
      <c r="K62" s="2"/>
      <c r="L62" s="2"/>
      <c r="M62" s="2"/>
      <c r="N62" s="2"/>
      <c r="O62" s="2"/>
      <c r="P62" s="2"/>
      <c r="Q62" s="2"/>
      <c r="R62" s="2"/>
      <c r="S62" s="2"/>
    </row>
    <row r="63" spans="1:19">
      <c r="A63" s="531">
        <f>A62+1</f>
        <v>18</v>
      </c>
      <c r="B63" s="404"/>
      <c r="C63" s="226" t="s">
        <v>304</v>
      </c>
      <c r="D63" s="601" t="s">
        <v>1325</v>
      </c>
      <c r="E63" s="1058">
        <v>4568872</v>
      </c>
      <c r="F63" s="404"/>
      <c r="G63" s="215"/>
      <c r="H63" s="250"/>
      <c r="I63" s="2"/>
      <c r="J63" s="434"/>
      <c r="K63" s="2"/>
      <c r="L63" s="2"/>
      <c r="M63" s="2"/>
      <c r="N63" s="2"/>
      <c r="O63" s="2"/>
      <c r="P63" s="2"/>
      <c r="Q63" s="2"/>
      <c r="R63" s="2"/>
      <c r="S63" s="2"/>
    </row>
    <row r="64" spans="1:19">
      <c r="A64" s="531"/>
      <c r="B64" s="404"/>
      <c r="C64" s="601"/>
      <c r="D64" s="601"/>
      <c r="E64" s="1058"/>
      <c r="F64" s="404"/>
      <c r="G64" s="215"/>
      <c r="H64" s="250"/>
      <c r="I64" s="2"/>
      <c r="J64" s="434"/>
      <c r="K64" s="2"/>
      <c r="L64" s="2"/>
      <c r="M64" s="2"/>
      <c r="N64" s="2"/>
      <c r="O64" s="2"/>
      <c r="P64" s="2"/>
      <c r="Q64" s="2"/>
      <c r="R64" s="2"/>
      <c r="S64" s="2"/>
    </row>
    <row r="65" spans="1:19">
      <c r="A65" s="531"/>
      <c r="B65" s="404"/>
      <c r="C65" s="226"/>
      <c r="D65" s="601"/>
      <c r="E65" s="1058"/>
      <c r="F65" s="404"/>
      <c r="G65" s="215"/>
      <c r="H65" s="250"/>
      <c r="I65" s="2"/>
      <c r="J65" s="434"/>
      <c r="K65" s="2"/>
      <c r="L65" s="2"/>
      <c r="M65" s="2"/>
      <c r="N65" s="2"/>
      <c r="O65" s="2"/>
      <c r="P65" s="2"/>
      <c r="Q65" s="2"/>
      <c r="R65" s="2"/>
      <c r="S65" s="2"/>
    </row>
    <row r="66" spans="1:19">
      <c r="A66" s="531"/>
      <c r="B66" s="404"/>
      <c r="C66" s="226"/>
      <c r="D66" s="226"/>
      <c r="E66" s="1058"/>
      <c r="F66" s="404"/>
      <c r="G66" s="404"/>
      <c r="H66" s="404"/>
    </row>
    <row r="67" spans="1:19">
      <c r="A67" s="531"/>
      <c r="B67" s="404"/>
      <c r="C67" s="226"/>
      <c r="D67" s="226"/>
      <c r="E67" s="1058"/>
      <c r="F67" s="404"/>
      <c r="G67" s="404"/>
      <c r="H67" s="404"/>
    </row>
    <row r="68" spans="1:19">
      <c r="A68" s="531"/>
      <c r="B68" s="404"/>
      <c r="C68" s="226"/>
      <c r="D68" s="601"/>
      <c r="E68" s="1330"/>
      <c r="F68" s="404"/>
      <c r="G68" s="404"/>
      <c r="H68" s="404"/>
    </row>
    <row r="69" spans="1:19">
      <c r="A69" s="531">
        <f>A63+1</f>
        <v>19</v>
      </c>
      <c r="B69" s="404"/>
      <c r="C69" s="485" t="s">
        <v>566</v>
      </c>
      <c r="D69" s="215"/>
      <c r="E69" s="1059">
        <f>SUM(E59:E68)</f>
        <v>16825292</v>
      </c>
      <c r="F69" s="404"/>
      <c r="G69" s="404"/>
      <c r="H69" s="404"/>
    </row>
    <row r="70" spans="1:19">
      <c r="A70" s="531"/>
      <c r="B70" s="404"/>
      <c r="C70" s="215"/>
      <c r="D70" s="215"/>
      <c r="E70" s="1059"/>
      <c r="F70" s="404"/>
      <c r="G70" s="404"/>
      <c r="H70" s="404"/>
    </row>
    <row r="71" spans="1:19">
      <c r="A71" s="531">
        <f>A69+1</f>
        <v>20</v>
      </c>
      <c r="B71" s="485" t="s">
        <v>1210</v>
      </c>
      <c r="C71" s="486"/>
      <c r="D71" s="215"/>
      <c r="E71" s="1060">
        <f>E69+E54</f>
        <v>31239238.699999999</v>
      </c>
      <c r="F71" s="404"/>
      <c r="G71" s="404"/>
      <c r="H71" s="1367"/>
    </row>
    <row r="72" spans="1:19">
      <c r="A72" s="531"/>
      <c r="B72" s="215"/>
      <c r="C72" s="487"/>
      <c r="D72" s="215"/>
      <c r="E72" s="1059"/>
      <c r="F72" s="215"/>
      <c r="G72" s="404"/>
      <c r="H72" s="404"/>
    </row>
    <row r="73" spans="1:19">
      <c r="A73" s="531">
        <f>A71+1</f>
        <v>21</v>
      </c>
      <c r="B73" s="485" t="s">
        <v>571</v>
      </c>
      <c r="C73" s="486"/>
      <c r="D73" s="1331"/>
      <c r="E73" s="1061">
        <v>14413947</v>
      </c>
      <c r="F73" s="608"/>
      <c r="G73" s="608"/>
      <c r="H73" s="433"/>
    </row>
    <row r="74" spans="1:19">
      <c r="A74" s="404"/>
      <c r="B74" s="215"/>
      <c r="C74" s="464"/>
      <c r="D74" s="464"/>
      <c r="E74" s="1059"/>
      <c r="F74" s="608"/>
      <c r="G74" s="608"/>
      <c r="H74" s="433"/>
    </row>
    <row r="75" spans="1:19">
      <c r="A75" s="531">
        <f>A73+1</f>
        <v>22</v>
      </c>
      <c r="B75" s="215"/>
      <c r="C75" s="1331" t="str">
        <f>"Difference  (Line "&amp;A71&amp;" - Line "&amp;A73&amp;")"</f>
        <v>Difference  (Line 20 - Line 21)</v>
      </c>
      <c r="D75" s="464"/>
      <c r="E75" s="1059">
        <f>+E71-E73</f>
        <v>16825291.699999999</v>
      </c>
      <c r="F75" s="608"/>
      <c r="G75" s="608"/>
      <c r="H75" s="433"/>
    </row>
    <row r="76" spans="1:19">
      <c r="A76" s="531"/>
      <c r="B76" s="215"/>
      <c r="C76" s="464"/>
      <c r="D76" s="464"/>
      <c r="E76" s="1059"/>
      <c r="F76" s="608"/>
      <c r="G76" s="608"/>
      <c r="H76" s="433"/>
    </row>
    <row r="77" spans="1:19">
      <c r="B77" s="2"/>
      <c r="C77" s="394"/>
      <c r="D77" s="464"/>
      <c r="E77" s="1063"/>
      <c r="F77" s="432"/>
      <c r="G77" s="432"/>
      <c r="H77" s="433"/>
    </row>
    <row r="78" spans="1:19">
      <c r="B78" s="2" t="s">
        <v>611</v>
      </c>
      <c r="C78" s="215"/>
      <c r="D78" s="2"/>
      <c r="E78" s="1064"/>
      <c r="F78" s="396"/>
      <c r="G78" s="396"/>
      <c r="H78" s="396"/>
    </row>
    <row r="79" spans="1:19">
      <c r="B79" s="2" t="s">
        <v>527</v>
      </c>
      <c r="C79" s="215" t="s">
        <v>481</v>
      </c>
      <c r="D79" s="2"/>
      <c r="E79" s="1064"/>
      <c r="F79" s="396"/>
      <c r="G79" s="396"/>
      <c r="H79" s="396"/>
    </row>
    <row r="80" spans="1:19">
      <c r="B80" s="2"/>
      <c r="C80" s="446" t="s">
        <v>870</v>
      </c>
      <c r="D80" s="2"/>
      <c r="E80" s="1064"/>
      <c r="F80" s="2"/>
      <c r="G80" s="396"/>
      <c r="H80" s="396"/>
    </row>
    <row r="81" spans="1:8">
      <c r="B81" s="2" t="s">
        <v>604</v>
      </c>
      <c r="C81" s="215" t="s">
        <v>482</v>
      </c>
      <c r="D81" s="2"/>
      <c r="E81" s="1064"/>
      <c r="F81" s="2"/>
      <c r="G81" s="396"/>
      <c r="H81" s="396"/>
    </row>
    <row r="82" spans="1:8">
      <c r="B82" s="2"/>
      <c r="C82" s="446" t="s">
        <v>870</v>
      </c>
      <c r="D82" s="2"/>
      <c r="E82" s="1064"/>
      <c r="F82" s="2"/>
      <c r="G82" s="396"/>
      <c r="H82" s="396"/>
    </row>
    <row r="83" spans="1:8">
      <c r="B83" s="2" t="s">
        <v>510</v>
      </c>
      <c r="C83" s="215" t="s">
        <v>869</v>
      </c>
      <c r="D83" s="2"/>
      <c r="E83" s="1064"/>
      <c r="F83" s="2"/>
      <c r="G83" s="396"/>
      <c r="H83" s="396"/>
    </row>
    <row r="84" spans="1:8">
      <c r="B84" s="2" t="s">
        <v>528</v>
      </c>
      <c r="C84" s="446" t="s">
        <v>652</v>
      </c>
      <c r="D84" s="2"/>
      <c r="E84" s="395"/>
      <c r="F84" s="2"/>
      <c r="G84" s="396"/>
      <c r="H84" s="215"/>
    </row>
    <row r="85" spans="1:8">
      <c r="B85" s="2"/>
      <c r="C85" s="215" t="s">
        <v>653</v>
      </c>
      <c r="D85" s="2"/>
      <c r="E85" s="395"/>
      <c r="F85" s="2"/>
      <c r="G85" s="2"/>
      <c r="H85" s="2"/>
    </row>
    <row r="86" spans="1:8">
      <c r="B86" s="2"/>
      <c r="C86" s="2" t="s">
        <v>683</v>
      </c>
      <c r="D86" s="2"/>
      <c r="E86" s="434"/>
      <c r="F86" s="2"/>
      <c r="H86" s="2"/>
    </row>
    <row r="87" spans="1:8">
      <c r="B87" s="2" t="s">
        <v>526</v>
      </c>
      <c r="C87" s="215" t="s">
        <v>690</v>
      </c>
    </row>
    <row r="88" spans="1:8">
      <c r="C88" s="2"/>
    </row>
    <row r="89" spans="1:8">
      <c r="C89" s="2"/>
    </row>
    <row r="90" spans="1:8">
      <c r="A90" s="2"/>
    </row>
    <row r="91" spans="1:8">
      <c r="C91" s="2"/>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s>
  <mergeCells count="2">
    <mergeCell ref="A1:H1"/>
    <mergeCell ref="A3:H3"/>
  </mergeCells>
  <phoneticPr fontId="0" type="noConversion"/>
  <pageMargins left="0.53" right="0.08" top="0.88" bottom="0.56000000000000005" header="0.28999999999999998" footer="0.5"/>
  <pageSetup scale="61" orientation="portrait" r:id="rId9"/>
  <headerFooter alignWithMargins="0">
    <oddHeader>&amp;R&amp;12EXHIBIT NO. TRC-203
ATTACHMENT H-18A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9"/>
    <pageSetUpPr fitToPage="1"/>
  </sheetPr>
  <dimension ref="A1:M51"/>
  <sheetViews>
    <sheetView view="pageBreakPreview" zoomScale="85" zoomScaleNormal="115" zoomScaleSheetLayoutView="85" workbookViewId="0">
      <selection activeCell="C10" sqref="C10"/>
    </sheetView>
  </sheetViews>
  <sheetFormatPr defaultRowHeight="13.2"/>
  <cols>
    <col min="1" max="1" width="4.109375" style="212" customWidth="1"/>
    <col min="2" max="2" width="76.88671875" customWidth="1"/>
    <col min="3" max="3" width="18.88671875" bestFit="1" customWidth="1"/>
    <col min="4" max="4" width="14" style="406" bestFit="1" customWidth="1"/>
    <col min="5" max="5" width="25.33203125" customWidth="1"/>
    <col min="6" max="6" width="30.109375" customWidth="1"/>
  </cols>
  <sheetData>
    <row r="1" spans="1:13" ht="17.399999999999999">
      <c r="A1" s="2013" t="str">
        <f>+'Appendix A'!A3</f>
        <v>Trans-Allegheny Interstate Line Company</v>
      </c>
      <c r="B1" s="2013"/>
      <c r="C1" s="2013"/>
      <c r="D1" s="2013"/>
    </row>
    <row r="2" spans="1:13">
      <c r="A2" s="472"/>
    </row>
    <row r="3" spans="1:13" ht="15.6">
      <c r="A3" s="2018" t="s">
        <v>409</v>
      </c>
      <c r="B3" s="2019"/>
      <c r="C3" s="2019"/>
      <c r="D3" s="2019"/>
      <c r="E3" s="447" t="s">
        <v>277</v>
      </c>
    </row>
    <row r="4" spans="1:13">
      <c r="B4" s="138"/>
      <c r="C4" s="212"/>
      <c r="D4" s="719" t="s">
        <v>903</v>
      </c>
      <c r="E4" s="447" t="s">
        <v>278</v>
      </c>
      <c r="H4" s="227"/>
      <c r="I4" s="227"/>
      <c r="J4" s="227"/>
      <c r="K4" s="227"/>
      <c r="L4" s="227"/>
      <c r="M4" s="227"/>
    </row>
    <row r="5" spans="1:13">
      <c r="B5" s="397"/>
      <c r="C5" s="212"/>
      <c r="E5" s="212"/>
      <c r="H5" s="227"/>
      <c r="I5" s="227"/>
      <c r="J5" s="227"/>
      <c r="K5" s="227"/>
      <c r="L5" s="227"/>
      <c r="M5" s="227"/>
    </row>
    <row r="6" spans="1:13">
      <c r="B6" s="398" t="s">
        <v>403</v>
      </c>
      <c r="H6" s="227"/>
      <c r="I6" s="227"/>
      <c r="J6" s="227"/>
      <c r="K6" s="227"/>
      <c r="L6" s="227"/>
      <c r="M6" s="227"/>
    </row>
    <row r="7" spans="1:13" ht="26.4">
      <c r="A7" s="212">
        <v>1</v>
      </c>
      <c r="B7" s="399" t="s">
        <v>979</v>
      </c>
      <c r="C7" s="403"/>
      <c r="D7" s="1718">
        <v>0</v>
      </c>
      <c r="E7" s="1719" t="s">
        <v>534</v>
      </c>
      <c r="F7" s="445"/>
      <c r="G7" s="213"/>
    </row>
    <row r="8" spans="1:13" s="400" customFormat="1">
      <c r="A8" s="531">
        <v>2</v>
      </c>
      <c r="B8" s="405" t="s">
        <v>404</v>
      </c>
      <c r="C8" s="404" t="s">
        <v>871</v>
      </c>
      <c r="D8" s="1718">
        <f>SUM(D7)</f>
        <v>0</v>
      </c>
      <c r="E8" s="226"/>
      <c r="G8" s="401"/>
    </row>
    <row r="9" spans="1:13">
      <c r="B9" s="217"/>
      <c r="C9" s="217"/>
      <c r="D9" s="1173"/>
      <c r="E9" s="404"/>
      <c r="G9" s="217"/>
    </row>
    <row r="10" spans="1:13">
      <c r="A10" s="484"/>
      <c r="B10" s="398" t="s">
        <v>981</v>
      </c>
      <c r="C10" s="217"/>
      <c r="D10" s="1720"/>
      <c r="E10" s="404"/>
      <c r="G10" s="218"/>
    </row>
    <row r="11" spans="1:13">
      <c r="A11" s="484"/>
      <c r="B11" s="402"/>
      <c r="C11" s="214"/>
      <c r="D11" s="1721"/>
      <c r="E11" s="404"/>
      <c r="G11" s="214"/>
    </row>
    <row r="12" spans="1:13">
      <c r="A12" s="484">
        <f>+A8+1</f>
        <v>3</v>
      </c>
      <c r="B12" s="399" t="s">
        <v>532</v>
      </c>
      <c r="C12" s="213"/>
      <c r="D12" s="1718">
        <v>0</v>
      </c>
      <c r="E12" s="226"/>
      <c r="F12" s="2"/>
      <c r="G12" s="213"/>
    </row>
    <row r="13" spans="1:13" ht="39.6">
      <c r="A13" s="482">
        <f t="shared" ref="A13:A19" si="0">+A12+1</f>
        <v>4</v>
      </c>
      <c r="B13" s="213" t="s">
        <v>982</v>
      </c>
      <c r="C13" s="213"/>
      <c r="D13" s="1718">
        <v>0</v>
      </c>
      <c r="E13" s="226"/>
      <c r="G13" s="213"/>
    </row>
    <row r="14" spans="1:13" ht="39.6">
      <c r="A14" s="484">
        <f t="shared" si="0"/>
        <v>5</v>
      </c>
      <c r="B14" s="217" t="s">
        <v>873</v>
      </c>
      <c r="C14" s="213"/>
      <c r="D14" s="407">
        <v>1670301</v>
      </c>
      <c r="E14" s="1165" t="s">
        <v>188</v>
      </c>
      <c r="F14" s="404"/>
      <c r="G14" s="213"/>
    </row>
    <row r="15" spans="1:13">
      <c r="A15" s="212">
        <f t="shared" si="0"/>
        <v>6</v>
      </c>
      <c r="B15" s="217" t="s">
        <v>983</v>
      </c>
      <c r="C15" s="214"/>
      <c r="D15" s="409"/>
      <c r="E15" s="211"/>
      <c r="G15" s="214"/>
    </row>
    <row r="16" spans="1:13">
      <c r="A16" s="212">
        <f t="shared" si="0"/>
        <v>7</v>
      </c>
      <c r="B16" s="217" t="s">
        <v>984</v>
      </c>
      <c r="C16" s="213"/>
      <c r="D16" s="408"/>
      <c r="E16" s="211"/>
      <c r="G16" s="213"/>
    </row>
    <row r="17" spans="1:7">
      <c r="A17" s="212">
        <f t="shared" si="0"/>
        <v>8</v>
      </c>
      <c r="B17" s="217" t="s">
        <v>985</v>
      </c>
      <c r="C17" s="403"/>
      <c r="D17" s="407">
        <v>0</v>
      </c>
      <c r="E17" s="211"/>
      <c r="G17" s="218"/>
    </row>
    <row r="18" spans="1:7">
      <c r="A18" s="212">
        <f t="shared" si="0"/>
        <v>9</v>
      </c>
      <c r="B18" s="217" t="s">
        <v>986</v>
      </c>
      <c r="C18" s="215"/>
      <c r="D18" s="407"/>
      <c r="E18" s="211"/>
    </row>
    <row r="19" spans="1:7">
      <c r="A19" s="212">
        <f t="shared" si="0"/>
        <v>10</v>
      </c>
      <c r="B19" s="217" t="s">
        <v>988</v>
      </c>
      <c r="C19" s="215"/>
      <c r="D19" s="407">
        <v>0</v>
      </c>
      <c r="E19" s="211"/>
    </row>
    <row r="20" spans="1:7">
      <c r="B20" s="217"/>
      <c r="C20" s="215"/>
      <c r="D20" s="407"/>
      <c r="E20" s="211"/>
    </row>
    <row r="21" spans="1:7">
      <c r="A21" s="212">
        <f>+A19+1</f>
        <v>11</v>
      </c>
      <c r="B21" s="217" t="s">
        <v>485</v>
      </c>
      <c r="C21" s="404" t="s">
        <v>431</v>
      </c>
      <c r="D21" s="410">
        <f>SUM(D12:D19)+D8</f>
        <v>1670301</v>
      </c>
      <c r="E21" s="211"/>
    </row>
    <row r="22" spans="1:7">
      <c r="A22" s="532">
        <v>12</v>
      </c>
      <c r="B22" s="533" t="s">
        <v>790</v>
      </c>
      <c r="C22" s="215"/>
      <c r="D22" s="534">
        <f>D33</f>
        <v>0</v>
      </c>
      <c r="E22" s="2"/>
    </row>
    <row r="23" spans="1:7" ht="13.8" thickBot="1">
      <c r="A23" s="535">
        <v>13</v>
      </c>
      <c r="B23" s="536" t="s">
        <v>437</v>
      </c>
      <c r="C23" s="215" t="s">
        <v>850</v>
      </c>
      <c r="D23" s="838">
        <f>D21-D22</f>
        <v>1670301</v>
      </c>
      <c r="E23" s="443" t="str">
        <f>"Input to Appendix A, Line "&amp;'Appendix A'!A228&amp;""</f>
        <v>Input to Appendix A, Line 131</v>
      </c>
    </row>
    <row r="24" spans="1:7" ht="13.8" thickTop="1">
      <c r="A24" s="537"/>
      <c r="B24" s="405"/>
      <c r="C24" s="538"/>
      <c r="D24" s="466"/>
      <c r="E24" s="2"/>
    </row>
    <row r="25" spans="1:7">
      <c r="A25" s="532"/>
      <c r="B25" s="539" t="s">
        <v>405</v>
      </c>
      <c r="C25" s="538"/>
      <c r="D25" s="437"/>
      <c r="E25" s="2"/>
    </row>
    <row r="26" spans="1:7">
      <c r="A26" s="535"/>
      <c r="B26" s="539"/>
      <c r="C26" s="538"/>
      <c r="D26" s="437"/>
      <c r="E26" s="2"/>
    </row>
    <row r="27" spans="1:7" ht="26.4">
      <c r="A27" s="541" t="s">
        <v>705</v>
      </c>
      <c r="B27" s="529" t="s">
        <v>712</v>
      </c>
      <c r="C27" s="538"/>
      <c r="D27" s="545">
        <f>D8</f>
        <v>0</v>
      </c>
      <c r="E27" s="2"/>
      <c r="F27" s="404"/>
    </row>
    <row r="28" spans="1:7">
      <c r="A28" s="541" t="s">
        <v>706</v>
      </c>
      <c r="B28" s="529" t="s">
        <v>713</v>
      </c>
      <c r="C28" s="538"/>
      <c r="D28" s="545">
        <f>'Appendix A'!H197*D27</f>
        <v>0</v>
      </c>
      <c r="E28" s="2"/>
    </row>
    <row r="29" spans="1:7">
      <c r="A29" s="541" t="s">
        <v>707</v>
      </c>
      <c r="B29" s="529" t="s">
        <v>714</v>
      </c>
      <c r="C29" s="538"/>
      <c r="D29" s="437">
        <f>+D27-D28</f>
        <v>0</v>
      </c>
      <c r="E29" s="2"/>
    </row>
    <row r="30" spans="1:7">
      <c r="A30" s="541" t="s">
        <v>708</v>
      </c>
      <c r="B30" s="529" t="s">
        <v>852</v>
      </c>
      <c r="C30" s="538"/>
      <c r="D30" s="437">
        <f>+D29/2</f>
        <v>0</v>
      </c>
      <c r="E30" s="2"/>
    </row>
    <row r="31" spans="1:7" ht="39.6">
      <c r="A31" s="541" t="s">
        <v>709</v>
      </c>
      <c r="B31" s="529" t="s">
        <v>788</v>
      </c>
      <c r="C31" s="538"/>
      <c r="D31" s="545">
        <v>0</v>
      </c>
      <c r="E31" s="2"/>
    </row>
    <row r="32" spans="1:7">
      <c r="A32" s="541" t="s">
        <v>710</v>
      </c>
      <c r="B32" s="536" t="s">
        <v>789</v>
      </c>
      <c r="C32" s="538"/>
      <c r="D32" s="437">
        <f>+D30+D31</f>
        <v>0</v>
      </c>
      <c r="E32" s="2"/>
    </row>
    <row r="33" spans="1:7">
      <c r="A33" s="541" t="s">
        <v>711</v>
      </c>
      <c r="B33" s="536" t="s">
        <v>853</v>
      </c>
      <c r="C33" s="538"/>
      <c r="D33" s="437">
        <f>+D27-D32</f>
        <v>0</v>
      </c>
      <c r="E33" s="2"/>
    </row>
    <row r="34" spans="1:7">
      <c r="A34" s="535"/>
      <c r="B34" s="539"/>
      <c r="C34" s="538"/>
      <c r="D34" s="437"/>
      <c r="E34" s="2"/>
    </row>
    <row r="35" spans="1:7">
      <c r="A35" s="535">
        <v>15</v>
      </c>
      <c r="B35" s="467" t="s">
        <v>502</v>
      </c>
      <c r="C35" s="538"/>
      <c r="D35" s="767">
        <f>D13</f>
        <v>0</v>
      </c>
      <c r="E35" s="2" t="s">
        <v>525</v>
      </c>
    </row>
    <row r="36" spans="1:7">
      <c r="A36" s="535"/>
      <c r="B36" s="467"/>
      <c r="C36" s="538"/>
      <c r="D36" s="437"/>
      <c r="E36" s="2"/>
    </row>
    <row r="37" spans="1:7">
      <c r="A37" s="535">
        <v>16</v>
      </c>
      <c r="B37" s="215" t="s">
        <v>501</v>
      </c>
      <c r="C37" s="538"/>
      <c r="D37" s="545">
        <f>D32+D14</f>
        <v>1670301</v>
      </c>
      <c r="E37" s="2"/>
    </row>
    <row r="38" spans="1:7">
      <c r="A38" s="535"/>
      <c r="B38" s="467"/>
      <c r="C38" s="538"/>
      <c r="D38" s="540"/>
      <c r="E38" s="2"/>
    </row>
    <row r="39" spans="1:7" ht="52.8">
      <c r="A39" s="542">
        <v>17</v>
      </c>
      <c r="B39" s="528" t="s">
        <v>617</v>
      </c>
      <c r="C39" s="538"/>
      <c r="D39" s="540"/>
      <c r="E39" s="443"/>
    </row>
    <row r="40" spans="1:7">
      <c r="A40" s="542"/>
      <c r="B40" s="403"/>
      <c r="C40" s="538"/>
      <c r="D40" s="540"/>
      <c r="E40" s="2"/>
    </row>
    <row r="41" spans="1:7" ht="52.8">
      <c r="A41" s="542">
        <v>18</v>
      </c>
      <c r="B41" s="528" t="s">
        <v>872</v>
      </c>
      <c r="C41" s="227"/>
      <c r="D41" s="466"/>
      <c r="E41" s="2"/>
    </row>
    <row r="42" spans="1:7">
      <c r="A42" s="542"/>
      <c r="B42" s="403"/>
      <c r="C42" s="538"/>
      <c r="D42" s="543"/>
      <c r="E42" s="2"/>
    </row>
    <row r="43" spans="1:7" ht="158.4">
      <c r="A43" s="542">
        <v>19</v>
      </c>
      <c r="B43" s="529" t="s">
        <v>864</v>
      </c>
      <c r="C43" s="538"/>
      <c r="D43" s="543"/>
      <c r="E43" s="435"/>
    </row>
    <row r="44" spans="1:7">
      <c r="A44" s="531"/>
      <c r="B44" s="404"/>
      <c r="C44" s="538"/>
      <c r="D44" s="543"/>
      <c r="E44" s="2"/>
      <c r="F44" s="2"/>
      <c r="G44" s="2"/>
    </row>
    <row r="45" spans="1:7" ht="66">
      <c r="A45" s="542">
        <v>20</v>
      </c>
      <c r="B45" s="528" t="s">
        <v>279</v>
      </c>
      <c r="C45" s="544"/>
      <c r="D45" s="466"/>
      <c r="E45" s="444"/>
    </row>
    <row r="46" spans="1:7">
      <c r="D46" s="411"/>
      <c r="E46" s="2"/>
    </row>
    <row r="47" spans="1:7">
      <c r="D47" s="411"/>
      <c r="E47" s="436"/>
    </row>
    <row r="48" spans="1:7">
      <c r="D48" s="412"/>
      <c r="E48" s="212"/>
    </row>
    <row r="49" spans="3:7">
      <c r="C49" s="215"/>
      <c r="D49" s="530"/>
      <c r="E49" s="437"/>
      <c r="F49" s="400"/>
      <c r="G49" s="400"/>
    </row>
    <row r="50" spans="3:7">
      <c r="D50" s="411"/>
    </row>
    <row r="51" spans="3:7">
      <c r="D51" s="411"/>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25" top="0.83" bottom="0.75" header="0.33" footer="0.5"/>
  <pageSetup scale="71" orientation="portrait" r:id="rId9"/>
  <headerFooter alignWithMargins="0">
    <oddHeader>&amp;R&amp;12EXHIBIT NO. TRC-203
ATTACHMENT H-18A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K2241"/>
  <sheetViews>
    <sheetView view="pageBreakPreview" zoomScale="60" zoomScaleNormal="75" workbookViewId="0">
      <selection activeCell="A4" sqref="A4"/>
    </sheetView>
  </sheetViews>
  <sheetFormatPr defaultRowHeight="13.2"/>
  <cols>
    <col min="1" max="1" width="9.33203125" customWidth="1"/>
    <col min="2" max="2" width="3" customWidth="1"/>
    <col min="3" max="3" width="8.109375" customWidth="1"/>
    <col min="4" max="4" width="43" customWidth="1"/>
    <col min="5" max="5" width="23.109375" customWidth="1"/>
    <col min="6" max="6" width="35.5546875" customWidth="1"/>
    <col min="7" max="7" width="37.109375" bestFit="1" customWidth="1"/>
    <col min="8" max="8" width="3.88671875" customWidth="1"/>
    <col min="9" max="9" width="30.109375" customWidth="1"/>
    <col min="11" max="11" width="23" bestFit="1" customWidth="1"/>
  </cols>
  <sheetData>
    <row r="1" spans="1:11" ht="17.399999999999999">
      <c r="A1" s="2013" t="str">
        <f>+'Appendix A'!A3</f>
        <v>Trans-Allegheny Interstate Line Company</v>
      </c>
      <c r="B1" s="2013"/>
      <c r="C1" s="2013"/>
      <c r="D1" s="2013"/>
      <c r="E1" s="2013"/>
      <c r="F1" s="2013"/>
      <c r="G1" s="2013"/>
      <c r="H1" s="2014"/>
      <c r="I1" s="2014"/>
    </row>
    <row r="2" spans="1:11" ht="17.399999999999999">
      <c r="A2" s="227"/>
      <c r="B2" s="391"/>
      <c r="C2" s="391"/>
      <c r="D2" s="391"/>
      <c r="E2" s="391"/>
      <c r="F2" s="391"/>
      <c r="G2" s="557"/>
      <c r="J2" s="227"/>
    </row>
    <row r="3" spans="1:11" ht="18">
      <c r="A3" s="2020" t="s">
        <v>733</v>
      </c>
      <c r="B3" s="2020"/>
      <c r="C3" s="2020"/>
      <c r="D3" s="2020"/>
      <c r="E3" s="2020"/>
      <c r="F3" s="2020"/>
      <c r="G3" s="2020"/>
      <c r="H3" s="2014"/>
      <c r="I3" s="2014"/>
    </row>
    <row r="5" spans="1:11" s="51" customFormat="1" ht="15.6">
      <c r="B5" s="227"/>
      <c r="G5" s="340"/>
    </row>
    <row r="6" spans="1:11" s="51" customFormat="1" ht="15"/>
    <row r="7" spans="1:11" s="51" customFormat="1" ht="15"/>
    <row r="8" spans="1:11" s="51" customFormat="1" ht="15.6">
      <c r="C8" s="51" t="s">
        <v>725</v>
      </c>
      <c r="I8" s="207"/>
    </row>
    <row r="9" spans="1:11" s="51" customFormat="1" ht="15">
      <c r="A9" s="91" t="s">
        <v>527</v>
      </c>
      <c r="B9" s="91"/>
      <c r="D9" s="51" t="s">
        <v>725</v>
      </c>
      <c r="F9" s="43" t="str">
        <f>"(Sum Lines "&amp;A52&amp;" and "&amp;A66&amp;" from below)"</f>
        <v>(Sum Lines 26 and 33 from below)</v>
      </c>
      <c r="G9" s="475">
        <f>+I52+I66</f>
        <v>174852648.66701141</v>
      </c>
      <c r="I9" s="51" t="str">
        <f>"Input to Appendix A, Line "&amp;'Appendix A'!A243&amp;""</f>
        <v>Input to Appendix A, Line 140</v>
      </c>
    </row>
    <row r="10" spans="1:11" s="51" customFormat="1" ht="15">
      <c r="A10" s="91"/>
      <c r="B10" s="91"/>
    </row>
    <row r="11" spans="1:11" s="51" customFormat="1" ht="15">
      <c r="A11" s="91" t="s">
        <v>604</v>
      </c>
      <c r="B11" s="91"/>
      <c r="D11" s="51" t="s">
        <v>734</v>
      </c>
      <c r="G11" s="475">
        <v>100</v>
      </c>
      <c r="H11" s="56"/>
      <c r="I11" s="56"/>
      <c r="J11" s="56"/>
      <c r="K11" s="56"/>
    </row>
    <row r="12" spans="1:11" s="56" customFormat="1" ht="15">
      <c r="A12" s="91"/>
      <c r="B12" s="91"/>
      <c r="C12" s="51"/>
      <c r="D12" s="51"/>
      <c r="E12" s="51"/>
      <c r="F12" s="51"/>
      <c r="G12" s="51"/>
      <c r="H12" s="51"/>
    </row>
    <row r="13" spans="1:11" s="56" customFormat="1" ht="15.6">
      <c r="A13" s="371" t="s">
        <v>383</v>
      </c>
      <c r="B13" s="124"/>
      <c r="C13" s="124"/>
      <c r="D13" s="124"/>
      <c r="E13" s="124"/>
      <c r="F13" s="124"/>
      <c r="G13" s="124"/>
      <c r="H13" s="124"/>
      <c r="I13" s="124"/>
    </row>
    <row r="14" spans="1:11" s="56" customFormat="1" ht="15.6">
      <c r="A14" s="491"/>
      <c r="G14" s="492" t="s">
        <v>281</v>
      </c>
    </row>
    <row r="15" spans="1:11" s="51" customFormat="1" ht="15">
      <c r="A15" s="56"/>
      <c r="D15" s="56"/>
      <c r="E15" s="56"/>
      <c r="F15" s="56"/>
      <c r="G15" s="56"/>
      <c r="H15" s="56"/>
      <c r="I15" s="490"/>
      <c r="J15" s="56"/>
    </row>
    <row r="16" spans="1:11" s="51" customFormat="1" ht="15">
      <c r="A16" s="93">
        <v>1</v>
      </c>
      <c r="C16" s="68" t="str">
        <f>+'Appendix A'!B92</f>
        <v>Rate Base</v>
      </c>
      <c r="D16" s="67"/>
      <c r="E16" s="56"/>
      <c r="F16" s="67"/>
      <c r="G16" s="329" t="str">
        <f>"Appendix A, Line "&amp;'Appendix A'!A92&amp;""</f>
        <v>Appendix A, Line 46</v>
      </c>
      <c r="H16" s="67"/>
      <c r="I16" s="475">
        <f>+'Appendix A'!H92</f>
        <v>1459228612.0441198</v>
      </c>
      <c r="J16" s="56"/>
    </row>
    <row r="17" spans="1:9" s="51" customFormat="1" ht="15">
      <c r="A17" s="56"/>
      <c r="G17" s="68"/>
      <c r="I17" s="238"/>
    </row>
    <row r="18" spans="1:9" s="51" customFormat="1" ht="15">
      <c r="A18" s="29"/>
      <c r="B18" s="68"/>
      <c r="C18" s="4"/>
      <c r="D18" s="52"/>
      <c r="E18" s="9"/>
      <c r="F18" s="5"/>
      <c r="G18" s="228"/>
      <c r="H18" s="5"/>
      <c r="I18" s="10"/>
    </row>
    <row r="19" spans="1:9" s="51" customFormat="1" ht="15.6">
      <c r="A19" s="77">
        <f>A16+1</f>
        <v>2</v>
      </c>
      <c r="B19" s="68"/>
      <c r="C19" s="68" t="str">
        <f>'Appendix A'!B157</f>
        <v>Preferred Dividends</v>
      </c>
      <c r="D19" s="328"/>
      <c r="F19" s="9" t="str">
        <f>'Appendix A'!E157</f>
        <v xml:space="preserve"> enter positive</v>
      </c>
      <c r="G19" s="329" t="str">
        <f>"Appendix A, Line "&amp;'Appendix A'!A157&amp;""</f>
        <v>Appendix A, Line 84</v>
      </c>
      <c r="H19" s="5"/>
      <c r="I19" s="43">
        <f>+'Appendix A'!H157</f>
        <v>0</v>
      </c>
    </row>
    <row r="20" spans="1:9" s="51" customFormat="1" ht="15">
      <c r="A20" s="29"/>
      <c r="B20" s="68"/>
      <c r="C20" s="4"/>
      <c r="D20" s="52"/>
      <c r="E20" s="9"/>
      <c r="F20" s="3"/>
      <c r="G20" s="155"/>
      <c r="H20" s="5"/>
      <c r="I20" s="10"/>
    </row>
    <row r="21" spans="1:9" s="51" customFormat="1" ht="15.6">
      <c r="A21" s="29"/>
      <c r="B21" s="68"/>
      <c r="C21" s="4" t="str">
        <f>'Appendix A'!B159</f>
        <v>Common Stock</v>
      </c>
      <c r="D21" s="101"/>
      <c r="E21" s="9"/>
      <c r="F21" s="32"/>
      <c r="G21" s="155"/>
      <c r="H21" s="5"/>
      <c r="I21" s="10"/>
    </row>
    <row r="22" spans="1:9" s="51" customFormat="1" ht="15">
      <c r="A22" s="29">
        <f>A19+1</f>
        <v>3</v>
      </c>
      <c r="B22" s="68"/>
      <c r="C22" s="68"/>
      <c r="D22" s="52" t="str">
        <f>'Appendix A'!C160</f>
        <v>Proprietary Capital</v>
      </c>
      <c r="E22" s="5"/>
      <c r="F22" s="855"/>
      <c r="G22" s="329" t="str">
        <f>"Appendix A, Line "&amp;'Appendix A'!A160&amp;""</f>
        <v>Appendix A, Line 85</v>
      </c>
      <c r="H22" s="5"/>
      <c r="I22" s="43">
        <f>+'Appendix A'!H160</f>
        <v>934033865</v>
      </c>
    </row>
    <row r="23" spans="1:9" s="51" customFormat="1" ht="15">
      <c r="A23" s="29">
        <f>A22+1</f>
        <v>4</v>
      </c>
      <c r="B23" s="68"/>
      <c r="C23" s="68"/>
      <c r="D23" s="52" t="str">
        <f>'Appendix A'!C161</f>
        <v xml:space="preserve">    Less Accumulated Other Comprehensive Income Account 219</v>
      </c>
      <c r="E23" s="5"/>
      <c r="F23" s="855"/>
      <c r="G23" s="329" t="str">
        <f>"Appendix A, Line "&amp;'Appendix A'!A161&amp;""</f>
        <v>Appendix A, Line 86</v>
      </c>
      <c r="H23" s="5"/>
      <c r="I23" s="43">
        <f>+'Appendix A'!H161</f>
        <v>0</v>
      </c>
    </row>
    <row r="24" spans="1:9" s="51" customFormat="1" ht="15">
      <c r="A24" s="29">
        <f>A23+1</f>
        <v>5</v>
      </c>
      <c r="B24" s="68"/>
      <c r="C24" s="68"/>
      <c r="D24" s="52" t="str">
        <f>'Appendix A'!C162</f>
        <v xml:space="preserve">    Less Preferred Stock</v>
      </c>
      <c r="E24" s="5"/>
      <c r="F24" s="855"/>
      <c r="G24" s="329" t="str">
        <f>"Appendix A, Line "&amp;'Appendix A'!A162&amp;""</f>
        <v>Appendix A, Line 87</v>
      </c>
      <c r="H24" s="5"/>
      <c r="I24" s="43">
        <f>+'Appendix A'!H162</f>
        <v>0</v>
      </c>
    </row>
    <row r="25" spans="1:9" s="51" customFormat="1" ht="15">
      <c r="A25" s="29">
        <f>+A24+1</f>
        <v>6</v>
      </c>
      <c r="B25" s="68"/>
      <c r="C25" s="4"/>
      <c r="D25" s="79" t="str">
        <f>'Appendix A'!C163</f>
        <v xml:space="preserve">    Less Account 216.1</v>
      </c>
      <c r="E25" s="108"/>
      <c r="F25" s="856"/>
      <c r="G25" s="330" t="str">
        <f>"Appendix A, Line "&amp;'Appendix A'!A163&amp;""</f>
        <v>Appendix A, Line 88</v>
      </c>
      <c r="H25" s="108"/>
      <c r="I25" s="110">
        <f>+'Appendix A'!H163</f>
        <v>0</v>
      </c>
    </row>
    <row r="26" spans="1:9" s="51" customFormat="1" ht="15">
      <c r="A26" s="29">
        <f>A25+1</f>
        <v>7</v>
      </c>
      <c r="B26" s="68"/>
      <c r="C26" s="4"/>
      <c r="D26" s="52" t="str">
        <f>'Appendix A'!C164</f>
        <v>Common Stock</v>
      </c>
      <c r="E26" s="5"/>
      <c r="F26" s="855"/>
      <c r="G26" s="329" t="str">
        <f>"Appendix A, Line "&amp;'Appendix A'!A164&amp;""</f>
        <v>Appendix A, Line 89</v>
      </c>
      <c r="H26" s="5"/>
      <c r="I26" s="43">
        <f>+'Appendix A'!H164</f>
        <v>934033865</v>
      </c>
    </row>
    <row r="27" spans="1:9" s="51" customFormat="1" ht="15">
      <c r="A27" s="29"/>
      <c r="B27" s="68"/>
      <c r="C27" s="4"/>
      <c r="D27" s="52"/>
      <c r="E27" s="5"/>
      <c r="F27" s="855"/>
      <c r="G27" s="329"/>
      <c r="H27" s="5"/>
      <c r="I27" s="43"/>
    </row>
    <row r="28" spans="1:9" s="51" customFormat="1" ht="15">
      <c r="A28" s="29"/>
      <c r="B28" s="68"/>
      <c r="C28" s="4"/>
      <c r="D28" s="52"/>
      <c r="E28" s="5"/>
      <c r="F28" s="855"/>
      <c r="G28" s="329"/>
      <c r="H28" s="5"/>
      <c r="I28" s="43"/>
    </row>
    <row r="29" spans="1:9" s="51" customFormat="1" ht="15.6">
      <c r="A29" s="29"/>
      <c r="B29" s="68"/>
      <c r="C29" s="4" t="str">
        <f>'Appendix A'!B166</f>
        <v>Capitalization</v>
      </c>
      <c r="D29" s="101"/>
      <c r="F29" s="9"/>
      <c r="G29" s="155"/>
      <c r="H29" s="32"/>
      <c r="I29" s="10"/>
    </row>
    <row r="30" spans="1:9" s="51" customFormat="1" ht="15">
      <c r="A30" s="29">
        <f>+A26+1</f>
        <v>8</v>
      </c>
      <c r="B30" s="68"/>
      <c r="C30" s="68"/>
      <c r="D30" s="52" t="str">
        <f>'Appendix A'!C167</f>
        <v>Long Term Debt</v>
      </c>
      <c r="F30" s="9"/>
      <c r="G30" s="329" t="str">
        <f>"Appendix A, Line "&amp;'Appendix A'!A167&amp;""</f>
        <v>Appendix A, Line 90</v>
      </c>
      <c r="H30" s="32"/>
      <c r="I30" s="43">
        <f>+'Appendix A'!H167</f>
        <v>624783740</v>
      </c>
    </row>
    <row r="31" spans="1:9" s="51" customFormat="1" ht="15">
      <c r="A31" s="29">
        <f t="shared" ref="A31:A37" si="0">A30+1</f>
        <v>9</v>
      </c>
      <c r="B31" s="68"/>
      <c r="C31" s="68"/>
      <c r="D31" s="52" t="str">
        <f>'Appendix A'!C168</f>
        <v xml:space="preserve">      Less Unamortized Loss on Reacquired Debt </v>
      </c>
      <c r="F31" s="9"/>
      <c r="G31" s="329" t="str">
        <f>"Appendix A, Line "&amp;'Appendix A'!A168&amp;""</f>
        <v>Appendix A, Line 91</v>
      </c>
      <c r="H31" s="32"/>
      <c r="I31" s="43">
        <f>+'Appendix A'!H168</f>
        <v>0</v>
      </c>
    </row>
    <row r="32" spans="1:9" s="51" customFormat="1" ht="15">
      <c r="A32" s="29">
        <f t="shared" si="0"/>
        <v>10</v>
      </c>
      <c r="B32" s="67"/>
      <c r="C32" s="67"/>
      <c r="D32" s="54" t="str">
        <f>'Appendix A'!C169</f>
        <v xml:space="preserve">      Plus Unamortized Gain on Reacquired Debt</v>
      </c>
      <c r="F32" s="27"/>
      <c r="G32" s="329" t="str">
        <f>"Appendix A, Line "&amp;'Appendix A'!A169&amp;""</f>
        <v>Appendix A, Line 92</v>
      </c>
      <c r="H32" s="55"/>
      <c r="I32" s="43">
        <f>+'Appendix A'!H169</f>
        <v>0</v>
      </c>
    </row>
    <row r="33" spans="1:11" s="51" customFormat="1" ht="15">
      <c r="A33" s="29">
        <f t="shared" si="0"/>
        <v>11</v>
      </c>
      <c r="B33" s="67"/>
      <c r="C33" s="67"/>
      <c r="D33" s="54" t="str">
        <f>'Appendix A'!C170</f>
        <v xml:space="preserve">      Less ADIT associated with Gain or Loss</v>
      </c>
      <c r="F33" s="27"/>
      <c r="G33" s="330" t="str">
        <f>"Appendix A, Line "&amp;'Appendix A'!A170&amp;""</f>
        <v>Appendix A, Line 93</v>
      </c>
      <c r="H33" s="55"/>
      <c r="I33" s="43">
        <f>+'Appendix A'!H170</f>
        <v>0</v>
      </c>
    </row>
    <row r="34" spans="1:11" s="51" customFormat="1" ht="15">
      <c r="A34" s="29">
        <f>A33+1</f>
        <v>12</v>
      </c>
      <c r="B34" s="67"/>
      <c r="C34" s="67"/>
      <c r="D34" s="54" t="str">
        <f>'Appendix A'!C171</f>
        <v>Total Long Term Debt</v>
      </c>
      <c r="E34" s="459"/>
      <c r="F34" s="48"/>
      <c r="G34" s="329" t="str">
        <f>"Appendix A, Line "&amp;'Appendix A'!A171&amp;""</f>
        <v>Appendix A, Line 94</v>
      </c>
      <c r="H34" s="57"/>
      <c r="I34" s="60">
        <f>I30-I31+I32-I33</f>
        <v>624783740</v>
      </c>
    </row>
    <row r="35" spans="1:11" s="51" customFormat="1" ht="15">
      <c r="A35" s="29">
        <f t="shared" si="0"/>
        <v>13</v>
      </c>
      <c r="B35" s="67"/>
      <c r="C35" s="67"/>
      <c r="D35" s="54" t="str">
        <f>'Appendix A'!C172</f>
        <v>Preferred Stock</v>
      </c>
      <c r="E35" s="27"/>
      <c r="F35" s="26"/>
      <c r="G35" s="329" t="str">
        <f>"Appendix A, Line "&amp;'Appendix A'!A172&amp;""</f>
        <v>Appendix A, Line 95</v>
      </c>
      <c r="H35" s="55"/>
      <c r="I35" s="43">
        <f>+'Appendix A'!H172</f>
        <v>0</v>
      </c>
    </row>
    <row r="36" spans="1:11" s="51" customFormat="1" ht="15">
      <c r="A36" s="29">
        <f t="shared" si="0"/>
        <v>14</v>
      </c>
      <c r="B36" s="68"/>
      <c r="C36" s="68"/>
      <c r="D36" s="52" t="str">
        <f>'Appendix A'!C173</f>
        <v>Common Stock</v>
      </c>
      <c r="E36" s="32"/>
      <c r="F36" s="3"/>
      <c r="G36" s="330" t="str">
        <f>"Appendix A, Line "&amp;'Appendix A'!A173&amp;""</f>
        <v>Appendix A, Line 96</v>
      </c>
      <c r="H36" s="32"/>
      <c r="I36" s="43">
        <f>+'Appendix A'!H173</f>
        <v>934033865</v>
      </c>
    </row>
    <row r="37" spans="1:11" s="51" customFormat="1" ht="15.6">
      <c r="A37" s="29">
        <f t="shared" si="0"/>
        <v>15</v>
      </c>
      <c r="B37" s="68"/>
      <c r="C37" s="68"/>
      <c r="D37" s="52" t="str">
        <f>'Appendix A'!C174</f>
        <v>Total  Capitalization</v>
      </c>
      <c r="E37" s="61"/>
      <c r="F37" s="88"/>
      <c r="G37" s="329" t="str">
        <f>"Appendix A, Line "&amp;'Appendix A'!A174&amp;""</f>
        <v>Appendix A, Line 97</v>
      </c>
      <c r="H37" s="35"/>
      <c r="I37" s="60">
        <f>I36+I35+I34</f>
        <v>1558817605</v>
      </c>
    </row>
    <row r="38" spans="1:11" s="51" customFormat="1" ht="15">
      <c r="A38" s="29"/>
      <c r="B38" s="68"/>
      <c r="C38" s="68"/>
      <c r="D38" s="52"/>
      <c r="E38" s="32"/>
      <c r="F38" s="3"/>
      <c r="G38" s="68"/>
      <c r="H38" s="5"/>
      <c r="I38" s="28"/>
    </row>
    <row r="39" spans="1:11" s="51" customFormat="1" ht="15">
      <c r="A39" s="77">
        <f>A37+1</f>
        <v>16</v>
      </c>
      <c r="B39" s="68"/>
      <c r="C39" s="68"/>
      <c r="D39" s="52" t="str">
        <f>'Appendix A'!C176</f>
        <v>Debt %</v>
      </c>
      <c r="E39" s="47"/>
      <c r="F39" s="154" t="str">
        <f>'Appendix A'!D176</f>
        <v>Total Long Term Debt</v>
      </c>
      <c r="G39" s="329" t="str">
        <f>"Appendix A, Line "&amp;'Appendix A'!A176&amp;""</f>
        <v>Appendix A, Line 98</v>
      </c>
      <c r="H39" s="5"/>
      <c r="I39" s="1526">
        <f>+'Appendix A'!H176</f>
        <v>0.40080618668660722</v>
      </c>
      <c r="J39" s="56"/>
      <c r="K39" s="56"/>
    </row>
    <row r="40" spans="1:11" s="51" customFormat="1" ht="15">
      <c r="A40" s="29">
        <f>A39+1</f>
        <v>17</v>
      </c>
      <c r="B40" s="68"/>
      <c r="C40" s="68"/>
      <c r="D40" s="52" t="str">
        <f>'Appendix A'!C177</f>
        <v>Preferred %</v>
      </c>
      <c r="E40" s="3"/>
      <c r="F40" s="154" t="str">
        <f>'Appendix A'!D177</f>
        <v>Preferred Stock</v>
      </c>
      <c r="G40" s="329" t="str">
        <f>"Appendix A, Line "&amp;'Appendix A'!A177&amp;""</f>
        <v>Appendix A, Line 99</v>
      </c>
      <c r="H40" s="5"/>
      <c r="I40" s="1526">
        <f>+'Appendix A'!H177</f>
        <v>0</v>
      </c>
      <c r="J40" s="56"/>
    </row>
    <row r="41" spans="1:11" s="51" customFormat="1" ht="15">
      <c r="A41" s="29">
        <f>A40+1</f>
        <v>18</v>
      </c>
      <c r="B41" s="68"/>
      <c r="C41" s="68"/>
      <c r="D41" s="52" t="str">
        <f>'Appendix A'!C178</f>
        <v>Common %</v>
      </c>
      <c r="E41" s="3"/>
      <c r="F41" s="154" t="str">
        <f>'Appendix A'!D178</f>
        <v>Common Stock</v>
      </c>
      <c r="G41" s="329" t="str">
        <f>"Appendix A, Line "&amp;'Appendix A'!A178&amp;""</f>
        <v>Appendix A, Line 100</v>
      </c>
      <c r="H41" s="5"/>
      <c r="I41" s="1526">
        <f>+'Appendix A'!H178</f>
        <v>0.59919381331339272</v>
      </c>
      <c r="J41" s="56"/>
      <c r="K41" s="56"/>
    </row>
    <row r="42" spans="1:11" s="51" customFormat="1" ht="15">
      <c r="A42" s="29"/>
      <c r="B42" s="68"/>
      <c r="C42" s="68"/>
      <c r="D42" s="52"/>
      <c r="E42" s="32"/>
      <c r="F42" s="155"/>
      <c r="G42" s="68"/>
      <c r="H42" s="5"/>
      <c r="I42" s="28"/>
    </row>
    <row r="43" spans="1:11" s="51" customFormat="1" ht="15">
      <c r="A43" s="77">
        <f>A41+1</f>
        <v>19</v>
      </c>
      <c r="B43" s="68"/>
      <c r="C43" s="68"/>
      <c r="D43" s="52" t="str">
        <f>'Appendix A'!C180</f>
        <v>Debt Cost</v>
      </c>
      <c r="E43" s="47"/>
      <c r="F43" s="155" t="str">
        <f>'Appendix A'!D180</f>
        <v>Total Long Term Debt</v>
      </c>
      <c r="G43" s="329" t="str">
        <f>"Appendix A, Line "&amp;'Appendix A'!A180&amp;""</f>
        <v>Appendix A, Line 101</v>
      </c>
      <c r="H43" s="5"/>
      <c r="I43" s="427">
        <f>'Appendix A'!H180</f>
        <v>3.9399999999999998E-2</v>
      </c>
      <c r="J43" s="82"/>
      <c r="K43" s="1722"/>
    </row>
    <row r="44" spans="1:11" s="51" customFormat="1" ht="15">
      <c r="A44" s="29">
        <f>A43+1</f>
        <v>20</v>
      </c>
      <c r="B44" s="68"/>
      <c r="C44" s="68"/>
      <c r="D44" s="52" t="str">
        <f>'Appendix A'!C181</f>
        <v>Preferred Cost</v>
      </c>
      <c r="E44" s="3"/>
      <c r="F44" s="155" t="str">
        <f>'Appendix A'!D181</f>
        <v>Preferred Stock</v>
      </c>
      <c r="G44" s="329" t="str">
        <f>"Appendix A, Line "&amp;'Appendix A'!A181&amp;""</f>
        <v>Appendix A, Line 102</v>
      </c>
      <c r="H44" s="5"/>
      <c r="I44" s="427">
        <f>IF(I35&gt;0,I19/I35,0)</f>
        <v>0</v>
      </c>
      <c r="J44" s="82"/>
    </row>
    <row r="45" spans="1:11" s="51" customFormat="1" ht="15">
      <c r="A45" s="29">
        <f>A44+1</f>
        <v>21</v>
      </c>
      <c r="B45" s="68"/>
      <c r="C45" s="68"/>
      <c r="D45" s="52" t="str">
        <f>'Appendix A'!C182</f>
        <v>Common Cost</v>
      </c>
      <c r="F45" s="331" t="str">
        <f>'Appendix A'!D182</f>
        <v>Common Stock</v>
      </c>
      <c r="G45" s="673">
        <v>0.127</v>
      </c>
      <c r="H45" s="5"/>
      <c r="I45" s="1032">
        <v>0.127</v>
      </c>
      <c r="J45" s="82"/>
      <c r="K45" s="1722"/>
    </row>
    <row r="46" spans="1:11" s="51" customFormat="1" ht="15">
      <c r="A46" s="29"/>
      <c r="B46" s="68"/>
      <c r="C46" s="68"/>
      <c r="D46" s="52"/>
      <c r="E46" s="32"/>
      <c r="F46" s="155"/>
      <c r="G46" s="68"/>
      <c r="H46" s="5"/>
      <c r="I46" s="32"/>
    </row>
    <row r="47" spans="1:11" s="51" customFormat="1" ht="15">
      <c r="A47" s="77">
        <f>A45+1</f>
        <v>22</v>
      </c>
      <c r="B47" s="68"/>
      <c r="C47" s="68"/>
      <c r="D47" s="52" t="str">
        <f>'Appendix A'!C184</f>
        <v>Weighted Cost of Debt</v>
      </c>
      <c r="E47" s="47"/>
      <c r="F47" s="154" t="str">
        <f>'Appendix A'!D184</f>
        <v>Total Long Term Debt (WCLTD)</v>
      </c>
      <c r="G47" s="68" t="str">
        <f>"(Line "&amp;A39&amp;" * "&amp;A43&amp;")"</f>
        <v>(Line 16 * 19)</v>
      </c>
      <c r="H47" s="30"/>
      <c r="I47" s="21">
        <f>I43*I39</f>
        <v>1.5791763755452323E-2</v>
      </c>
    </row>
    <row r="48" spans="1:11" s="51" customFormat="1" ht="15">
      <c r="A48" s="29">
        <f>A47+1</f>
        <v>23</v>
      </c>
      <c r="B48" s="68"/>
      <c r="C48" s="68"/>
      <c r="D48" s="52" t="str">
        <f>'Appendix A'!C185</f>
        <v>Weighted Cost of Preferred</v>
      </c>
      <c r="E48" s="3"/>
      <c r="F48" s="154" t="str">
        <f>'Appendix A'!D185</f>
        <v>Preferred Stock</v>
      </c>
      <c r="G48" s="68" t="str">
        <f>"(Line "&amp;A40&amp;" * "&amp;A44&amp;")"</f>
        <v>(Line 17 * 20)</v>
      </c>
      <c r="H48" s="75"/>
      <c r="I48" s="21">
        <f>I44*I40</f>
        <v>0</v>
      </c>
    </row>
    <row r="49" spans="1:11" s="51" customFormat="1" ht="15">
      <c r="A49" s="29">
        <f>A48+1</f>
        <v>24</v>
      </c>
      <c r="B49" s="68"/>
      <c r="C49" s="68"/>
      <c r="D49" s="95" t="str">
        <f>'Appendix A'!C186</f>
        <v>Weighted Cost of Common</v>
      </c>
      <c r="E49" s="158"/>
      <c r="F49" s="157" t="str">
        <f>'Appendix A'!D186</f>
        <v>Common Stock</v>
      </c>
      <c r="G49" s="333" t="str">
        <f>"(Line "&amp;A41&amp;" * "&amp;A45&amp;")"</f>
        <v>(Line 18 * 21)</v>
      </c>
      <c r="H49" s="109"/>
      <c r="I49" s="159">
        <f>I45*I41</f>
        <v>7.6097614290800877E-2</v>
      </c>
    </row>
    <row r="50" spans="1:11" s="51" customFormat="1" ht="15.6">
      <c r="A50" s="29">
        <f>A49+1</f>
        <v>25</v>
      </c>
      <c r="B50" s="68"/>
      <c r="C50" s="68" t="str">
        <f>'Appendix A'!B187</f>
        <v>Rate of Return on Rate Base ( ROR )</v>
      </c>
      <c r="D50" s="68"/>
      <c r="E50" s="127"/>
      <c r="F50" s="83"/>
      <c r="G50" s="68" t="str">
        <f>"(Sum Lines "&amp;A47&amp;" to "&amp;A49&amp;")"</f>
        <v>(Sum Lines 22 to 24)</v>
      </c>
      <c r="H50" s="85"/>
      <c r="I50" s="76">
        <f>SUM(I47:I49)</f>
        <v>9.1889378046253203E-2</v>
      </c>
    </row>
    <row r="51" spans="1:11" s="51" customFormat="1" ht="15.6">
      <c r="A51" s="46"/>
      <c r="B51" s="68"/>
      <c r="C51" s="68"/>
      <c r="D51" s="68"/>
      <c r="E51" s="127"/>
      <c r="F51" s="83"/>
      <c r="G51" s="334"/>
      <c r="H51" s="85"/>
      <c r="I51" s="76"/>
    </row>
    <row r="52" spans="1:11" s="51" customFormat="1" ht="16.2" thickBot="1">
      <c r="A52" s="77">
        <f>A50+1</f>
        <v>26</v>
      </c>
      <c r="B52" s="68"/>
      <c r="C52" s="68" t="str">
        <f>'Appendix A'!B189</f>
        <v>Investment Return = Rate Base * Rate of Return</v>
      </c>
      <c r="D52" s="68"/>
      <c r="E52" s="105"/>
      <c r="F52" s="107"/>
      <c r="G52" s="335" t="str">
        <f>"(Line "&amp;A16&amp;" * Line "&amp;A50&amp;")"</f>
        <v>(Line 1 * Line 25)</v>
      </c>
      <c r="H52" s="112"/>
      <c r="I52" s="42">
        <f>+I50*I16</f>
        <v>134087609.58803147</v>
      </c>
    </row>
    <row r="53" spans="1:11" s="51" customFormat="1" ht="15.6" thickTop="1">
      <c r="A53" s="29"/>
      <c r="B53" s="6"/>
      <c r="C53" s="31"/>
      <c r="D53" s="3"/>
      <c r="E53" s="32"/>
      <c r="F53" s="91"/>
      <c r="G53" s="5"/>
      <c r="H53" s="5"/>
      <c r="I53" s="21"/>
    </row>
    <row r="54" spans="1:11" s="51" customFormat="1" ht="15.6">
      <c r="A54" s="558" t="s">
        <v>987</v>
      </c>
      <c r="B54" s="120"/>
      <c r="C54" s="121"/>
      <c r="D54" s="122"/>
      <c r="E54" s="123"/>
      <c r="F54" s="176"/>
      <c r="G54" s="124"/>
      <c r="H54" s="124"/>
      <c r="I54" s="125"/>
    </row>
    <row r="55" spans="1:11" s="51" customFormat="1" ht="15.6">
      <c r="A55" s="54"/>
      <c r="B55" s="54"/>
      <c r="C55" s="31"/>
      <c r="D55" s="24"/>
      <c r="E55" s="55"/>
      <c r="F55" s="19"/>
      <c r="G55" s="32"/>
      <c r="H55" s="32"/>
      <c r="I55" s="39"/>
      <c r="K55" s="87"/>
    </row>
    <row r="56" spans="1:11" s="51" customFormat="1" ht="15.6">
      <c r="A56" s="77" t="s">
        <v>525</v>
      </c>
      <c r="B56" s="31"/>
      <c r="C56" s="131" t="s">
        <v>579</v>
      </c>
      <c r="D56" s="32"/>
      <c r="E56" s="32"/>
      <c r="F56" s="19"/>
      <c r="G56" s="5"/>
      <c r="H56" s="16"/>
      <c r="I56" s="32"/>
    </row>
    <row r="57" spans="1:11" s="51" customFormat="1" ht="15">
      <c r="A57" s="77">
        <f>+A52+1</f>
        <v>27</v>
      </c>
      <c r="B57" s="91"/>
      <c r="C57" s="31"/>
      <c r="D57" s="32" t="s">
        <v>577</v>
      </c>
      <c r="E57" s="32"/>
      <c r="F57" s="91"/>
      <c r="G57" s="329" t="str">
        <f>"Appendix A, Line "&amp;'Appendix A'!A194&amp;""</f>
        <v>Appendix A, Line 109</v>
      </c>
      <c r="H57" s="33"/>
      <c r="I57" s="248">
        <f>+'Appendix A'!H194</f>
        <v>0.21</v>
      </c>
    </row>
    <row r="58" spans="1:11" s="51" customFormat="1" ht="15">
      <c r="A58" s="29">
        <f>+A57+1</f>
        <v>28</v>
      </c>
      <c r="B58" s="91"/>
      <c r="C58" s="31"/>
      <c r="D58" s="33" t="s">
        <v>576</v>
      </c>
      <c r="E58" s="22"/>
      <c r="F58" s="91"/>
      <c r="G58" s="329" t="str">
        <f>"Appendix A, Line "&amp;'Appendix A'!A195&amp;""</f>
        <v>Appendix A, Line 110</v>
      </c>
      <c r="H58" s="33"/>
      <c r="I58" s="248">
        <f>+'Appendix A'!H195</f>
        <v>7.4087E-2</v>
      </c>
    </row>
    <row r="59" spans="1:11" s="51" customFormat="1" ht="15">
      <c r="A59" s="29">
        <f>+A58+1</f>
        <v>29</v>
      </c>
      <c r="B59" s="91"/>
      <c r="C59" s="31"/>
      <c r="D59" s="33" t="s">
        <v>944</v>
      </c>
      <c r="E59" s="33"/>
      <c r="F59" s="91"/>
      <c r="G59" s="329" t="str">
        <f>"Appendix A, Line "&amp;'Appendix A'!A196&amp;""</f>
        <v>Appendix A, Line 111</v>
      </c>
      <c r="H59" s="33"/>
      <c r="I59" s="248">
        <f>+'Appendix A'!H196</f>
        <v>0</v>
      </c>
    </row>
    <row r="60" spans="1:11" s="51" customFormat="1" ht="15">
      <c r="A60" s="29">
        <f>+A59+1</f>
        <v>30</v>
      </c>
      <c r="B60" s="91"/>
      <c r="C60" s="31"/>
      <c r="D60" s="33" t="s">
        <v>629</v>
      </c>
      <c r="E60" s="15" t="s">
        <v>641</v>
      </c>
      <c r="F60" s="91"/>
      <c r="G60" s="329" t="str">
        <f>"Appendix A, Line "&amp;'Appendix A'!A197&amp;""</f>
        <v>Appendix A, Line 112</v>
      </c>
      <c r="H60" s="33"/>
      <c r="I60" s="248">
        <f>+'Appendix A'!H197</f>
        <v>0.26852872999999999</v>
      </c>
    </row>
    <row r="61" spans="1:11" s="51" customFormat="1" ht="15">
      <c r="A61" s="29">
        <f>+A60+1</f>
        <v>31</v>
      </c>
      <c r="B61" s="91"/>
      <c r="C61" s="31"/>
      <c r="D61" s="33" t="s">
        <v>623</v>
      </c>
      <c r="E61" s="22"/>
      <c r="F61" s="91"/>
      <c r="G61" s="329" t="str">
        <f>"Appendix A, Line "&amp;'Appendix A'!A198&amp;""</f>
        <v>Appendix A, Line 113</v>
      </c>
      <c r="H61" s="33"/>
      <c r="I61" s="248">
        <f>+'Appendix A'!H198</f>
        <v>0.36710769241832286</v>
      </c>
      <c r="K61" s="1363"/>
    </row>
    <row r="62" spans="1:11" s="51" customFormat="1" ht="15">
      <c r="A62" s="77"/>
      <c r="B62" s="31"/>
      <c r="C62" s="31"/>
      <c r="D62" s="32"/>
      <c r="E62" s="32"/>
      <c r="F62" s="14"/>
      <c r="G62" s="15"/>
      <c r="H62" s="16"/>
      <c r="I62" s="17"/>
    </row>
    <row r="63" spans="1:11" s="51" customFormat="1" ht="15.6">
      <c r="A63" s="77"/>
      <c r="B63" s="31"/>
      <c r="C63" s="31"/>
      <c r="D63" s="32"/>
      <c r="E63" s="32"/>
      <c r="F63" s="14"/>
      <c r="G63" s="15"/>
      <c r="H63" s="16"/>
      <c r="I63" s="210"/>
    </row>
    <row r="64" spans="1:11" s="51" customFormat="1" ht="15.6">
      <c r="A64" s="77">
        <f>+A61+1</f>
        <v>32</v>
      </c>
      <c r="B64" s="91"/>
      <c r="C64" s="1" t="s">
        <v>597</v>
      </c>
      <c r="E64" s="9" t="s">
        <v>599</v>
      </c>
      <c r="F64" s="19"/>
      <c r="G64" s="25"/>
      <c r="H64" s="32"/>
      <c r="I64" s="1025">
        <f>+I61*(1-I47/I50)*I52</f>
        <v>40765039.078979939</v>
      </c>
    </row>
    <row r="65" spans="1:11" s="51" customFormat="1" ht="15.6">
      <c r="A65" s="77"/>
      <c r="B65" s="31"/>
      <c r="C65" s="31"/>
      <c r="D65" s="79"/>
      <c r="E65" s="80"/>
      <c r="F65" s="185"/>
      <c r="G65" s="25"/>
      <c r="H65" s="81"/>
      <c r="I65" s="66"/>
    </row>
    <row r="66" spans="1:11" s="51" customFormat="1" ht="16.2" thickBot="1">
      <c r="A66" s="77">
        <f>+A64+1</f>
        <v>33</v>
      </c>
      <c r="B66" s="91"/>
      <c r="C66" s="111" t="s">
        <v>503</v>
      </c>
      <c r="D66" s="111"/>
      <c r="E66" s="105"/>
      <c r="F66" s="172"/>
      <c r="G66" s="42" t="str">
        <f>"(Line "&amp;A64&amp;")"</f>
        <v>(Line 32)</v>
      </c>
      <c r="H66" s="130"/>
      <c r="I66" s="1033">
        <f>+I64</f>
        <v>40765039.078979939</v>
      </c>
      <c r="K66" s="87" t="s">
        <v>525</v>
      </c>
    </row>
    <row r="67" spans="1:11" s="51" customFormat="1" ht="15.6" thickTop="1">
      <c r="A67" s="77"/>
      <c r="B67" s="31"/>
      <c r="C67" s="31"/>
      <c r="D67" s="15"/>
      <c r="E67" s="32"/>
      <c r="F67" s="91"/>
      <c r="G67" s="18"/>
      <c r="H67" s="7"/>
      <c r="I67" s="132"/>
    </row>
    <row r="68" spans="1:11" s="51" customFormat="1" ht="15">
      <c r="A68" s="56"/>
    </row>
    <row r="69" spans="1:11">
      <c r="A69" s="2"/>
    </row>
    <row r="70" spans="1:11">
      <c r="A70" s="2"/>
    </row>
    <row r="71" spans="1:11">
      <c r="A71" s="2"/>
    </row>
    <row r="72" spans="1:11">
      <c r="A72" s="2"/>
    </row>
    <row r="73" spans="1:11">
      <c r="A73" s="2"/>
    </row>
    <row r="74" spans="1:11">
      <c r="A74" s="2"/>
    </row>
    <row r="75" spans="1:11">
      <c r="A75" s="2"/>
    </row>
    <row r="76" spans="1:11">
      <c r="A76" s="2"/>
    </row>
    <row r="77" spans="1:11">
      <c r="A77" s="2"/>
    </row>
    <row r="78" spans="1:11">
      <c r="A78" s="2"/>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6">
      <c r="A289" s="2"/>
    </row>
    <row r="290" spans="1:6">
      <c r="A290" s="2"/>
    </row>
    <row r="291" spans="1:6">
      <c r="A291" s="2"/>
    </row>
    <row r="292" spans="1:6">
      <c r="A292" s="2"/>
    </row>
    <row r="293" spans="1:6">
      <c r="A293" s="2"/>
    </row>
    <row r="294" spans="1:6">
      <c r="A294" s="2"/>
    </row>
    <row r="295" spans="1:6">
      <c r="A295" s="2"/>
    </row>
    <row r="296" spans="1:6">
      <c r="A296" s="2"/>
    </row>
    <row r="297" spans="1:6">
      <c r="A297" s="355"/>
      <c r="B297" s="355"/>
      <c r="C297" s="355"/>
      <c r="D297" s="355"/>
      <c r="E297" s="355"/>
      <c r="F297" s="355"/>
    </row>
    <row r="298" spans="1:6">
      <c r="A298" s="355"/>
      <c r="B298" s="355"/>
      <c r="C298" s="355"/>
      <c r="D298" s="355"/>
      <c r="E298" s="355"/>
      <c r="F298" s="355"/>
    </row>
    <row r="299" spans="1:6">
      <c r="A299" s="355"/>
      <c r="B299" s="355"/>
      <c r="C299" s="355"/>
      <c r="D299" s="355"/>
      <c r="E299" s="355"/>
      <c r="F299" s="355"/>
    </row>
    <row r="300" spans="1:6">
      <c r="A300" s="355"/>
      <c r="B300" s="355"/>
      <c r="C300" s="355"/>
      <c r="D300" s="355"/>
      <c r="E300" s="355"/>
      <c r="F300" s="355"/>
    </row>
    <row r="301" spans="1:6">
      <c r="A301" s="355"/>
      <c r="B301" s="355"/>
      <c r="C301" s="355"/>
      <c r="D301" s="355"/>
      <c r="E301" s="355"/>
      <c r="F301" s="355"/>
    </row>
    <row r="302" spans="1:6">
      <c r="A302" s="355"/>
      <c r="B302" s="355"/>
      <c r="C302" s="355"/>
      <c r="D302" s="355"/>
      <c r="E302" s="355"/>
      <c r="F302" s="355"/>
    </row>
    <row r="303" spans="1:6">
      <c r="A303" s="355"/>
      <c r="B303" s="355"/>
      <c r="C303" s="355"/>
      <c r="D303" s="355"/>
      <c r="E303" s="355"/>
      <c r="F303" s="355"/>
    </row>
    <row r="304" spans="1:6">
      <c r="A304" s="355"/>
      <c r="B304" s="355"/>
      <c r="C304" s="355"/>
      <c r="D304" s="355"/>
      <c r="E304" s="355"/>
      <c r="F304" s="355"/>
    </row>
    <row r="305" spans="1:6">
      <c r="A305" s="355"/>
      <c r="B305" s="355"/>
      <c r="C305" s="355"/>
      <c r="D305" s="355"/>
      <c r="E305" s="355"/>
      <c r="F305" s="355"/>
    </row>
    <row r="306" spans="1:6">
      <c r="A306" s="2"/>
    </row>
    <row r="307" spans="1:6">
      <c r="A307" s="2"/>
    </row>
    <row r="308" spans="1:6">
      <c r="A308" s="2"/>
    </row>
    <row r="309" spans="1:6">
      <c r="A309" s="2"/>
    </row>
    <row r="310" spans="1:6">
      <c r="A310" s="2"/>
    </row>
    <row r="311" spans="1:6">
      <c r="A311" s="2"/>
    </row>
    <row r="312" spans="1:6">
      <c r="A312" s="2"/>
    </row>
    <row r="313" spans="1:6">
      <c r="A313" s="2"/>
    </row>
    <row r="314" spans="1:6">
      <c r="A314" s="2"/>
    </row>
    <row r="315" spans="1:6">
      <c r="A315" s="2"/>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sheetData>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s>
  <mergeCells count="2">
    <mergeCell ref="A1:I1"/>
    <mergeCell ref="A3:I3"/>
  </mergeCells>
  <phoneticPr fontId="0" type="noConversion"/>
  <printOptions horizontalCentered="1"/>
  <pageMargins left="0.5" right="0.33" top="0.5" bottom="0.5" header="0.5" footer="0.5"/>
  <pageSetup scale="43" orientation="portrait" r:id="rId9"/>
  <headerFooter alignWithMargins="0">
    <oddHeader>&amp;R&amp;14EXHIBIT NO. TRC-203
ATTACHMENT H-18A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1"/>
  </sheetPr>
  <dimension ref="A1:IV378"/>
  <sheetViews>
    <sheetView view="pageBreakPreview" topLeftCell="E296" zoomScale="70" zoomScaleNormal="100" zoomScaleSheetLayoutView="70" workbookViewId="0">
      <selection activeCell="K307" sqref="K307"/>
    </sheetView>
  </sheetViews>
  <sheetFormatPr defaultRowHeight="13.2"/>
  <cols>
    <col min="1" max="1" width="7.5546875" customWidth="1"/>
    <col min="2" max="2" width="2.33203125" customWidth="1"/>
    <col min="3" max="3" width="57.44140625" customWidth="1"/>
    <col min="4" max="4" width="37.109375" customWidth="1"/>
    <col min="5" max="5" width="11.109375" customWidth="1"/>
    <col min="6" max="6" width="24" customWidth="1"/>
    <col min="7" max="7" width="21.88671875" customWidth="1"/>
    <col min="8" max="8" width="23.6640625" customWidth="1"/>
    <col min="9" max="9" width="18" customWidth="1"/>
    <col min="10" max="10" width="21" customWidth="1"/>
    <col min="11" max="11" width="17.109375" customWidth="1"/>
    <col min="12" max="12" width="16.88671875" customWidth="1"/>
    <col min="13" max="13" width="17.109375" customWidth="1"/>
    <col min="14" max="14" width="15.88671875" customWidth="1"/>
    <col min="15" max="15" width="19.33203125" customWidth="1"/>
    <col min="16" max="16" width="18.6640625" customWidth="1"/>
    <col min="17" max="17" width="19.109375" customWidth="1"/>
    <col min="18" max="18" width="18.6640625" bestFit="1" customWidth="1"/>
    <col min="19" max="19" width="17.88671875" customWidth="1"/>
    <col min="20" max="20" width="18.5546875" customWidth="1"/>
    <col min="21" max="21" width="23.109375" bestFit="1" customWidth="1"/>
    <col min="22" max="43" width="17.88671875" customWidth="1"/>
    <col min="44" max="44" width="23.6640625" customWidth="1"/>
    <col min="45" max="56" width="17.88671875" customWidth="1"/>
    <col min="57" max="57" width="23.5546875" customWidth="1"/>
    <col min="58" max="58" width="18.6640625" customWidth="1"/>
    <col min="59" max="64" width="17.88671875" customWidth="1"/>
    <col min="65" max="65" width="19" customWidth="1"/>
    <col min="66" max="66" width="16.5546875" bestFit="1" customWidth="1"/>
    <col min="67" max="67" width="17.88671875" customWidth="1"/>
    <col min="68" max="68" width="13" customWidth="1"/>
  </cols>
  <sheetData>
    <row r="1" spans="1:84" ht="21" customHeight="1">
      <c r="A1" s="268"/>
      <c r="B1" s="263"/>
      <c r="D1" s="256" t="s">
        <v>525</v>
      </c>
      <c r="E1" s="193"/>
      <c r="F1" s="194"/>
      <c r="G1" s="380" t="str">
        <f>+'Appendix A'!A3</f>
        <v>Trans-Allegheny Interstate Line Company</v>
      </c>
      <c r="H1" s="221"/>
      <c r="I1" s="221"/>
      <c r="J1" s="221"/>
      <c r="K1" s="221"/>
      <c r="L1" s="221"/>
      <c r="M1" s="221"/>
      <c r="N1" s="221"/>
      <c r="O1" s="221"/>
      <c r="P1" s="221"/>
      <c r="Q1" s="221"/>
      <c r="R1" s="221"/>
      <c r="S1" s="221"/>
    </row>
    <row r="2" spans="1:84" ht="21" customHeight="1">
      <c r="A2" s="340"/>
      <c r="B2" s="263"/>
      <c r="D2" s="56" t="s">
        <v>525</v>
      </c>
      <c r="E2" s="193"/>
      <c r="F2" s="194"/>
      <c r="H2" s="221"/>
      <c r="I2" s="221"/>
      <c r="J2" s="609"/>
      <c r="K2" s="1085"/>
      <c r="L2" s="221"/>
      <c r="M2" s="221"/>
      <c r="N2" s="221"/>
      <c r="O2" s="221"/>
      <c r="P2" s="221"/>
      <c r="Q2" s="221"/>
      <c r="R2" s="221"/>
      <c r="S2" s="381"/>
    </row>
    <row r="3" spans="1:84" ht="21" customHeight="1">
      <c r="A3" s="340"/>
      <c r="B3" s="263"/>
      <c r="D3" s="192"/>
      <c r="E3" s="193"/>
      <c r="F3" s="194"/>
      <c r="G3" s="448" t="s">
        <v>613</v>
      </c>
      <c r="H3" s="221"/>
      <c r="I3" s="221"/>
      <c r="J3" s="221"/>
      <c r="K3" s="221"/>
      <c r="L3" s="221"/>
      <c r="M3" s="221"/>
      <c r="N3" s="221"/>
      <c r="O3" s="221"/>
      <c r="P3" s="221"/>
      <c r="Q3" s="221"/>
      <c r="R3" s="221"/>
      <c r="S3" s="381"/>
    </row>
    <row r="4" spans="1:84" s="679" customFormat="1" ht="13.8" thickBot="1">
      <c r="A4" s="1723" t="s">
        <v>1020</v>
      </c>
      <c r="B4" s="678"/>
      <c r="H4" s="1921"/>
      <c r="I4" s="1921"/>
      <c r="J4" s="1921"/>
      <c r="K4" s="1921"/>
      <c r="L4" s="1921"/>
      <c r="M4" s="1921"/>
      <c r="N4" s="1921"/>
      <c r="O4" s="1921"/>
      <c r="P4" s="1921"/>
      <c r="Q4" s="1921"/>
      <c r="R4" s="1921"/>
      <c r="S4" s="1921"/>
      <c r="T4" s="1921"/>
      <c r="U4" s="801"/>
      <c r="V4" s="1921"/>
      <c r="W4" s="1921"/>
      <c r="X4" s="1921"/>
      <c r="Y4" s="1921"/>
      <c r="Z4" s="1921"/>
      <c r="AA4" s="1921"/>
      <c r="AB4" s="1921"/>
      <c r="AC4" s="1921"/>
      <c r="AD4" s="1921"/>
      <c r="AE4" s="1921"/>
      <c r="AF4" s="1921"/>
      <c r="AG4" s="1921"/>
      <c r="AH4" s="1921"/>
      <c r="AI4" s="1921"/>
      <c r="AJ4" s="1921"/>
      <c r="AK4" s="1921"/>
      <c r="AL4" s="1921"/>
      <c r="AM4" s="1921"/>
      <c r="AN4" s="1921"/>
      <c r="AO4" s="1921"/>
      <c r="AP4" s="1921"/>
      <c r="AQ4" s="1921"/>
      <c r="AR4" s="1921"/>
      <c r="AS4" s="1921"/>
      <c r="AT4" s="1921"/>
      <c r="AU4" s="1921"/>
      <c r="AV4" s="1921"/>
      <c r="AW4" s="1921"/>
      <c r="AX4" s="1921"/>
      <c r="AY4" s="1921"/>
      <c r="AZ4" s="1921"/>
      <c r="BA4" s="1921"/>
      <c r="BB4" s="1921"/>
      <c r="BC4" s="1921"/>
      <c r="BD4" s="1921"/>
      <c r="BE4" s="1921"/>
      <c r="BF4" s="1921"/>
      <c r="BG4" s="1921"/>
      <c r="BH4" s="1921"/>
      <c r="BI4" s="1921"/>
      <c r="BJ4" s="1921"/>
      <c r="BK4" s="1921"/>
    </row>
    <row r="5" spans="1:84" s="679" customFormat="1" ht="13.8" thickBot="1">
      <c r="A5" s="2050" t="s">
        <v>500</v>
      </c>
      <c r="B5" s="2051"/>
      <c r="C5" s="2051"/>
      <c r="D5" s="2051"/>
      <c r="E5" s="2051"/>
      <c r="F5" s="2051"/>
      <c r="G5" s="1724"/>
      <c r="H5" s="1904"/>
      <c r="I5" s="1905"/>
      <c r="J5" s="1905"/>
      <c r="K5" s="1905"/>
      <c r="L5" s="1905"/>
      <c r="M5" s="1905"/>
      <c r="N5" s="1905"/>
      <c r="O5" s="1905"/>
      <c r="P5" s="1905"/>
      <c r="Q5" s="1905"/>
      <c r="R5" s="1905"/>
      <c r="S5" s="1905"/>
      <c r="T5" s="1905"/>
      <c r="U5" s="1905"/>
      <c r="V5" s="1905"/>
      <c r="W5" s="1905"/>
      <c r="X5" s="1905"/>
      <c r="Y5" s="1905"/>
      <c r="Z5" s="1908" t="s">
        <v>906</v>
      </c>
      <c r="AA5" s="1905"/>
      <c r="AB5" s="1905"/>
      <c r="AC5" s="1905"/>
      <c r="AD5" s="1905"/>
      <c r="AE5" s="1905"/>
      <c r="AF5" s="1905"/>
      <c r="AG5" s="1905"/>
      <c r="AH5" s="1905"/>
      <c r="AI5" s="1905"/>
      <c r="AJ5" s="1905"/>
      <c r="AK5" s="1905"/>
      <c r="AL5" s="1905"/>
      <c r="AM5" s="1905"/>
      <c r="AN5" s="1905"/>
      <c r="AO5" s="1905"/>
      <c r="AP5" s="1905"/>
      <c r="AQ5" s="1905"/>
      <c r="AR5" s="1905"/>
      <c r="AS5" s="1905"/>
      <c r="AT5" s="1905"/>
      <c r="AU5" s="1905"/>
      <c r="AV5" s="1905"/>
      <c r="AW5" s="1905"/>
      <c r="AX5" s="1905"/>
      <c r="AY5" s="1905"/>
      <c r="AZ5" s="1905"/>
      <c r="BA5" s="1905"/>
      <c r="BB5" s="1905"/>
      <c r="BC5" s="1905"/>
      <c r="BD5" s="1905"/>
      <c r="BE5" s="1905"/>
      <c r="BF5" s="1905"/>
      <c r="BG5" s="1905"/>
      <c r="BH5" s="1905"/>
      <c r="BI5" s="1905"/>
      <c r="BJ5" s="1905"/>
      <c r="BK5" s="1905"/>
      <c r="BL5" s="1905"/>
      <c r="BM5" s="1975"/>
      <c r="BN5" s="1872"/>
      <c r="BO5" s="1872"/>
      <c r="BP5" s="1872"/>
      <c r="BQ5" s="1827"/>
      <c r="BR5" s="1827"/>
      <c r="BS5" s="1827"/>
      <c r="BT5" s="1827"/>
      <c r="BU5" s="1827"/>
      <c r="BV5" s="1827"/>
      <c r="BW5" s="1827"/>
      <c r="BX5" s="1827"/>
      <c r="BY5" s="1827"/>
      <c r="BZ5" s="1827"/>
      <c r="CA5" s="1827"/>
      <c r="CB5" s="1827"/>
      <c r="CC5" s="1827"/>
      <c r="CD5" s="1827"/>
      <c r="CE5" s="1827"/>
      <c r="CF5" s="1827"/>
    </row>
    <row r="6" spans="1:84" s="679" customFormat="1" ht="27" thickBot="1">
      <c r="A6" s="1823"/>
      <c r="B6" s="1725"/>
      <c r="C6" s="1725"/>
      <c r="D6" s="1725"/>
      <c r="E6" s="1725"/>
      <c r="F6" s="1558" t="s">
        <v>324</v>
      </c>
      <c r="G6" s="1726" t="s">
        <v>42</v>
      </c>
      <c r="H6" s="1906"/>
      <c r="I6" s="1907"/>
      <c r="J6" s="1907"/>
      <c r="K6" s="1907"/>
      <c r="L6" s="1907"/>
      <c r="M6" s="1907"/>
      <c r="N6" s="1907"/>
      <c r="O6" s="1907"/>
      <c r="P6" s="1907"/>
      <c r="Q6" s="1907"/>
      <c r="R6" s="1907"/>
      <c r="S6" s="1907"/>
      <c r="T6" s="1907"/>
      <c r="U6" s="1907"/>
      <c r="V6" s="1907"/>
      <c r="W6" s="1907"/>
      <c r="X6" s="1907"/>
      <c r="Y6" s="1907"/>
      <c r="Z6" s="1903" t="s">
        <v>138</v>
      </c>
      <c r="AA6" s="1907"/>
      <c r="AB6" s="1907"/>
      <c r="AC6" s="1907"/>
      <c r="AD6" s="1907"/>
      <c r="AE6" s="1907"/>
      <c r="AF6" s="1907"/>
      <c r="AG6" s="1907"/>
      <c r="AH6" s="1907"/>
      <c r="AI6" s="1907"/>
      <c r="AJ6" s="1907"/>
      <c r="AK6" s="1907"/>
      <c r="AL6" s="1907"/>
      <c r="AM6" s="1907"/>
      <c r="AN6" s="1907"/>
      <c r="AO6" s="1907"/>
      <c r="AP6" s="1907"/>
      <c r="AQ6" s="1907"/>
      <c r="AR6" s="1907"/>
      <c r="AS6" s="1907"/>
      <c r="AT6" s="1907"/>
      <c r="AU6" s="1907"/>
      <c r="AV6" s="1907"/>
      <c r="AW6" s="1907"/>
      <c r="AX6" s="1907"/>
      <c r="AY6" s="1907"/>
      <c r="AZ6" s="1907"/>
      <c r="BA6" s="1907"/>
      <c r="BB6" s="1907"/>
      <c r="BC6" s="1907"/>
      <c r="BD6" s="1907"/>
      <c r="BE6" s="1907"/>
      <c r="BF6" s="1907"/>
      <c r="BG6" s="1907"/>
      <c r="BH6" s="1907"/>
      <c r="BI6" s="1907"/>
      <c r="BJ6" s="1907"/>
      <c r="BK6" s="1907"/>
      <c r="BL6" s="1907"/>
      <c r="BM6" s="1976"/>
      <c r="BN6" s="1871"/>
      <c r="BO6" s="1871"/>
      <c r="BP6" s="1871"/>
      <c r="BQ6" s="1558"/>
      <c r="BR6" s="1558"/>
      <c r="BS6" s="1558"/>
      <c r="BT6" s="1558"/>
      <c r="BU6" s="1558"/>
      <c r="BV6" s="1558"/>
      <c r="BW6" s="1558"/>
      <c r="BX6" s="1558"/>
      <c r="BY6" s="1558"/>
      <c r="BZ6" s="1558"/>
      <c r="CA6" s="1558"/>
      <c r="CB6" s="1558"/>
      <c r="CC6" s="1558"/>
      <c r="CD6" s="1558"/>
      <c r="CE6" s="1558"/>
      <c r="CF6" s="1558"/>
    </row>
    <row r="7" spans="1:84" s="679" customFormat="1" ht="27">
      <c r="A7" s="680"/>
      <c r="B7" s="681"/>
      <c r="C7" s="682" t="s">
        <v>1021</v>
      </c>
      <c r="D7" s="683" t="s">
        <v>1022</v>
      </c>
      <c r="E7" s="684"/>
      <c r="F7" s="1560" t="s">
        <v>603</v>
      </c>
      <c r="G7" s="1727" t="s">
        <v>603</v>
      </c>
      <c r="H7" s="1830" t="s">
        <v>753</v>
      </c>
      <c r="I7" s="1831" t="s">
        <v>475</v>
      </c>
      <c r="J7" s="1832" t="s">
        <v>31</v>
      </c>
      <c r="K7" s="1832" t="s">
        <v>684</v>
      </c>
      <c r="L7" s="1832" t="s">
        <v>1046</v>
      </c>
      <c r="M7" s="1230" t="s">
        <v>141</v>
      </c>
      <c r="N7" s="1832" t="s">
        <v>395</v>
      </c>
      <c r="O7" s="1230" t="s">
        <v>1012</v>
      </c>
      <c r="P7" s="1832" t="s">
        <v>1047</v>
      </c>
      <c r="Q7" s="1832" t="s">
        <v>1048</v>
      </c>
      <c r="R7" s="1833" t="s">
        <v>1049</v>
      </c>
      <c r="S7" s="1833" t="s">
        <v>1050</v>
      </c>
      <c r="T7" s="1833" t="s">
        <v>1051</v>
      </c>
      <c r="U7" s="1815" t="s">
        <v>414</v>
      </c>
      <c r="V7" s="1815" t="s">
        <v>1089</v>
      </c>
      <c r="W7" s="1230" t="s">
        <v>1105</v>
      </c>
      <c r="X7" s="1230" t="s">
        <v>1106</v>
      </c>
      <c r="Y7" s="1815" t="s">
        <v>1112</v>
      </c>
      <c r="Z7" s="1815" t="s">
        <v>1113</v>
      </c>
      <c r="AA7" s="1230" t="s">
        <v>1133</v>
      </c>
      <c r="AB7" s="1230" t="s">
        <v>1134</v>
      </c>
      <c r="AC7" s="1230" t="s">
        <v>1135</v>
      </c>
      <c r="AD7" s="1230" t="s">
        <v>1087</v>
      </c>
      <c r="AE7" s="1230" t="s">
        <v>1136</v>
      </c>
      <c r="AF7" s="1230" t="s">
        <v>1137</v>
      </c>
      <c r="AG7" s="1230" t="s">
        <v>1138</v>
      </c>
      <c r="AH7" s="1230" t="s">
        <v>1139</v>
      </c>
      <c r="AI7" s="1230" t="s">
        <v>1094</v>
      </c>
      <c r="AJ7" s="1230" t="s">
        <v>1071</v>
      </c>
      <c r="AK7" s="1230" t="s">
        <v>1140</v>
      </c>
      <c r="AL7" s="1230" t="s">
        <v>1102</v>
      </c>
      <c r="AM7" s="1230" t="s">
        <v>1092</v>
      </c>
      <c r="AN7" s="1230" t="s">
        <v>1141</v>
      </c>
      <c r="AO7" s="1230" t="s">
        <v>1142</v>
      </c>
      <c r="AP7" s="1230" t="s">
        <v>1143</v>
      </c>
      <c r="AQ7" s="1230" t="s">
        <v>1144</v>
      </c>
      <c r="AR7" s="1230" t="s">
        <v>1211</v>
      </c>
      <c r="AS7" s="1230" t="s">
        <v>1167</v>
      </c>
      <c r="AT7" s="1230" t="s">
        <v>1168</v>
      </c>
      <c r="AU7" s="1230" t="s">
        <v>1212</v>
      </c>
      <c r="AV7" s="1230" t="s">
        <v>1165</v>
      </c>
      <c r="AW7" s="1230" t="s">
        <v>1213</v>
      </c>
      <c r="AX7" s="1230" t="s">
        <v>1214</v>
      </c>
      <c r="AY7" s="1230" t="s">
        <v>1215</v>
      </c>
      <c r="AZ7" s="1230" t="s">
        <v>1096</v>
      </c>
      <c r="BA7" s="1230" t="s">
        <v>1160</v>
      </c>
      <c r="BB7" s="1230" t="s">
        <v>1162</v>
      </c>
      <c r="BC7" s="1230" t="s">
        <v>1081</v>
      </c>
      <c r="BD7" s="1230" t="s">
        <v>1170</v>
      </c>
      <c r="BE7" s="1230" t="s">
        <v>1224</v>
      </c>
      <c r="BF7" s="1230" t="s">
        <v>1242</v>
      </c>
      <c r="BG7" s="1230" t="s">
        <v>1220</v>
      </c>
      <c r="BH7" s="1230" t="s">
        <v>1240</v>
      </c>
      <c r="BI7" s="1230" t="s">
        <v>1219</v>
      </c>
      <c r="BJ7" s="1230" t="s">
        <v>1256</v>
      </c>
      <c r="BK7" s="1230" t="s">
        <v>1251</v>
      </c>
      <c r="BL7" s="1230" t="s">
        <v>1277</v>
      </c>
      <c r="BM7" s="1553" t="s">
        <v>603</v>
      </c>
    </row>
    <row r="8" spans="1:84" s="1554" customFormat="1" ht="15">
      <c r="A8" s="1066"/>
      <c r="B8" s="1169"/>
      <c r="C8" s="1169" t="s">
        <v>1023</v>
      </c>
      <c r="D8" s="1176" t="s">
        <v>755</v>
      </c>
      <c r="E8" s="1991" t="s">
        <v>1278</v>
      </c>
      <c r="F8" s="1728">
        <f>SUM(H8:BL8)</f>
        <v>2064865510.0799997</v>
      </c>
      <c r="G8" s="1065"/>
      <c r="H8" s="1935">
        <v>48015763.450000003</v>
      </c>
      <c r="I8" s="1936">
        <v>17653081.149999999</v>
      </c>
      <c r="J8" s="1936">
        <v>1077052742.55</v>
      </c>
      <c r="K8" s="1936">
        <v>2022554</v>
      </c>
      <c r="L8" s="1936">
        <v>24555348.370000001</v>
      </c>
      <c r="M8" s="1834">
        <v>8206717.8600000003</v>
      </c>
      <c r="N8" s="1937">
        <v>1923901.7200000002</v>
      </c>
      <c r="O8" s="1834">
        <v>7723537.5899999999</v>
      </c>
      <c r="P8" s="1937">
        <v>6486619.7800000003</v>
      </c>
      <c r="Q8" s="1937">
        <v>39590644.869999997</v>
      </c>
      <c r="R8" s="1937">
        <v>5149270.54</v>
      </c>
      <c r="S8" s="1937">
        <v>4686053.0100000007</v>
      </c>
      <c r="T8" s="1937">
        <v>5691356.8599999994</v>
      </c>
      <c r="U8" s="1937">
        <v>7119469.8299999991</v>
      </c>
      <c r="V8" s="1937">
        <v>15623573.51</v>
      </c>
      <c r="W8" s="1937">
        <v>2067320.94</v>
      </c>
      <c r="X8" s="1937">
        <v>832201.52</v>
      </c>
      <c r="Y8" s="1937">
        <v>5037643.7700000014</v>
      </c>
      <c r="Z8" s="1937">
        <v>61700884.999999985</v>
      </c>
      <c r="AA8" s="1937">
        <v>657190.51</v>
      </c>
      <c r="AB8" s="1938">
        <v>14045825.699999999</v>
      </c>
      <c r="AC8" s="1938">
        <v>27749628.34</v>
      </c>
      <c r="AD8" s="1938">
        <v>1199446.01</v>
      </c>
      <c r="AE8" s="1938">
        <v>1781379.7599999998</v>
      </c>
      <c r="AF8" s="1938">
        <v>12863993.760000005</v>
      </c>
      <c r="AG8" s="1938">
        <v>36258335.009999998</v>
      </c>
      <c r="AH8" s="1938">
        <v>3327671.63</v>
      </c>
      <c r="AI8" s="1938">
        <v>569408.38</v>
      </c>
      <c r="AJ8" s="1938">
        <v>43993221.719999991</v>
      </c>
      <c r="AK8" s="1938">
        <v>4942684.34</v>
      </c>
      <c r="AL8" s="1938">
        <v>438836.61000000004</v>
      </c>
      <c r="AM8" s="1938">
        <v>7527657.879999999</v>
      </c>
      <c r="AN8" s="1938">
        <v>56898735.68999999</v>
      </c>
      <c r="AO8" s="1938">
        <v>9675168.8300000001</v>
      </c>
      <c r="AP8" s="1938">
        <v>891282.84</v>
      </c>
      <c r="AQ8" s="1938">
        <v>1490386.4400000002</v>
      </c>
      <c r="AR8" s="1938">
        <v>692272.09</v>
      </c>
      <c r="AS8" s="1938">
        <v>18700193.910000008</v>
      </c>
      <c r="AT8" s="1938">
        <v>31318256.109999999</v>
      </c>
      <c r="AU8" s="1938">
        <v>1754277.3499999996</v>
      </c>
      <c r="AV8" s="1938">
        <v>7730919.7500000019</v>
      </c>
      <c r="AW8" s="1938">
        <v>1368881.1799999995</v>
      </c>
      <c r="AX8" s="1938">
        <v>885548.53</v>
      </c>
      <c r="AY8" s="1938">
        <v>17051809.460000005</v>
      </c>
      <c r="AZ8" s="1938">
        <v>2268540.13</v>
      </c>
      <c r="BA8" s="1938">
        <v>38181684.000000015</v>
      </c>
      <c r="BB8" s="1938">
        <v>24406615.380000003</v>
      </c>
      <c r="BC8" s="1938">
        <v>1135026.92</v>
      </c>
      <c r="BD8" s="1938">
        <v>936641.14000000013</v>
      </c>
      <c r="BE8" s="1938">
        <v>109702735.43000001</v>
      </c>
      <c r="BF8" s="1938">
        <v>47527234.929999985</v>
      </c>
      <c r="BG8" s="1938">
        <v>46559407.710000008</v>
      </c>
      <c r="BH8" s="1938">
        <v>39329186.219999999</v>
      </c>
      <c r="BI8" s="1938">
        <v>74371633.600000024</v>
      </c>
      <c r="BJ8" s="1938">
        <v>1258968.7600000002</v>
      </c>
      <c r="BK8" s="1938">
        <v>23983202.469999999</v>
      </c>
      <c r="BL8" s="1938">
        <v>10252935.24</v>
      </c>
      <c r="BM8" s="1730">
        <f>SUM(H8:BL8)</f>
        <v>2064865510.0799997</v>
      </c>
      <c r="BN8" s="679"/>
    </row>
    <row r="9" spans="1:84" s="1554" customFormat="1">
      <c r="A9" s="1066"/>
      <c r="B9" s="437"/>
      <c r="C9" s="1169" t="s">
        <v>1024</v>
      </c>
      <c r="D9" s="437" t="s">
        <v>1025</v>
      </c>
      <c r="E9" s="1991" t="s">
        <v>1326</v>
      </c>
      <c r="F9" s="1728">
        <f t="shared" ref="F9:F19" si="0">SUM(H9:BL9)</f>
        <v>2064979040.0299993</v>
      </c>
      <c r="G9" s="1065"/>
      <c r="H9" s="1939">
        <v>48016354.870000005</v>
      </c>
      <c r="I9" s="1922">
        <v>17653081.149999999</v>
      </c>
      <c r="J9" s="1922">
        <v>1077067151.3399997</v>
      </c>
      <c r="K9" s="1922">
        <v>2022554</v>
      </c>
      <c r="L9" s="1922">
        <v>24555348.370000001</v>
      </c>
      <c r="M9" s="1835">
        <v>8206717.8600000003</v>
      </c>
      <c r="N9" s="1938">
        <v>1923901.7200000002</v>
      </c>
      <c r="O9" s="1835">
        <v>7723537.5899999999</v>
      </c>
      <c r="P9" s="1938">
        <v>6486619.7800000003</v>
      </c>
      <c r="Q9" s="1938">
        <v>39590644.869999997</v>
      </c>
      <c r="R9" s="1938">
        <v>5149270.54</v>
      </c>
      <c r="S9" s="1938">
        <v>4686053.0100000007</v>
      </c>
      <c r="T9" s="1938">
        <v>5691356.8599999994</v>
      </c>
      <c r="U9" s="1938">
        <v>7119469.8299999991</v>
      </c>
      <c r="V9" s="1938">
        <v>15623573.51</v>
      </c>
      <c r="W9" s="1938">
        <v>2067320.94</v>
      </c>
      <c r="X9" s="1938">
        <v>832201.52</v>
      </c>
      <c r="Y9" s="1938">
        <v>5037643.7700000014</v>
      </c>
      <c r="Z9" s="1938">
        <v>61701345.549999997</v>
      </c>
      <c r="AA9" s="1938">
        <v>657190.51</v>
      </c>
      <c r="AB9" s="1938">
        <v>14104068.869999997</v>
      </c>
      <c r="AC9" s="1938">
        <v>27749628.34</v>
      </c>
      <c r="AD9" s="1938">
        <v>1199446.01</v>
      </c>
      <c r="AE9" s="1938">
        <v>1781379.7599999998</v>
      </c>
      <c r="AF9" s="1938">
        <v>12863993.760000005</v>
      </c>
      <c r="AG9" s="1938">
        <v>36258335.009999998</v>
      </c>
      <c r="AH9" s="1938">
        <v>3327671.63</v>
      </c>
      <c r="AI9" s="1938">
        <v>569408.38</v>
      </c>
      <c r="AJ9" s="1938">
        <v>43993221.719999991</v>
      </c>
      <c r="AK9" s="1938">
        <v>4942684.34</v>
      </c>
      <c r="AL9" s="1938">
        <v>438836.61000000004</v>
      </c>
      <c r="AM9" s="1938">
        <v>7527657.879999999</v>
      </c>
      <c r="AN9" s="1938">
        <v>56939270.359999992</v>
      </c>
      <c r="AO9" s="1938">
        <v>9675168.8300000001</v>
      </c>
      <c r="AP9" s="1938">
        <v>891282.84</v>
      </c>
      <c r="AQ9" s="1938">
        <v>1490386.4400000002</v>
      </c>
      <c r="AR9" s="1938">
        <v>692272.09</v>
      </c>
      <c r="AS9" s="1938">
        <v>18700193.910000008</v>
      </c>
      <c r="AT9" s="1938">
        <v>31318256.109999999</v>
      </c>
      <c r="AU9" s="1938">
        <v>1754277.3499999996</v>
      </c>
      <c r="AV9" s="1938">
        <v>7730919.7500000019</v>
      </c>
      <c r="AW9" s="1938">
        <v>1368881.1799999995</v>
      </c>
      <c r="AX9" s="1938">
        <v>885548.53</v>
      </c>
      <c r="AY9" s="1938">
        <v>17051935.780000005</v>
      </c>
      <c r="AZ9" s="1938">
        <v>2268540.13</v>
      </c>
      <c r="BA9" s="1938">
        <v>38181684.000000015</v>
      </c>
      <c r="BB9" s="1938">
        <v>24406615.380000003</v>
      </c>
      <c r="BC9" s="1938">
        <v>1135026.92</v>
      </c>
      <c r="BD9" s="1938">
        <v>936641.14000000013</v>
      </c>
      <c r="BE9" s="1938">
        <v>109699373.16000001</v>
      </c>
      <c r="BF9" s="1938">
        <v>47527263.529999994</v>
      </c>
      <c r="BG9" s="1938">
        <v>46559407.710000008</v>
      </c>
      <c r="BH9" s="1938">
        <v>39330955.390000001</v>
      </c>
      <c r="BI9" s="1938">
        <v>74372639.430000022</v>
      </c>
      <c r="BJ9" s="1938">
        <v>1258968.7600000002</v>
      </c>
      <c r="BK9" s="1938">
        <v>23983202.469999999</v>
      </c>
      <c r="BL9" s="1938">
        <v>10252658.939999999</v>
      </c>
      <c r="BM9" s="1730">
        <f t="shared" ref="BM9:BM19" si="1">SUM(H9:BL9)</f>
        <v>2064979040.0299993</v>
      </c>
      <c r="BN9" s="679"/>
    </row>
    <row r="10" spans="1:84" s="1554" customFormat="1">
      <c r="A10" s="1065"/>
      <c r="B10" s="1169"/>
      <c r="C10" s="437" t="s">
        <v>1026</v>
      </c>
      <c r="D10" s="437" t="s">
        <v>1025</v>
      </c>
      <c r="E10" s="437" t="s">
        <v>1326</v>
      </c>
      <c r="F10" s="1728">
        <f t="shared" si="0"/>
        <v>2065243790.269999</v>
      </c>
      <c r="G10" s="1065"/>
      <c r="H10" s="1939">
        <v>48016354.870000005</v>
      </c>
      <c r="I10" s="1922">
        <v>17653081.149999999</v>
      </c>
      <c r="J10" s="1922">
        <v>1077095460.8899994</v>
      </c>
      <c r="K10" s="1922">
        <v>2022554</v>
      </c>
      <c r="L10" s="1922">
        <v>24555348.370000001</v>
      </c>
      <c r="M10" s="1835">
        <v>8206717.8600000003</v>
      </c>
      <c r="N10" s="1938">
        <v>1923901.7200000002</v>
      </c>
      <c r="O10" s="1835">
        <v>7723537.5899999999</v>
      </c>
      <c r="P10" s="1938">
        <v>6486619.7800000003</v>
      </c>
      <c r="Q10" s="1938">
        <v>39590644.869999997</v>
      </c>
      <c r="R10" s="1938">
        <v>5149270.54</v>
      </c>
      <c r="S10" s="1938">
        <v>4686053.0100000007</v>
      </c>
      <c r="T10" s="1938">
        <v>5691356.8599999994</v>
      </c>
      <c r="U10" s="1938">
        <v>7119469.8299999991</v>
      </c>
      <c r="V10" s="1938">
        <v>15623573.51</v>
      </c>
      <c r="W10" s="1938">
        <v>2067320.94</v>
      </c>
      <c r="X10" s="1938">
        <v>832201.52</v>
      </c>
      <c r="Y10" s="1938">
        <v>5037643.7700000014</v>
      </c>
      <c r="Z10" s="1938">
        <v>61701383.75999999</v>
      </c>
      <c r="AA10" s="1938">
        <v>657190.51</v>
      </c>
      <c r="AB10" s="1938">
        <v>14219320.289999999</v>
      </c>
      <c r="AC10" s="1938">
        <v>27753857.849999998</v>
      </c>
      <c r="AD10" s="1938">
        <v>1199446.01</v>
      </c>
      <c r="AE10" s="1938">
        <v>1781379.7599999998</v>
      </c>
      <c r="AF10" s="1938">
        <v>12863993.760000005</v>
      </c>
      <c r="AG10" s="1938">
        <v>36258335.009999998</v>
      </c>
      <c r="AH10" s="1938">
        <v>3327671.63</v>
      </c>
      <c r="AI10" s="1938">
        <v>569408.38</v>
      </c>
      <c r="AJ10" s="1938">
        <v>43993221.719999991</v>
      </c>
      <c r="AK10" s="1938">
        <v>4942684.34</v>
      </c>
      <c r="AL10" s="1938">
        <v>438836.61000000004</v>
      </c>
      <c r="AM10" s="1938">
        <v>7527657.879999999</v>
      </c>
      <c r="AN10" s="1938">
        <v>56921278.229999989</v>
      </c>
      <c r="AO10" s="1938">
        <v>9675168.8300000001</v>
      </c>
      <c r="AP10" s="1938">
        <v>891282.84</v>
      </c>
      <c r="AQ10" s="1938">
        <v>1490386.4400000002</v>
      </c>
      <c r="AR10" s="1938">
        <v>692272.09</v>
      </c>
      <c r="AS10" s="1938">
        <v>18700193.910000008</v>
      </c>
      <c r="AT10" s="1938">
        <v>31318256.109999999</v>
      </c>
      <c r="AU10" s="1938">
        <v>1754277.3499999996</v>
      </c>
      <c r="AV10" s="1938">
        <v>7730919.7500000019</v>
      </c>
      <c r="AW10" s="1938">
        <v>1368881.1799999995</v>
      </c>
      <c r="AX10" s="1938">
        <v>885548.53</v>
      </c>
      <c r="AY10" s="1938">
        <v>17051935.780000005</v>
      </c>
      <c r="AZ10" s="1938">
        <v>2268540.13</v>
      </c>
      <c r="BA10" s="1938">
        <v>38181684.000000015</v>
      </c>
      <c r="BB10" s="1938">
        <v>24508417.140000004</v>
      </c>
      <c r="BC10" s="1938">
        <v>1135026.92</v>
      </c>
      <c r="BD10" s="1938">
        <v>936641.14000000013</v>
      </c>
      <c r="BE10" s="1938">
        <v>109727629.89</v>
      </c>
      <c r="BF10" s="1938">
        <v>47530713.429999992</v>
      </c>
      <c r="BG10" s="1938">
        <v>46559619.280000009</v>
      </c>
      <c r="BH10" s="1938">
        <v>39331309.390000001</v>
      </c>
      <c r="BI10" s="1938">
        <v>74373579.330000013</v>
      </c>
      <c r="BJ10" s="1938">
        <v>1258968.7600000002</v>
      </c>
      <c r="BK10" s="1938">
        <v>23983202.469999999</v>
      </c>
      <c r="BL10" s="1938">
        <v>10252558.76</v>
      </c>
      <c r="BM10" s="1730">
        <f t="shared" si="1"/>
        <v>2065243790.269999</v>
      </c>
      <c r="BN10" s="679"/>
    </row>
    <row r="11" spans="1:84" s="1554" customFormat="1">
      <c r="A11" s="1065"/>
      <c r="B11" s="1169"/>
      <c r="C11" s="437" t="s">
        <v>426</v>
      </c>
      <c r="D11" s="437" t="s">
        <v>1025</v>
      </c>
      <c r="E11" s="437" t="s">
        <v>1326</v>
      </c>
      <c r="F11" s="1728">
        <f t="shared" si="0"/>
        <v>2065437803.4399989</v>
      </c>
      <c r="G11" s="1065"/>
      <c r="H11" s="1939">
        <v>48016354.870000005</v>
      </c>
      <c r="I11" s="1922">
        <v>17653081.149999999</v>
      </c>
      <c r="J11" s="1922">
        <v>1077053364.7599993</v>
      </c>
      <c r="K11" s="1922">
        <v>2022554</v>
      </c>
      <c r="L11" s="1922">
        <v>24555348.370000001</v>
      </c>
      <c r="M11" s="1835">
        <v>8206717.8600000003</v>
      </c>
      <c r="N11" s="1938">
        <v>1923901.7200000002</v>
      </c>
      <c r="O11" s="1835">
        <v>7723537.5899999999</v>
      </c>
      <c r="P11" s="1938">
        <v>6486619.7800000003</v>
      </c>
      <c r="Q11" s="1938">
        <v>39590644.869999997</v>
      </c>
      <c r="R11" s="1938">
        <v>5149270.54</v>
      </c>
      <c r="S11" s="1938">
        <v>4686053.0100000007</v>
      </c>
      <c r="T11" s="1938">
        <v>5691356.8599999994</v>
      </c>
      <c r="U11" s="1938">
        <v>7119469.8299999991</v>
      </c>
      <c r="V11" s="1938">
        <v>15623573.51</v>
      </c>
      <c r="W11" s="1938">
        <v>2067320.94</v>
      </c>
      <c r="X11" s="1938">
        <v>832201.52</v>
      </c>
      <c r="Y11" s="1938">
        <v>5037643.7700000014</v>
      </c>
      <c r="Z11" s="1938">
        <v>61701383.75999999</v>
      </c>
      <c r="AA11" s="1938">
        <v>657190.51</v>
      </c>
      <c r="AB11" s="1938">
        <v>14228428.669999998</v>
      </c>
      <c r="AC11" s="1938">
        <v>27754909.459999997</v>
      </c>
      <c r="AD11" s="1938">
        <v>1199446.01</v>
      </c>
      <c r="AE11" s="1938">
        <v>1781379.7599999998</v>
      </c>
      <c r="AF11" s="1938">
        <v>12863993.760000005</v>
      </c>
      <c r="AG11" s="1938">
        <v>36258335.009999998</v>
      </c>
      <c r="AH11" s="1938">
        <v>3327671.63</v>
      </c>
      <c r="AI11" s="1938">
        <v>569408.38</v>
      </c>
      <c r="AJ11" s="1938">
        <v>43993221.719999991</v>
      </c>
      <c r="AK11" s="1938">
        <v>4942684.34</v>
      </c>
      <c r="AL11" s="1938">
        <v>438836.61000000004</v>
      </c>
      <c r="AM11" s="1938">
        <v>7527657.879999999</v>
      </c>
      <c r="AN11" s="1938">
        <v>56955394.499999993</v>
      </c>
      <c r="AO11" s="1938">
        <v>9675168.8300000001</v>
      </c>
      <c r="AP11" s="1938">
        <v>891282.84</v>
      </c>
      <c r="AQ11" s="1938">
        <v>1490386.4400000002</v>
      </c>
      <c r="AR11" s="1938">
        <v>692272.09</v>
      </c>
      <c r="AS11" s="1938">
        <v>18700193.910000008</v>
      </c>
      <c r="AT11" s="1938">
        <v>31318256.109999999</v>
      </c>
      <c r="AU11" s="1938">
        <v>1754277.3499999996</v>
      </c>
      <c r="AV11" s="1938">
        <v>7730919.7500000019</v>
      </c>
      <c r="AW11" s="1938">
        <v>1368881.1799999995</v>
      </c>
      <c r="AX11" s="1938">
        <v>885548.53</v>
      </c>
      <c r="AY11" s="1938">
        <v>17054807.080000002</v>
      </c>
      <c r="AZ11" s="1938">
        <v>2268540.13</v>
      </c>
      <c r="BA11" s="1938">
        <v>38181684.000000015</v>
      </c>
      <c r="BB11" s="1938">
        <v>24547838.670000006</v>
      </c>
      <c r="BC11" s="1938">
        <v>1135026.92</v>
      </c>
      <c r="BD11" s="1938">
        <v>936641.14000000013</v>
      </c>
      <c r="BE11" s="1938">
        <v>109871565.92000002</v>
      </c>
      <c r="BF11" s="1938">
        <v>47530742.029999994</v>
      </c>
      <c r="BG11" s="1938">
        <v>46559703.620000005</v>
      </c>
      <c r="BH11" s="1938">
        <v>39334521.390000001</v>
      </c>
      <c r="BI11" s="1938">
        <v>74374519.230000019</v>
      </c>
      <c r="BJ11" s="1938">
        <v>1258968.7600000002</v>
      </c>
      <c r="BK11" s="1938">
        <v>23983202.469999999</v>
      </c>
      <c r="BL11" s="1938">
        <v>10253898.1</v>
      </c>
      <c r="BM11" s="1730">
        <f t="shared" si="1"/>
        <v>2065437803.4399989</v>
      </c>
      <c r="BN11" s="679"/>
    </row>
    <row r="12" spans="1:84" s="1554" customFormat="1">
      <c r="A12" s="1066"/>
      <c r="B12" s="1169"/>
      <c r="C12" s="1169" t="s">
        <v>295</v>
      </c>
      <c r="D12" s="437" t="s">
        <v>1025</v>
      </c>
      <c r="E12" s="437" t="s">
        <v>1326</v>
      </c>
      <c r="F12" s="1728">
        <f t="shared" si="0"/>
        <v>2066190561.259999</v>
      </c>
      <c r="G12" s="1065"/>
      <c r="H12" s="1939">
        <v>48601167.31000001</v>
      </c>
      <c r="I12" s="1922">
        <v>17653081.149999999</v>
      </c>
      <c r="J12" s="1922">
        <v>1077076549.7699993</v>
      </c>
      <c r="K12" s="1922">
        <v>2022554</v>
      </c>
      <c r="L12" s="1922">
        <v>24555348.370000001</v>
      </c>
      <c r="M12" s="1835">
        <v>8206717.8600000003</v>
      </c>
      <c r="N12" s="1938">
        <v>1923901.7200000002</v>
      </c>
      <c r="O12" s="1835">
        <v>7723537.5899999999</v>
      </c>
      <c r="P12" s="1938">
        <v>6486619.7800000003</v>
      </c>
      <c r="Q12" s="1938">
        <v>39590644.869999997</v>
      </c>
      <c r="R12" s="1938">
        <v>5149270.54</v>
      </c>
      <c r="S12" s="1938">
        <v>4686053.0100000007</v>
      </c>
      <c r="T12" s="1938">
        <v>5691356.8599999994</v>
      </c>
      <c r="U12" s="1938">
        <v>7119469.8299999991</v>
      </c>
      <c r="V12" s="1938">
        <v>15623573.51</v>
      </c>
      <c r="W12" s="1938">
        <v>2067320.94</v>
      </c>
      <c r="X12" s="1938">
        <v>832201.52</v>
      </c>
      <c r="Y12" s="1938">
        <v>5037643.7700000014</v>
      </c>
      <c r="Z12" s="1938">
        <v>61701383.75999999</v>
      </c>
      <c r="AA12" s="1938">
        <v>657190.51</v>
      </c>
      <c r="AB12" s="1938">
        <v>14227116.57</v>
      </c>
      <c r="AC12" s="1938">
        <v>27754909.459999997</v>
      </c>
      <c r="AD12" s="1938">
        <v>1199446.01</v>
      </c>
      <c r="AE12" s="1938">
        <v>1781379.7599999998</v>
      </c>
      <c r="AF12" s="1938">
        <v>12863993.760000005</v>
      </c>
      <c r="AG12" s="1938">
        <v>36258335.009999998</v>
      </c>
      <c r="AH12" s="1938">
        <v>3327671.63</v>
      </c>
      <c r="AI12" s="1938">
        <v>569408.38</v>
      </c>
      <c r="AJ12" s="1938">
        <v>43993221.719999991</v>
      </c>
      <c r="AK12" s="1938">
        <v>4942684.34</v>
      </c>
      <c r="AL12" s="1938">
        <v>438836.61000000004</v>
      </c>
      <c r="AM12" s="1938">
        <v>7407253.7399999993</v>
      </c>
      <c r="AN12" s="1938">
        <v>56952818.309999987</v>
      </c>
      <c r="AO12" s="1938">
        <v>9675168.8300000001</v>
      </c>
      <c r="AP12" s="1938">
        <v>891282.84</v>
      </c>
      <c r="AQ12" s="1938">
        <v>1490386.4400000002</v>
      </c>
      <c r="AR12" s="1938">
        <v>692272.09</v>
      </c>
      <c r="AS12" s="1938">
        <v>18700193.910000008</v>
      </c>
      <c r="AT12" s="1938">
        <v>31318256.109999999</v>
      </c>
      <c r="AU12" s="1938">
        <v>1754277.3499999996</v>
      </c>
      <c r="AV12" s="1938">
        <v>7730919.7500000019</v>
      </c>
      <c r="AW12" s="1938">
        <v>1368881.1799999995</v>
      </c>
      <c r="AX12" s="1938">
        <v>885548.53</v>
      </c>
      <c r="AY12" s="1938">
        <v>17063218.310000002</v>
      </c>
      <c r="AZ12" s="1938">
        <v>2268540.13</v>
      </c>
      <c r="BA12" s="1938">
        <v>38181684.000000015</v>
      </c>
      <c r="BB12" s="1938">
        <v>24544702.280000005</v>
      </c>
      <c r="BC12" s="1938">
        <v>1135026.92</v>
      </c>
      <c r="BD12" s="1938">
        <v>936641.14000000013</v>
      </c>
      <c r="BE12" s="1938">
        <v>110131149.85000002</v>
      </c>
      <c r="BF12" s="1938">
        <v>47531631.209999993</v>
      </c>
      <c r="BG12" s="1938">
        <v>46560705.940000005</v>
      </c>
      <c r="BH12" s="1938">
        <v>39333639.740000002</v>
      </c>
      <c r="BI12" s="1938">
        <v>74375459.130000025</v>
      </c>
      <c r="BJ12" s="1938">
        <v>1258968.7600000002</v>
      </c>
      <c r="BK12" s="1938">
        <v>23983202.469999999</v>
      </c>
      <c r="BL12" s="1938">
        <v>10256142.380000001</v>
      </c>
      <c r="BM12" s="1730">
        <f t="shared" si="1"/>
        <v>2066190561.259999</v>
      </c>
      <c r="BN12" s="679"/>
    </row>
    <row r="13" spans="1:84" s="1554" customFormat="1">
      <c r="A13" s="1065"/>
      <c r="B13" s="437"/>
      <c r="C13" s="437" t="s">
        <v>296</v>
      </c>
      <c r="D13" s="437" t="s">
        <v>1025</v>
      </c>
      <c r="E13" s="437" t="s">
        <v>1326</v>
      </c>
      <c r="F13" s="1728">
        <f t="shared" si="0"/>
        <v>2076367488.839999</v>
      </c>
      <c r="G13" s="1065"/>
      <c r="H13" s="1939">
        <v>48666046.010000005</v>
      </c>
      <c r="I13" s="1922">
        <v>17691806.469999999</v>
      </c>
      <c r="J13" s="1922">
        <v>1076933967.1399994</v>
      </c>
      <c r="K13" s="1922">
        <v>2022554</v>
      </c>
      <c r="L13" s="1922">
        <v>24555348.370000001</v>
      </c>
      <c r="M13" s="1835">
        <v>8206717.8600000003</v>
      </c>
      <c r="N13" s="1938">
        <v>1923901.7200000002</v>
      </c>
      <c r="O13" s="1835">
        <v>7723537.5899999999</v>
      </c>
      <c r="P13" s="1938">
        <v>6486619.7800000003</v>
      </c>
      <c r="Q13" s="1938">
        <v>39590644.869999997</v>
      </c>
      <c r="R13" s="1938">
        <v>5149270.54</v>
      </c>
      <c r="S13" s="1938">
        <v>4686053.0100000007</v>
      </c>
      <c r="T13" s="1938">
        <v>5691356.8599999994</v>
      </c>
      <c r="U13" s="1938">
        <v>7119469.8299999991</v>
      </c>
      <c r="V13" s="1938">
        <v>15623573.51</v>
      </c>
      <c r="W13" s="1938">
        <v>2067320.94</v>
      </c>
      <c r="X13" s="1938">
        <v>832201.52</v>
      </c>
      <c r="Y13" s="1938">
        <v>5037643.7700000014</v>
      </c>
      <c r="Z13" s="1938">
        <v>61701383.75999999</v>
      </c>
      <c r="AA13" s="1938">
        <v>657190.51</v>
      </c>
      <c r="AB13" s="1938">
        <v>14227182.359999999</v>
      </c>
      <c r="AC13" s="1938">
        <v>27754909.459999997</v>
      </c>
      <c r="AD13" s="1938">
        <v>1199446.01</v>
      </c>
      <c r="AE13" s="1938">
        <v>1781379.7599999998</v>
      </c>
      <c r="AF13" s="1938">
        <v>12863993.760000005</v>
      </c>
      <c r="AG13" s="1938">
        <v>36258335.009999998</v>
      </c>
      <c r="AH13" s="1938">
        <v>3327671.63</v>
      </c>
      <c r="AI13" s="1938">
        <v>569408.38</v>
      </c>
      <c r="AJ13" s="1938">
        <v>43993221.719999991</v>
      </c>
      <c r="AK13" s="1938">
        <v>4942684.34</v>
      </c>
      <c r="AL13" s="1938">
        <v>438836.61000000004</v>
      </c>
      <c r="AM13" s="1938">
        <v>7527657.879999999</v>
      </c>
      <c r="AN13" s="1938">
        <v>56954783.449999988</v>
      </c>
      <c r="AO13" s="1938">
        <v>9675168.8300000001</v>
      </c>
      <c r="AP13" s="1938">
        <v>891282.84</v>
      </c>
      <c r="AQ13" s="1938">
        <v>1490386.4400000002</v>
      </c>
      <c r="AR13" s="1938">
        <v>692272.09</v>
      </c>
      <c r="AS13" s="1938">
        <v>18700193.910000008</v>
      </c>
      <c r="AT13" s="1938">
        <v>31318256.109999999</v>
      </c>
      <c r="AU13" s="1938">
        <v>1754277.3499999996</v>
      </c>
      <c r="AV13" s="1938">
        <v>7730919.7500000019</v>
      </c>
      <c r="AW13" s="1938">
        <v>1368881.1799999995</v>
      </c>
      <c r="AX13" s="1938">
        <v>885548.53</v>
      </c>
      <c r="AY13" s="1938">
        <v>17069892.710000005</v>
      </c>
      <c r="AZ13" s="1938">
        <v>2268540.13</v>
      </c>
      <c r="BA13" s="1938">
        <v>38181684.000000015</v>
      </c>
      <c r="BB13" s="1938">
        <v>34318056.659999996</v>
      </c>
      <c r="BC13" s="1938">
        <v>1135026.92</v>
      </c>
      <c r="BD13" s="1938">
        <v>936641.14000000013</v>
      </c>
      <c r="BE13" s="1938">
        <v>110380299.75</v>
      </c>
      <c r="BF13" s="1938">
        <v>47531830.809999995</v>
      </c>
      <c r="BG13" s="1938">
        <v>46561598.360000007</v>
      </c>
      <c r="BH13" s="1938">
        <v>39333293.240000002</v>
      </c>
      <c r="BI13" s="1938">
        <v>74376399.030000016</v>
      </c>
      <c r="BJ13" s="1938">
        <v>1258968.7600000002</v>
      </c>
      <c r="BK13" s="1938">
        <v>23983202.469999999</v>
      </c>
      <c r="BL13" s="1938">
        <v>10318749.4</v>
      </c>
      <c r="BM13" s="1730">
        <f t="shared" si="1"/>
        <v>2076367488.839999</v>
      </c>
      <c r="BN13" s="679"/>
    </row>
    <row r="14" spans="1:84" s="1554" customFormat="1">
      <c r="A14" s="1065"/>
      <c r="B14" s="1169"/>
      <c r="C14" s="437" t="s">
        <v>1027</v>
      </c>
      <c r="D14" s="437" t="s">
        <v>1025</v>
      </c>
      <c r="E14" s="437" t="s">
        <v>1326</v>
      </c>
      <c r="F14" s="1728">
        <f t="shared" si="0"/>
        <v>2077271835.4199996</v>
      </c>
      <c r="G14" s="1065"/>
      <c r="H14" s="1939">
        <v>48677385.420000002</v>
      </c>
      <c r="I14" s="1922">
        <v>17692285.18</v>
      </c>
      <c r="J14" s="1922">
        <v>1076974215.7999997</v>
      </c>
      <c r="K14" s="1922">
        <v>2022554</v>
      </c>
      <c r="L14" s="1922">
        <v>24555348.370000001</v>
      </c>
      <c r="M14" s="1835">
        <v>8206717.8600000003</v>
      </c>
      <c r="N14" s="1938">
        <v>1923901.7200000002</v>
      </c>
      <c r="O14" s="1835">
        <v>7723537.5899999999</v>
      </c>
      <c r="P14" s="1938">
        <v>6486619.7800000003</v>
      </c>
      <c r="Q14" s="1938">
        <v>39590644.869999997</v>
      </c>
      <c r="R14" s="1938">
        <v>5149270.54</v>
      </c>
      <c r="S14" s="1938">
        <v>4686053.0100000007</v>
      </c>
      <c r="T14" s="1938">
        <v>5691356.8599999994</v>
      </c>
      <c r="U14" s="1938">
        <v>7290133.3799999999</v>
      </c>
      <c r="V14" s="1938">
        <v>15623573.51</v>
      </c>
      <c r="W14" s="1938">
        <v>2067320.94</v>
      </c>
      <c r="X14" s="1938">
        <v>832201.52</v>
      </c>
      <c r="Y14" s="1938">
        <v>5037643.7700000014</v>
      </c>
      <c r="Z14" s="1938">
        <v>61701757.549999997</v>
      </c>
      <c r="AA14" s="1938">
        <v>657190.51</v>
      </c>
      <c r="AB14" s="1938">
        <v>14406461.169999998</v>
      </c>
      <c r="AC14" s="1938">
        <v>27754909.459999997</v>
      </c>
      <c r="AD14" s="1938">
        <v>1199446.01</v>
      </c>
      <c r="AE14" s="1938">
        <v>1781379.7599999998</v>
      </c>
      <c r="AF14" s="1938">
        <v>12863993.760000005</v>
      </c>
      <c r="AG14" s="1938">
        <v>36258335.009999998</v>
      </c>
      <c r="AH14" s="1938">
        <v>3327671.63</v>
      </c>
      <c r="AI14" s="1938">
        <v>569408.38</v>
      </c>
      <c r="AJ14" s="1938">
        <v>43993221.719999991</v>
      </c>
      <c r="AK14" s="1938">
        <v>4942684.34</v>
      </c>
      <c r="AL14" s="1938">
        <v>438836.61000000004</v>
      </c>
      <c r="AM14" s="1938">
        <v>7527657.879999999</v>
      </c>
      <c r="AN14" s="1938">
        <v>56957162.029999994</v>
      </c>
      <c r="AO14" s="1938">
        <v>9675168.8300000001</v>
      </c>
      <c r="AP14" s="1938">
        <v>891282.84</v>
      </c>
      <c r="AQ14" s="1938">
        <v>1490386.4400000002</v>
      </c>
      <c r="AR14" s="1938">
        <v>692272.09</v>
      </c>
      <c r="AS14" s="1938">
        <v>18700193.910000008</v>
      </c>
      <c r="AT14" s="1938">
        <v>31318256.109999999</v>
      </c>
      <c r="AU14" s="1938">
        <v>1754277.3499999996</v>
      </c>
      <c r="AV14" s="1938">
        <v>7730919.7500000019</v>
      </c>
      <c r="AW14" s="1938">
        <v>1368881.1799999995</v>
      </c>
      <c r="AX14" s="1938">
        <v>885548.53</v>
      </c>
      <c r="AY14" s="1938">
        <v>17070243.630000003</v>
      </c>
      <c r="AZ14" s="1938">
        <v>2268540.13</v>
      </c>
      <c r="BA14" s="1938">
        <v>38181684.000000015</v>
      </c>
      <c r="BB14" s="1938">
        <v>34369810.18</v>
      </c>
      <c r="BC14" s="1938">
        <v>1135026.92</v>
      </c>
      <c r="BD14" s="1938">
        <v>936641.14000000013</v>
      </c>
      <c r="BE14" s="1938">
        <v>110722287.77000001</v>
      </c>
      <c r="BF14" s="1938">
        <v>47540904.809999995</v>
      </c>
      <c r="BG14" s="1938">
        <v>46560936.920000009</v>
      </c>
      <c r="BH14" s="1938">
        <v>39333552.740000002</v>
      </c>
      <c r="BI14" s="1938">
        <v>74377338.930000022</v>
      </c>
      <c r="BJ14" s="1938">
        <v>1258968.7600000002</v>
      </c>
      <c r="BK14" s="1938">
        <v>23983202.469999999</v>
      </c>
      <c r="BL14" s="1938">
        <v>10414630.049999999</v>
      </c>
      <c r="BM14" s="1730">
        <f t="shared" si="1"/>
        <v>2077271835.4199996</v>
      </c>
      <c r="BN14" s="679"/>
    </row>
    <row r="15" spans="1:84" s="1554" customFormat="1">
      <c r="A15" s="1066"/>
      <c r="B15" s="437"/>
      <c r="C15" s="1169" t="s">
        <v>1028</v>
      </c>
      <c r="D15" s="437" t="s">
        <v>1025</v>
      </c>
      <c r="E15" s="437" t="s">
        <v>1326</v>
      </c>
      <c r="F15" s="1728">
        <f t="shared" si="0"/>
        <v>2073738935.3099992</v>
      </c>
      <c r="G15" s="1065"/>
      <c r="H15" s="1939">
        <v>48678125.370000005</v>
      </c>
      <c r="I15" s="1922">
        <v>17694616.07</v>
      </c>
      <c r="J15" s="1922">
        <v>1071752682.5899994</v>
      </c>
      <c r="K15" s="1922">
        <v>2022554</v>
      </c>
      <c r="L15" s="1922">
        <v>24555348.370000001</v>
      </c>
      <c r="M15" s="1835">
        <v>8206717.8600000003</v>
      </c>
      <c r="N15" s="1938">
        <v>1923901.7200000002</v>
      </c>
      <c r="O15" s="1835">
        <v>7723537.5899999999</v>
      </c>
      <c r="P15" s="1938">
        <v>6486619.7800000003</v>
      </c>
      <c r="Q15" s="1938">
        <v>39590644.869999997</v>
      </c>
      <c r="R15" s="1938">
        <v>5149270.54</v>
      </c>
      <c r="S15" s="1938">
        <v>4686053.0100000007</v>
      </c>
      <c r="T15" s="1938">
        <v>5691356.8599999994</v>
      </c>
      <c r="U15" s="1938">
        <v>7293342.6599999992</v>
      </c>
      <c r="V15" s="1938">
        <v>15623573.51</v>
      </c>
      <c r="W15" s="1938">
        <v>2067320.94</v>
      </c>
      <c r="X15" s="1938">
        <v>832201.52</v>
      </c>
      <c r="Y15" s="1938">
        <v>5037643.7700000014</v>
      </c>
      <c r="Z15" s="1938">
        <v>61522460.879999995</v>
      </c>
      <c r="AA15" s="1938">
        <v>657190.51</v>
      </c>
      <c r="AB15" s="1938">
        <v>14689532.189999994</v>
      </c>
      <c r="AC15" s="1938">
        <v>27754909.459999997</v>
      </c>
      <c r="AD15" s="1938">
        <v>1199446.01</v>
      </c>
      <c r="AE15" s="1938">
        <v>1781379.7599999998</v>
      </c>
      <c r="AF15" s="1938">
        <v>12863993.760000005</v>
      </c>
      <c r="AG15" s="1938">
        <v>36258335.009999998</v>
      </c>
      <c r="AH15" s="1938">
        <v>3327671.63</v>
      </c>
      <c r="AI15" s="1938">
        <v>569408.38</v>
      </c>
      <c r="AJ15" s="1938">
        <v>43993221.719999991</v>
      </c>
      <c r="AK15" s="1938">
        <v>4942684.34</v>
      </c>
      <c r="AL15" s="1938">
        <v>438836.61000000004</v>
      </c>
      <c r="AM15" s="1938">
        <v>7527657.879999999</v>
      </c>
      <c r="AN15" s="1938">
        <v>58119234.929999992</v>
      </c>
      <c r="AO15" s="1938">
        <v>9675168.8300000001</v>
      </c>
      <c r="AP15" s="1938">
        <v>891282.84</v>
      </c>
      <c r="AQ15" s="1938">
        <v>1490386.4400000002</v>
      </c>
      <c r="AR15" s="1938">
        <v>692272.09</v>
      </c>
      <c r="AS15" s="1938">
        <v>18700193.910000008</v>
      </c>
      <c r="AT15" s="1938">
        <v>31318256.109999999</v>
      </c>
      <c r="AU15" s="1938">
        <v>1754277.3499999996</v>
      </c>
      <c r="AV15" s="1938">
        <v>7730919.7500000019</v>
      </c>
      <c r="AW15" s="1938">
        <v>1368881.1799999995</v>
      </c>
      <c r="AX15" s="1938">
        <v>885548.53</v>
      </c>
      <c r="AY15" s="1938">
        <v>17070243.630000003</v>
      </c>
      <c r="AZ15" s="1938">
        <v>2268540.13</v>
      </c>
      <c r="BA15" s="1938">
        <v>38181684.000000015</v>
      </c>
      <c r="BB15" s="1938">
        <v>34623004.850000001</v>
      </c>
      <c r="BC15" s="1938">
        <v>1135026.92</v>
      </c>
      <c r="BD15" s="1938">
        <v>936641.14000000013</v>
      </c>
      <c r="BE15" s="1938">
        <v>111073790.17000002</v>
      </c>
      <c r="BF15" s="1938">
        <v>47540962.00999999</v>
      </c>
      <c r="BG15" s="1938">
        <v>46562068.420000002</v>
      </c>
      <c r="BH15" s="1938">
        <v>39113424.079999998</v>
      </c>
      <c r="BI15" s="1938">
        <v>74378278.830000013</v>
      </c>
      <c r="BJ15" s="1938">
        <v>1258968.7600000002</v>
      </c>
      <c r="BK15" s="1938">
        <v>23981836.530000001</v>
      </c>
      <c r="BL15" s="1938">
        <v>10445804.710000001</v>
      </c>
      <c r="BM15" s="1730">
        <f t="shared" si="1"/>
        <v>2073738935.3099992</v>
      </c>
      <c r="BN15" s="679"/>
    </row>
    <row r="16" spans="1:84" s="1554" customFormat="1">
      <c r="A16" s="1065"/>
      <c r="B16" s="1169"/>
      <c r="C16" s="437" t="s">
        <v>1029</v>
      </c>
      <c r="D16" s="437" t="s">
        <v>1025</v>
      </c>
      <c r="E16" s="437" t="s">
        <v>1326</v>
      </c>
      <c r="F16" s="1728">
        <f t="shared" si="0"/>
        <v>2076968783.3499992</v>
      </c>
      <c r="G16" s="1065"/>
      <c r="H16" s="1939">
        <v>48678449.290000007</v>
      </c>
      <c r="I16" s="1922">
        <v>17693615.109999999</v>
      </c>
      <c r="J16" s="1922">
        <v>1071819098.3699996</v>
      </c>
      <c r="K16" s="1922">
        <v>2022554</v>
      </c>
      <c r="L16" s="1922">
        <v>24555348.370000001</v>
      </c>
      <c r="M16" s="1835">
        <v>8206717.8600000003</v>
      </c>
      <c r="N16" s="1938">
        <v>1923901.7200000002</v>
      </c>
      <c r="O16" s="1835">
        <v>7723537.5899999999</v>
      </c>
      <c r="P16" s="1938">
        <v>6486619.7800000003</v>
      </c>
      <c r="Q16" s="1938">
        <v>39590644.869999997</v>
      </c>
      <c r="R16" s="1938">
        <v>5149270.54</v>
      </c>
      <c r="S16" s="1938">
        <v>4686053.0100000007</v>
      </c>
      <c r="T16" s="1938">
        <v>5691356.8599999994</v>
      </c>
      <c r="U16" s="1938">
        <v>7294074.2699999996</v>
      </c>
      <c r="V16" s="1938">
        <v>15623573.51</v>
      </c>
      <c r="W16" s="1938">
        <v>2067320.94</v>
      </c>
      <c r="X16" s="1938">
        <v>832201.52</v>
      </c>
      <c r="Y16" s="1938">
        <v>5037643.7700000014</v>
      </c>
      <c r="Z16" s="1938">
        <v>61522460.879999995</v>
      </c>
      <c r="AA16" s="1938">
        <v>657190.51</v>
      </c>
      <c r="AB16" s="1938">
        <v>14698143.809999995</v>
      </c>
      <c r="AC16" s="1938">
        <v>27754909.459999997</v>
      </c>
      <c r="AD16" s="1938">
        <v>1199446.01</v>
      </c>
      <c r="AE16" s="1938">
        <v>1781379.7599999998</v>
      </c>
      <c r="AF16" s="1938">
        <v>12863993.760000005</v>
      </c>
      <c r="AG16" s="1938">
        <v>36258335.009999998</v>
      </c>
      <c r="AH16" s="1938">
        <v>3327671.63</v>
      </c>
      <c r="AI16" s="1938">
        <v>569408.38</v>
      </c>
      <c r="AJ16" s="1938">
        <v>43993221.719999991</v>
      </c>
      <c r="AK16" s="1938">
        <v>4942684.34</v>
      </c>
      <c r="AL16" s="1938">
        <v>438836.61000000004</v>
      </c>
      <c r="AM16" s="1938">
        <v>7527657.879999999</v>
      </c>
      <c r="AN16" s="1938">
        <v>58390445.249999985</v>
      </c>
      <c r="AO16" s="1938">
        <v>9675168.8300000001</v>
      </c>
      <c r="AP16" s="1938">
        <v>891282.84</v>
      </c>
      <c r="AQ16" s="1938">
        <v>1490386.4400000002</v>
      </c>
      <c r="AR16" s="1938">
        <v>692272.09</v>
      </c>
      <c r="AS16" s="1938">
        <v>18700193.910000008</v>
      </c>
      <c r="AT16" s="1938">
        <v>31318256.109999999</v>
      </c>
      <c r="AU16" s="1938">
        <v>1754277.3499999996</v>
      </c>
      <c r="AV16" s="1938">
        <v>7730919.7500000019</v>
      </c>
      <c r="AW16" s="1938">
        <v>1368881.1799999995</v>
      </c>
      <c r="AX16" s="1938">
        <v>885548.53</v>
      </c>
      <c r="AY16" s="1938">
        <v>18472708.060000002</v>
      </c>
      <c r="AZ16" s="1938">
        <v>2268540.13</v>
      </c>
      <c r="BA16" s="1938">
        <v>38181684.000000015</v>
      </c>
      <c r="BB16" s="1938">
        <v>34767814.420000002</v>
      </c>
      <c r="BC16" s="1938">
        <v>1135026.92</v>
      </c>
      <c r="BD16" s="1938">
        <v>936641.14000000013</v>
      </c>
      <c r="BE16" s="1938">
        <v>111598403.84000002</v>
      </c>
      <c r="BF16" s="1938">
        <v>47540990.609999992</v>
      </c>
      <c r="BG16" s="1938">
        <v>46562068.420000002</v>
      </c>
      <c r="BH16" s="1938">
        <v>39113424.079999998</v>
      </c>
      <c r="BI16" s="1938">
        <v>74379218.730000019</v>
      </c>
      <c r="BJ16" s="1938">
        <v>2081326.4800000002</v>
      </c>
      <c r="BK16" s="1938">
        <v>23981836.530000001</v>
      </c>
      <c r="BL16" s="1938">
        <v>10434146.57</v>
      </c>
      <c r="BM16" s="1730">
        <f t="shared" si="1"/>
        <v>2076968783.3499992</v>
      </c>
      <c r="BN16" s="1729"/>
    </row>
    <row r="17" spans="1:87" s="1554" customFormat="1">
      <c r="A17" s="1065"/>
      <c r="B17" s="1169"/>
      <c r="C17" s="437" t="s">
        <v>1030</v>
      </c>
      <c r="D17" s="437" t="s">
        <v>1025</v>
      </c>
      <c r="E17" s="437" t="s">
        <v>1326</v>
      </c>
      <c r="F17" s="1728">
        <f t="shared" si="0"/>
        <v>2075002186.8199995</v>
      </c>
      <c r="G17" s="1065"/>
      <c r="H17" s="1939">
        <v>48678449.290000007</v>
      </c>
      <c r="I17" s="1922">
        <v>17693615.109999999</v>
      </c>
      <c r="J17" s="1922">
        <v>1071772358.6299998</v>
      </c>
      <c r="K17" s="1922">
        <v>2022554</v>
      </c>
      <c r="L17" s="1922">
        <v>24555348.370000001</v>
      </c>
      <c r="M17" s="1835">
        <v>8206717.8600000003</v>
      </c>
      <c r="N17" s="1938">
        <v>1923901.7200000002</v>
      </c>
      <c r="O17" s="1835">
        <v>7723537.5899999999</v>
      </c>
      <c r="P17" s="1938">
        <v>6486619.7800000003</v>
      </c>
      <c r="Q17" s="1938">
        <v>39590644.869999997</v>
      </c>
      <c r="R17" s="1938">
        <v>5149270.54</v>
      </c>
      <c r="S17" s="1938">
        <v>4686053.0100000007</v>
      </c>
      <c r="T17" s="1938">
        <v>5691356.8599999994</v>
      </c>
      <c r="U17" s="1938">
        <v>7294083.4100000001</v>
      </c>
      <c r="V17" s="1938">
        <v>15623573.51</v>
      </c>
      <c r="W17" s="1938">
        <v>2067320.94</v>
      </c>
      <c r="X17" s="1938">
        <v>832201.52</v>
      </c>
      <c r="Y17" s="1938">
        <v>5024491.49</v>
      </c>
      <c r="Z17" s="1938">
        <v>61508541.609999999</v>
      </c>
      <c r="AA17" s="1938">
        <v>657190.51</v>
      </c>
      <c r="AB17" s="1938">
        <v>14701061.329999994</v>
      </c>
      <c r="AC17" s="1938">
        <v>27754909.459999997</v>
      </c>
      <c r="AD17" s="1938">
        <v>1199446.01</v>
      </c>
      <c r="AE17" s="1938">
        <v>1781379.7599999998</v>
      </c>
      <c r="AF17" s="1938">
        <v>12863993.760000005</v>
      </c>
      <c r="AG17" s="1938">
        <v>36258335.009999998</v>
      </c>
      <c r="AH17" s="1938">
        <v>3327671.63</v>
      </c>
      <c r="AI17" s="1938">
        <v>569408.38</v>
      </c>
      <c r="AJ17" s="1938">
        <v>43982576.689999998</v>
      </c>
      <c r="AK17" s="1938">
        <v>4942684.34</v>
      </c>
      <c r="AL17" s="1938">
        <v>438836.61000000004</v>
      </c>
      <c r="AM17" s="1938">
        <v>7527657.879999999</v>
      </c>
      <c r="AN17" s="1938">
        <v>58589741.259999998</v>
      </c>
      <c r="AO17" s="1938">
        <v>9675168.8300000001</v>
      </c>
      <c r="AP17" s="1938">
        <v>891282.84</v>
      </c>
      <c r="AQ17" s="1938">
        <v>1490386.4400000002</v>
      </c>
      <c r="AR17" s="1938">
        <v>692272.09</v>
      </c>
      <c r="AS17" s="1938">
        <v>18700193.910000008</v>
      </c>
      <c r="AT17" s="1938">
        <v>31318256.109999999</v>
      </c>
      <c r="AU17" s="1938">
        <v>1754277.3499999996</v>
      </c>
      <c r="AV17" s="1938">
        <v>7730919.7500000019</v>
      </c>
      <c r="AW17" s="1938">
        <v>1368881.1799999995</v>
      </c>
      <c r="AX17" s="1938">
        <v>885548.53</v>
      </c>
      <c r="AY17" s="1938">
        <v>18587638.960000001</v>
      </c>
      <c r="AZ17" s="1938">
        <v>2268540.13</v>
      </c>
      <c r="BA17" s="1938">
        <v>38181684.000000015</v>
      </c>
      <c r="BB17" s="1938">
        <v>32537824.919999998</v>
      </c>
      <c r="BC17" s="1938">
        <v>1135026.92</v>
      </c>
      <c r="BD17" s="1938">
        <v>936641.14000000013</v>
      </c>
      <c r="BE17" s="1938">
        <v>111628307.54000001</v>
      </c>
      <c r="BF17" s="1938">
        <v>47541019.199999996</v>
      </c>
      <c r="BG17" s="1938">
        <v>46561543.469999999</v>
      </c>
      <c r="BH17" s="1938">
        <v>39113424.079999998</v>
      </c>
      <c r="BI17" s="1938">
        <v>74380158.630000025</v>
      </c>
      <c r="BJ17" s="1938">
        <v>2081326.4800000002</v>
      </c>
      <c r="BK17" s="1938">
        <v>23981836.530000001</v>
      </c>
      <c r="BL17" s="1938">
        <v>10434495.050000001</v>
      </c>
      <c r="BM17" s="1730">
        <f t="shared" si="1"/>
        <v>2075002186.8199995</v>
      </c>
      <c r="BN17" s="1918"/>
    </row>
    <row r="18" spans="1:87" s="1554" customFormat="1">
      <c r="A18" s="1066"/>
      <c r="B18" s="1169"/>
      <c r="C18" s="1169" t="s">
        <v>1031</v>
      </c>
      <c r="D18" s="437" t="s">
        <v>1025</v>
      </c>
      <c r="E18" s="437" t="s">
        <v>1326</v>
      </c>
      <c r="F18" s="1728">
        <f t="shared" si="0"/>
        <v>2076028392.6299994</v>
      </c>
      <c r="G18" s="1065"/>
      <c r="H18" s="1939">
        <v>48680081.770000003</v>
      </c>
      <c r="I18" s="1922">
        <v>17797662.859999999</v>
      </c>
      <c r="J18" s="1922">
        <v>1071782049.9299996</v>
      </c>
      <c r="K18" s="1922">
        <v>2022554</v>
      </c>
      <c r="L18" s="1922">
        <v>24555348.370000001</v>
      </c>
      <c r="M18" s="1835">
        <v>8206717.8600000003</v>
      </c>
      <c r="N18" s="1938">
        <v>1923901.7200000002</v>
      </c>
      <c r="O18" s="1835">
        <v>7723537.5899999999</v>
      </c>
      <c r="P18" s="1938">
        <v>6486619.7800000003</v>
      </c>
      <c r="Q18" s="1938">
        <v>39590644.869999997</v>
      </c>
      <c r="R18" s="1938">
        <v>5149270.54</v>
      </c>
      <c r="S18" s="1938">
        <v>4686053.0100000007</v>
      </c>
      <c r="T18" s="1938">
        <v>5691356.8599999994</v>
      </c>
      <c r="U18" s="1938">
        <v>7294083.4100000001</v>
      </c>
      <c r="V18" s="1938">
        <v>15623573.51</v>
      </c>
      <c r="W18" s="1938">
        <v>2067320.94</v>
      </c>
      <c r="X18" s="1938">
        <v>832201.52</v>
      </c>
      <c r="Y18" s="1938">
        <v>5024491.49</v>
      </c>
      <c r="Z18" s="1938">
        <v>61508541.609999999</v>
      </c>
      <c r="AA18" s="1938">
        <v>657190.51</v>
      </c>
      <c r="AB18" s="1938">
        <v>14708061.789999999</v>
      </c>
      <c r="AC18" s="1938">
        <v>27754909.459999997</v>
      </c>
      <c r="AD18" s="1938">
        <v>1199446.01</v>
      </c>
      <c r="AE18" s="1938">
        <v>1781379.7599999998</v>
      </c>
      <c r="AF18" s="1938">
        <v>12863993.760000005</v>
      </c>
      <c r="AG18" s="1938">
        <v>36258335.009999998</v>
      </c>
      <c r="AH18" s="1938">
        <v>3327671.63</v>
      </c>
      <c r="AI18" s="1938">
        <v>569408.38</v>
      </c>
      <c r="AJ18" s="1938">
        <v>43982576.689999998</v>
      </c>
      <c r="AK18" s="1938">
        <v>4942684.34</v>
      </c>
      <c r="AL18" s="1938">
        <v>438836.61000000004</v>
      </c>
      <c r="AM18" s="1938">
        <v>7527657.879999999</v>
      </c>
      <c r="AN18" s="1938">
        <v>58928602.039999992</v>
      </c>
      <c r="AO18" s="1938">
        <v>9675168.8300000001</v>
      </c>
      <c r="AP18" s="1938">
        <v>891282.84</v>
      </c>
      <c r="AQ18" s="1938">
        <v>1490386.4400000002</v>
      </c>
      <c r="AR18" s="1938">
        <v>692272.09</v>
      </c>
      <c r="AS18" s="1938">
        <v>18700193.910000008</v>
      </c>
      <c r="AT18" s="1938">
        <v>31318256.109999999</v>
      </c>
      <c r="AU18" s="1938">
        <v>1754277.3499999996</v>
      </c>
      <c r="AV18" s="1938">
        <v>7730919.7500000019</v>
      </c>
      <c r="AW18" s="1938">
        <v>1368881.1799999995</v>
      </c>
      <c r="AX18" s="1938">
        <v>885548.53</v>
      </c>
      <c r="AY18" s="1938">
        <v>18750560.969999999</v>
      </c>
      <c r="AZ18" s="1938">
        <v>2268540.13</v>
      </c>
      <c r="BA18" s="1938">
        <v>38181684.000000015</v>
      </c>
      <c r="BB18" s="1938">
        <v>32625846.710000001</v>
      </c>
      <c r="BC18" s="1938">
        <v>1135026.92</v>
      </c>
      <c r="BD18" s="1938">
        <v>936641.14000000013</v>
      </c>
      <c r="BE18" s="1938">
        <v>111941388.66000001</v>
      </c>
      <c r="BF18" s="1938">
        <v>47541047.800000004</v>
      </c>
      <c r="BG18" s="1938">
        <v>46561543.469999999</v>
      </c>
      <c r="BH18" s="1938">
        <v>39113424.079999998</v>
      </c>
      <c r="BI18" s="1938">
        <v>74381034.63000001</v>
      </c>
      <c r="BJ18" s="1938">
        <v>2081326.4800000002</v>
      </c>
      <c r="BK18" s="1938">
        <v>23981836.530000001</v>
      </c>
      <c r="BL18" s="1938">
        <v>10434538.570000002</v>
      </c>
      <c r="BM18" s="1730">
        <f t="shared" si="1"/>
        <v>2076028392.6299994</v>
      </c>
      <c r="BN18" s="1729"/>
    </row>
    <row r="19" spans="1:87" s="1554" customFormat="1">
      <c r="A19" s="1066"/>
      <c r="B19" s="1169"/>
      <c r="C19" s="1169" t="s">
        <v>1032</v>
      </c>
      <c r="D19" s="437" t="s">
        <v>1025</v>
      </c>
      <c r="E19" s="437" t="s">
        <v>1326</v>
      </c>
      <c r="F19" s="1728">
        <f t="shared" si="0"/>
        <v>2077033685.2199993</v>
      </c>
      <c r="G19" s="1065"/>
      <c r="H19" s="1939">
        <v>48682025.640000001</v>
      </c>
      <c r="I19" s="1922">
        <v>17798986.77</v>
      </c>
      <c r="J19" s="1922">
        <v>1071740736.8399996</v>
      </c>
      <c r="K19" s="1922">
        <v>2022554</v>
      </c>
      <c r="L19" s="1922">
        <v>24555717.82</v>
      </c>
      <c r="M19" s="1835">
        <v>8206717.8600000003</v>
      </c>
      <c r="N19" s="1938">
        <v>1923901.7200000002</v>
      </c>
      <c r="O19" s="1835">
        <v>7723537.5899999999</v>
      </c>
      <c r="P19" s="1938">
        <v>6486619.7800000003</v>
      </c>
      <c r="Q19" s="1938">
        <v>39590644.869999997</v>
      </c>
      <c r="R19" s="1938">
        <v>5149270.54</v>
      </c>
      <c r="S19" s="1938">
        <v>4686053.0100000007</v>
      </c>
      <c r="T19" s="1938">
        <v>5691356.8599999994</v>
      </c>
      <c r="U19" s="1938">
        <v>7294083.4100000001</v>
      </c>
      <c r="V19" s="1938">
        <v>15623573.51</v>
      </c>
      <c r="W19" s="1938">
        <v>2067320.94</v>
      </c>
      <c r="X19" s="1938">
        <v>832201.52</v>
      </c>
      <c r="Y19" s="1938">
        <v>5024491.49</v>
      </c>
      <c r="Z19" s="1938">
        <v>61508541.609999999</v>
      </c>
      <c r="AA19" s="1938">
        <v>657190.51</v>
      </c>
      <c r="AB19" s="1938">
        <v>14709645.299999993</v>
      </c>
      <c r="AC19" s="1938">
        <v>28187936.329999994</v>
      </c>
      <c r="AD19" s="1938">
        <v>1199446.01</v>
      </c>
      <c r="AE19" s="1938">
        <v>1781379.7599999998</v>
      </c>
      <c r="AF19" s="1938">
        <v>12863993.760000005</v>
      </c>
      <c r="AG19" s="1938">
        <v>36258335.009999998</v>
      </c>
      <c r="AH19" s="1938">
        <v>3327671.63</v>
      </c>
      <c r="AI19" s="1938">
        <v>569408.38</v>
      </c>
      <c r="AJ19" s="1938">
        <v>43982576.689999998</v>
      </c>
      <c r="AK19" s="1938">
        <v>4942684.34</v>
      </c>
      <c r="AL19" s="1938">
        <v>438836.61000000004</v>
      </c>
      <c r="AM19" s="1938">
        <v>7527657.879999999</v>
      </c>
      <c r="AN19" s="1938">
        <v>59342865.559999995</v>
      </c>
      <c r="AO19" s="1938">
        <v>9675168.8300000001</v>
      </c>
      <c r="AP19" s="1938">
        <v>891282.84</v>
      </c>
      <c r="AQ19" s="1938">
        <v>1490386.4400000002</v>
      </c>
      <c r="AR19" s="1938">
        <v>692272.09</v>
      </c>
      <c r="AS19" s="1938">
        <v>18700193.910000008</v>
      </c>
      <c r="AT19" s="1938">
        <v>31318256.109999999</v>
      </c>
      <c r="AU19" s="1938">
        <v>1754277.3499999996</v>
      </c>
      <c r="AV19" s="1938">
        <v>7730919.7500000019</v>
      </c>
      <c r="AW19" s="1938">
        <v>1368881.1799999995</v>
      </c>
      <c r="AX19" s="1938">
        <v>885548.53</v>
      </c>
      <c r="AY19" s="1938">
        <v>18766374.950000003</v>
      </c>
      <c r="AZ19" s="1938">
        <v>2268540.13</v>
      </c>
      <c r="BA19" s="1938">
        <v>38181684.000000015</v>
      </c>
      <c r="BB19" s="1938">
        <v>32685596.189999998</v>
      </c>
      <c r="BC19" s="1938">
        <v>1135026.92</v>
      </c>
      <c r="BD19" s="1938">
        <v>936641.14000000013</v>
      </c>
      <c r="BE19" s="1938">
        <v>112059107.23</v>
      </c>
      <c r="BF19" s="1938">
        <v>47541076.399999991</v>
      </c>
      <c r="BG19" s="1938">
        <v>46561543.469999999</v>
      </c>
      <c r="BH19" s="1938">
        <v>39113988.580000006</v>
      </c>
      <c r="BI19" s="1938">
        <v>74382268.689999998</v>
      </c>
      <c r="BJ19" s="1938">
        <v>2081326.4800000002</v>
      </c>
      <c r="BK19" s="1938">
        <v>23980834.880000003</v>
      </c>
      <c r="BL19" s="1938">
        <v>10434525.580000002</v>
      </c>
      <c r="BM19" s="1730">
        <f t="shared" si="1"/>
        <v>2077033685.2199993</v>
      </c>
      <c r="BN19" s="679"/>
    </row>
    <row r="20" spans="1:87" s="1554" customFormat="1" ht="15">
      <c r="A20" s="1065"/>
      <c r="B20" s="437"/>
      <c r="C20" s="1170" t="s">
        <v>1023</v>
      </c>
      <c r="D20" s="1731" t="s">
        <v>323</v>
      </c>
      <c r="E20" s="1170" t="s">
        <v>1326</v>
      </c>
      <c r="F20" s="1728">
        <f>SUM(H20:BL20)</f>
        <v>2077329304.999999</v>
      </c>
      <c r="G20" s="1065">
        <f>F20</f>
        <v>2077329304.999999</v>
      </c>
      <c r="H20" s="1940">
        <v>48682193.32</v>
      </c>
      <c r="I20" s="1923">
        <v>17800889.719999999</v>
      </c>
      <c r="J20" s="1923">
        <v>1071693493.5699995</v>
      </c>
      <c r="K20" s="1923">
        <v>2022554</v>
      </c>
      <c r="L20" s="1923">
        <v>24556015.469999999</v>
      </c>
      <c r="M20" s="1836">
        <v>8206717.8600000003</v>
      </c>
      <c r="N20" s="1275">
        <v>1923901.7200000002</v>
      </c>
      <c r="O20" s="1836">
        <v>7723537.5899999999</v>
      </c>
      <c r="P20" s="1275">
        <v>6486619.7800000003</v>
      </c>
      <c r="Q20" s="1275">
        <v>39613807.949999996</v>
      </c>
      <c r="R20" s="1275">
        <v>5149270.54</v>
      </c>
      <c r="S20" s="1275">
        <v>4686053.0100000007</v>
      </c>
      <c r="T20" s="1275">
        <v>5691356.8599999994</v>
      </c>
      <c r="U20" s="1275">
        <v>7294215.54</v>
      </c>
      <c r="V20" s="1275">
        <v>15623573.51</v>
      </c>
      <c r="W20" s="1275">
        <v>2067320.94</v>
      </c>
      <c r="X20" s="1275">
        <v>832201.52</v>
      </c>
      <c r="Y20" s="1275">
        <v>5024491.49</v>
      </c>
      <c r="Z20" s="1275">
        <v>61511353.149999991</v>
      </c>
      <c r="AA20" s="1275">
        <v>657190.51</v>
      </c>
      <c r="AB20" s="1275">
        <v>14710387.979999997</v>
      </c>
      <c r="AC20" s="1275">
        <v>28310807.329999994</v>
      </c>
      <c r="AD20" s="1275">
        <v>1199446.01</v>
      </c>
      <c r="AE20" s="1275">
        <v>1781379.7599999998</v>
      </c>
      <c r="AF20" s="1275">
        <v>12863993.760000005</v>
      </c>
      <c r="AG20" s="1275">
        <v>36258335.009999998</v>
      </c>
      <c r="AH20" s="1275">
        <v>3327671.63</v>
      </c>
      <c r="AI20" s="1275">
        <v>569408.38</v>
      </c>
      <c r="AJ20" s="1275">
        <v>43982576.689999998</v>
      </c>
      <c r="AK20" s="1275">
        <v>4942684.34</v>
      </c>
      <c r="AL20" s="1275">
        <v>438836.61000000004</v>
      </c>
      <c r="AM20" s="1275">
        <v>7527657.879999999</v>
      </c>
      <c r="AN20" s="1275">
        <v>59422060.099999994</v>
      </c>
      <c r="AO20" s="1275">
        <v>9675168.8300000001</v>
      </c>
      <c r="AP20" s="1275">
        <v>891282.84</v>
      </c>
      <c r="AQ20" s="1275">
        <v>1490386.4400000002</v>
      </c>
      <c r="AR20" s="1275">
        <v>692272.09</v>
      </c>
      <c r="AS20" s="1275">
        <v>18700193.910000008</v>
      </c>
      <c r="AT20" s="1275">
        <v>31318256.109999999</v>
      </c>
      <c r="AU20" s="1275">
        <v>1754277.3499999996</v>
      </c>
      <c r="AV20" s="1275">
        <v>7730919.7500000019</v>
      </c>
      <c r="AW20" s="1275">
        <v>1368881.1799999995</v>
      </c>
      <c r="AX20" s="1275">
        <v>885548.53</v>
      </c>
      <c r="AY20" s="1275">
        <v>18774187.860000003</v>
      </c>
      <c r="AZ20" s="1275">
        <v>2268540.13</v>
      </c>
      <c r="BA20" s="1275">
        <v>38181684.000000015</v>
      </c>
      <c r="BB20" s="1275">
        <v>32723288.960000001</v>
      </c>
      <c r="BC20" s="1275">
        <v>1135026.92</v>
      </c>
      <c r="BD20" s="1275">
        <v>936641.14000000013</v>
      </c>
      <c r="BE20" s="1275">
        <v>112108084.33999997</v>
      </c>
      <c r="BF20" s="1275">
        <v>47541270.379999988</v>
      </c>
      <c r="BG20" s="1275">
        <v>46563950.829999998</v>
      </c>
      <c r="BH20" s="1275">
        <v>39113988.580000006</v>
      </c>
      <c r="BI20" s="1275">
        <v>74383145.400000021</v>
      </c>
      <c r="BJ20" s="1275">
        <v>2081326.4800000002</v>
      </c>
      <c r="BK20" s="1275">
        <v>23994428.260000002</v>
      </c>
      <c r="BL20" s="1275">
        <v>10434551.160000002</v>
      </c>
      <c r="BM20" s="1816">
        <f>SUM(H20:BL20)</f>
        <v>2077329304.999999</v>
      </c>
      <c r="BN20" s="679"/>
    </row>
    <row r="21" spans="1:87" s="1554" customFormat="1" ht="14.4" thickBot="1">
      <c r="A21" s="1065">
        <v>15</v>
      </c>
      <c r="B21" s="1169"/>
      <c r="C21" s="1171" t="s">
        <v>592</v>
      </c>
      <c r="D21" s="437"/>
      <c r="E21" s="437"/>
      <c r="F21" s="1732">
        <f>AVERAGE(F8:F20)</f>
        <v>2072035178.2823069</v>
      </c>
      <c r="G21" s="1733">
        <f>+G20</f>
        <v>2077329304.999999</v>
      </c>
      <c r="H21" s="1837">
        <f t="shared" ref="H21:BK21" si="2">AVERAGE(H8:H20)</f>
        <v>48468365.498461552</v>
      </c>
      <c r="I21" s="1838">
        <f t="shared" si="2"/>
        <v>17702221.772307694</v>
      </c>
      <c r="J21" s="1838">
        <f t="shared" si="2"/>
        <v>1074601067.0907688</v>
      </c>
      <c r="K21" s="1838">
        <f t="shared" si="2"/>
        <v>2022554</v>
      </c>
      <c r="L21" s="1838">
        <f t="shared" si="2"/>
        <v>24555428.104615387</v>
      </c>
      <c r="M21" s="1838">
        <f t="shared" si="2"/>
        <v>8206717.8600000003</v>
      </c>
      <c r="N21" s="1838">
        <f t="shared" si="2"/>
        <v>1923901.72</v>
      </c>
      <c r="O21" s="1838">
        <f t="shared" si="2"/>
        <v>7723537.5900000026</v>
      </c>
      <c r="P21" s="1838">
        <f t="shared" si="2"/>
        <v>6486619.7800000003</v>
      </c>
      <c r="Q21" s="1838">
        <f t="shared" si="2"/>
        <v>39592426.645384617</v>
      </c>
      <c r="R21" s="1838">
        <f t="shared" si="2"/>
        <v>5149270.54</v>
      </c>
      <c r="S21" s="1838">
        <f t="shared" si="2"/>
        <v>4686053.01</v>
      </c>
      <c r="T21" s="1839">
        <f t="shared" si="2"/>
        <v>5691356.8599999994</v>
      </c>
      <c r="U21" s="1840">
        <f t="shared" si="2"/>
        <v>7213141.1584615372</v>
      </c>
      <c r="V21" s="1840">
        <f t="shared" si="2"/>
        <v>15623573.509999998</v>
      </c>
      <c r="W21" s="1840">
        <f t="shared" si="2"/>
        <v>2067320.9400000002</v>
      </c>
      <c r="X21" s="1840">
        <f t="shared" si="2"/>
        <v>832201.51999999979</v>
      </c>
      <c r="Y21" s="1840">
        <f t="shared" si="2"/>
        <v>5033596.9146153871</v>
      </c>
      <c r="Z21" s="1840">
        <f t="shared" si="2"/>
        <v>61614724.83692307</v>
      </c>
      <c r="AA21" s="1840">
        <f t="shared" si="2"/>
        <v>657190.50999999989</v>
      </c>
      <c r="AB21" s="1840">
        <f t="shared" si="2"/>
        <v>14436556.617692303</v>
      </c>
      <c r="AC21" s="1840">
        <f t="shared" si="2"/>
        <v>27830087.220769227</v>
      </c>
      <c r="AD21" s="1840">
        <f t="shared" si="2"/>
        <v>1199446.01</v>
      </c>
      <c r="AE21" s="1840">
        <f t="shared" si="2"/>
        <v>1781379.7599999995</v>
      </c>
      <c r="AF21" s="1840">
        <f t="shared" si="2"/>
        <v>12863993.760000004</v>
      </c>
      <c r="AG21" s="1840">
        <f t="shared" si="2"/>
        <v>36258335.009999998</v>
      </c>
      <c r="AH21" s="1840">
        <f t="shared" si="2"/>
        <v>3327671.63</v>
      </c>
      <c r="AI21" s="1840">
        <f t="shared" si="2"/>
        <v>569408.38</v>
      </c>
      <c r="AJ21" s="1840">
        <f t="shared" si="2"/>
        <v>43989946.326153837</v>
      </c>
      <c r="AK21" s="1840">
        <f t="shared" si="2"/>
        <v>4942684.3400000017</v>
      </c>
      <c r="AL21" s="1840">
        <f t="shared" si="2"/>
        <v>438836.61000000004</v>
      </c>
      <c r="AM21" s="1840">
        <f t="shared" si="2"/>
        <v>7518396.0230769208</v>
      </c>
      <c r="AN21" s="1840">
        <f t="shared" si="2"/>
        <v>57797876.28538461</v>
      </c>
      <c r="AO21" s="1840">
        <f t="shared" si="2"/>
        <v>9675168.8300000001</v>
      </c>
      <c r="AP21" s="1840">
        <f t="shared" si="2"/>
        <v>891282.84</v>
      </c>
      <c r="AQ21" s="1840">
        <f t="shared" si="2"/>
        <v>1490386.44</v>
      </c>
      <c r="AR21" s="1840">
        <f t="shared" si="2"/>
        <v>692272.09</v>
      </c>
      <c r="AS21" s="1840">
        <f t="shared" si="2"/>
        <v>18700193.910000004</v>
      </c>
      <c r="AT21" s="1840">
        <f t="shared" si="2"/>
        <v>31318256.110000011</v>
      </c>
      <c r="AU21" s="1840">
        <f t="shared" si="2"/>
        <v>1754277.3499999999</v>
      </c>
      <c r="AV21" s="1840">
        <f t="shared" si="2"/>
        <v>7730919.7500000009</v>
      </c>
      <c r="AW21" s="1840">
        <f t="shared" si="2"/>
        <v>1368881.1799999995</v>
      </c>
      <c r="AX21" s="1840">
        <f t="shared" si="2"/>
        <v>885548.52999999991</v>
      </c>
      <c r="AY21" s="1840">
        <f t="shared" si="2"/>
        <v>17679658.244615391</v>
      </c>
      <c r="AZ21" s="1840">
        <f t="shared" si="2"/>
        <v>2268540.1299999994</v>
      </c>
      <c r="BA21" s="1840">
        <f t="shared" si="2"/>
        <v>38181684.000000007</v>
      </c>
      <c r="BB21" s="1840">
        <f t="shared" si="2"/>
        <v>30081956.287692305</v>
      </c>
      <c r="BC21" s="1840">
        <f t="shared" si="2"/>
        <v>1135026.92</v>
      </c>
      <c r="BD21" s="1840">
        <f t="shared" si="2"/>
        <v>936641.14000000048</v>
      </c>
      <c r="BE21" s="1840">
        <f t="shared" si="2"/>
        <v>110818778.7346154</v>
      </c>
      <c r="BF21" s="1840">
        <f>AVERAGE(BF8:BF20)</f>
        <v>47535899.011538461</v>
      </c>
      <c r="BG21" s="1840">
        <f t="shared" si="2"/>
        <v>46561084.432307705</v>
      </c>
      <c r="BH21" s="1840">
        <f t="shared" si="2"/>
        <v>39231394.737692304</v>
      </c>
      <c r="BI21" s="1840">
        <f t="shared" si="2"/>
        <v>74377359.506923079</v>
      </c>
      <c r="BJ21" s="1840">
        <f t="shared" si="2"/>
        <v>1575260.1907692307</v>
      </c>
      <c r="BK21" s="1840">
        <f t="shared" si="2"/>
        <v>23983463.580769233</v>
      </c>
      <c r="BL21" s="1840">
        <f>AVERAGE(BL8:BL20)</f>
        <v>10355356.500769231</v>
      </c>
      <c r="BM21" s="1734">
        <f>AVERAGE(BM8:BM20)</f>
        <v>2072035178.2823069</v>
      </c>
      <c r="BN21" s="1918">
        <f>BM20-BM85</f>
        <v>1782531810.999999</v>
      </c>
    </row>
    <row r="22" spans="1:87" s="679" customFormat="1" ht="27" thickTop="1">
      <c r="A22" s="1065"/>
      <c r="B22" s="1169"/>
      <c r="C22" s="437"/>
      <c r="D22" s="437"/>
      <c r="E22" s="437" t="s">
        <v>525</v>
      </c>
      <c r="F22" s="1172" t="s">
        <v>925</v>
      </c>
      <c r="G22" s="1242" t="s">
        <v>925</v>
      </c>
      <c r="H22" s="1218"/>
      <c r="I22" s="1209"/>
      <c r="J22" s="1062"/>
      <c r="K22" s="1219"/>
      <c r="L22" s="1219"/>
      <c r="M22" s="1219"/>
      <c r="N22" s="1219"/>
      <c r="O22" s="1219"/>
      <c r="P22" s="1220"/>
      <c r="Q22" s="1217" t="s">
        <v>525</v>
      </c>
      <c r="R22" s="1212"/>
      <c r="S22" s="1212"/>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1"/>
      <c r="AY22" s="801"/>
      <c r="AZ22" s="801"/>
      <c r="BA22" s="801"/>
      <c r="BB22" s="801"/>
      <c r="BC22" s="801"/>
      <c r="BD22" s="801"/>
      <c r="BE22" s="801"/>
      <c r="BF22" s="801"/>
      <c r="BG22" s="801"/>
      <c r="BH22" s="801"/>
      <c r="BI22" s="801"/>
      <c r="BJ22" s="801"/>
      <c r="BK22" s="801"/>
      <c r="BL22" s="801"/>
      <c r="BM22" s="801"/>
      <c r="BN22" s="801"/>
      <c r="BO22" s="801"/>
      <c r="BP22" s="801"/>
      <c r="BQ22" s="727"/>
      <c r="BR22" s="801"/>
      <c r="BS22" s="801"/>
      <c r="BT22" s="801"/>
      <c r="BU22" s="801"/>
      <c r="BV22" s="801"/>
      <c r="BW22" s="801"/>
      <c r="BX22" s="801"/>
      <c r="BY22" s="801"/>
      <c r="BZ22" s="801"/>
      <c r="CA22" s="801"/>
      <c r="CB22" s="801"/>
      <c r="CC22" s="801"/>
      <c r="CD22" s="801"/>
      <c r="CE22" s="801"/>
      <c r="CF22" s="801"/>
      <c r="CG22" s="801"/>
    </row>
    <row r="23" spans="1:87" s="1554" customFormat="1">
      <c r="A23" s="1065"/>
      <c r="B23" s="437"/>
      <c r="C23" s="1174" t="s">
        <v>1033</v>
      </c>
      <c r="D23" s="437" t="s">
        <v>1022</v>
      </c>
      <c r="E23" s="1169"/>
      <c r="F23" s="1169"/>
      <c r="G23" s="1065"/>
      <c r="H23" s="1169"/>
      <c r="I23" s="1735"/>
      <c r="J23" s="1217"/>
      <c r="K23" s="1217"/>
      <c r="L23" s="1217"/>
      <c r="M23" s="1217"/>
      <c r="N23" s="1217"/>
      <c r="O23" s="1217"/>
      <c r="P23" s="1217"/>
      <c r="Q23" s="1217"/>
      <c r="R23" s="1217" t="s">
        <v>525</v>
      </c>
      <c r="S23" s="1217"/>
      <c r="T23" s="1217"/>
      <c r="U23" s="1212"/>
      <c r="V23" s="1212"/>
      <c r="W23" s="1212"/>
      <c r="X23" s="1212"/>
      <c r="Y23" s="1212"/>
      <c r="Z23" s="1735"/>
      <c r="AA23" s="1212"/>
      <c r="AB23" s="1212"/>
      <c r="AC23" s="1212"/>
      <c r="AD23" s="1212"/>
      <c r="AE23" s="1212"/>
      <c r="AF23" s="1212"/>
      <c r="AG23" s="1217"/>
      <c r="AH23" s="1212"/>
      <c r="AI23" s="1212"/>
      <c r="AJ23" s="1212"/>
      <c r="AK23" s="1212"/>
      <c r="AL23" s="1212"/>
      <c r="AM23" s="1212"/>
      <c r="AN23" s="1217"/>
      <c r="AO23" s="1212"/>
      <c r="AP23" s="1212"/>
      <c r="AQ23" s="1212"/>
      <c r="AR23" s="1217"/>
      <c r="AS23" s="1217"/>
      <c r="AT23" s="1217"/>
      <c r="AU23" s="1217"/>
      <c r="AV23" s="1217"/>
      <c r="AW23" s="1217"/>
      <c r="AX23" s="1217"/>
      <c r="AY23" s="1217"/>
      <c r="AZ23" s="1217"/>
      <c r="BA23" s="1217"/>
      <c r="BB23" s="1217"/>
      <c r="BC23" s="1217"/>
      <c r="BD23" s="1217"/>
      <c r="BE23" s="1217"/>
      <c r="BF23" s="1217"/>
      <c r="BG23" s="1217"/>
      <c r="BH23" s="1217"/>
      <c r="BI23" s="1217"/>
      <c r="BJ23" s="1217"/>
      <c r="BK23" s="1217"/>
      <c r="BL23" s="1217"/>
      <c r="BM23" s="1212"/>
      <c r="BN23" s="1212"/>
      <c r="BO23" s="1212"/>
      <c r="BP23" s="1212"/>
      <c r="BQ23" s="1213"/>
      <c r="BR23" s="1212"/>
      <c r="BS23" s="1212"/>
      <c r="BT23" s="1212"/>
      <c r="BU23" s="1212"/>
      <c r="BV23" s="1212"/>
      <c r="BW23" s="1212"/>
      <c r="BX23" s="1212"/>
      <c r="BY23" s="1212"/>
      <c r="BZ23" s="1212"/>
      <c r="CA23" s="1212"/>
      <c r="CB23" s="1212"/>
      <c r="CC23" s="1212"/>
      <c r="CD23" s="1212"/>
      <c r="CE23" s="1212"/>
      <c r="CF23" s="1212"/>
      <c r="CG23" s="1212"/>
      <c r="CH23" s="679"/>
      <c r="CI23" s="679"/>
    </row>
    <row r="24" spans="1:87" s="1554" customFormat="1" ht="15">
      <c r="A24" s="1065"/>
      <c r="B24" s="1169"/>
      <c r="C24" s="1169" t="s">
        <v>1023</v>
      </c>
      <c r="D24" s="1176" t="s">
        <v>1034</v>
      </c>
      <c r="E24" s="1991" t="s">
        <v>1278</v>
      </c>
      <c r="F24" s="545">
        <v>0</v>
      </c>
      <c r="G24" s="1065"/>
      <c r="H24" s="437"/>
      <c r="I24" s="1169"/>
      <c r="J24" s="1209"/>
      <c r="K24" s="1217"/>
      <c r="L24" s="1217"/>
      <c r="M24" s="1173"/>
      <c r="N24" s="1217"/>
      <c r="O24" s="1173"/>
      <c r="P24" s="1185"/>
      <c r="Q24" s="1212"/>
      <c r="R24" s="1212"/>
      <c r="S24" s="1735"/>
      <c r="T24" s="1212"/>
      <c r="U24" s="1212"/>
      <c r="V24" s="1212"/>
      <c r="W24" s="1212"/>
      <c r="X24" s="1212"/>
      <c r="Y24" s="1212"/>
      <c r="Z24" s="1212"/>
      <c r="AA24" s="1212"/>
      <c r="AB24" s="1212"/>
      <c r="AC24" s="1735"/>
      <c r="AD24" s="1212"/>
      <c r="AE24" s="1212"/>
      <c r="AF24" s="1212"/>
      <c r="AG24" s="1212"/>
      <c r="AH24" s="1212"/>
      <c r="AI24" s="1212"/>
      <c r="AJ24" s="1735"/>
      <c r="AK24" s="1212"/>
      <c r="AL24" s="1212"/>
      <c r="AM24" s="1735"/>
      <c r="AN24" s="1212"/>
      <c r="AO24" s="1212"/>
      <c r="AP24" s="1212"/>
      <c r="AQ24" s="1212"/>
      <c r="AR24" s="1212"/>
      <c r="AS24" s="1212"/>
      <c r="AT24" s="1212"/>
      <c r="AU24" s="1212"/>
      <c r="AV24" s="1212"/>
      <c r="AW24" s="1212"/>
      <c r="AX24" s="1212"/>
      <c r="AY24" s="1212"/>
      <c r="AZ24" s="1212"/>
      <c r="BA24" s="1212"/>
      <c r="BB24" s="1212"/>
      <c r="BC24" s="1212"/>
      <c r="BD24" s="1212"/>
      <c r="BE24" s="1212"/>
      <c r="BF24" s="1212"/>
      <c r="BG24" s="1212"/>
      <c r="BH24" s="1212"/>
      <c r="BI24" s="1212"/>
      <c r="BJ24" s="1212"/>
      <c r="BK24" s="1212"/>
      <c r="BL24" s="1212"/>
      <c r="BM24" s="1212"/>
      <c r="BN24" s="1212"/>
      <c r="BO24" s="1212"/>
      <c r="BP24" s="1212"/>
      <c r="BQ24" s="1213"/>
      <c r="BR24" s="1212"/>
      <c r="BS24" s="1212"/>
      <c r="BT24" s="1212"/>
      <c r="BU24" s="1212"/>
      <c r="BV24" s="1212"/>
      <c r="BW24" s="1212"/>
      <c r="BX24" s="1212"/>
      <c r="BY24" s="1212"/>
      <c r="BZ24" s="1212"/>
      <c r="CA24" s="1212"/>
      <c r="CB24" s="1212"/>
      <c r="CC24" s="1212"/>
      <c r="CD24" s="1212"/>
      <c r="CE24" s="1212"/>
      <c r="CF24" s="1212"/>
      <c r="CG24" s="1212"/>
      <c r="CH24" s="679"/>
      <c r="CI24" s="679"/>
    </row>
    <row r="25" spans="1:87" s="1554" customFormat="1">
      <c r="A25" s="1065"/>
      <c r="B25" s="437"/>
      <c r="C25" s="1169" t="s">
        <v>1024</v>
      </c>
      <c r="D25" s="437" t="s">
        <v>1025</v>
      </c>
      <c r="E25" s="1991" t="s">
        <v>1326</v>
      </c>
      <c r="F25" s="545">
        <v>0</v>
      </c>
      <c r="G25" s="1065"/>
      <c r="H25" s="437"/>
      <c r="I25" s="1169"/>
      <c r="J25" s="1169"/>
      <c r="K25" s="1217"/>
      <c r="L25" s="1217"/>
      <c r="M25" s="1173"/>
      <c r="N25" s="1217"/>
      <c r="O25" s="1173"/>
      <c r="P25" s="1185"/>
      <c r="Q25" s="1212"/>
      <c r="R25" s="1212"/>
      <c r="S25" s="1301"/>
      <c r="T25" s="1212"/>
      <c r="U25" s="1212"/>
      <c r="V25" s="1212"/>
      <c r="W25" s="1212"/>
      <c r="X25" s="1212"/>
      <c r="Y25" s="1212"/>
      <c r="Z25" s="1212"/>
      <c r="AA25" s="1212"/>
      <c r="AB25" s="1212"/>
      <c r="AC25" s="1212"/>
      <c r="AD25" s="1212"/>
      <c r="AE25" s="1212"/>
      <c r="AF25" s="1212"/>
      <c r="AG25" s="1212"/>
      <c r="AH25" s="1212"/>
      <c r="AI25" s="1212"/>
      <c r="AJ25" s="1212"/>
      <c r="AK25" s="1212"/>
      <c r="AL25" s="1212"/>
      <c r="AM25" s="1212"/>
      <c r="AN25" s="1212"/>
      <c r="AO25" s="1212"/>
      <c r="AP25" s="1212"/>
      <c r="AQ25" s="1212"/>
      <c r="AR25" s="1212"/>
      <c r="AS25" s="1212"/>
      <c r="AT25" s="1212"/>
      <c r="AU25" s="1212"/>
      <c r="AV25" s="1212"/>
      <c r="AW25" s="1212"/>
      <c r="AX25" s="1212"/>
      <c r="AY25" s="1212"/>
      <c r="AZ25" s="1212"/>
      <c r="BA25" s="1212"/>
      <c r="BB25" s="1212"/>
      <c r="BC25" s="1212"/>
      <c r="BD25" s="1212"/>
      <c r="BE25" s="1212"/>
      <c r="BF25" s="1212"/>
      <c r="BG25" s="1212"/>
      <c r="BH25" s="1212"/>
      <c r="BI25" s="1212"/>
      <c r="BJ25" s="1212"/>
      <c r="BK25" s="1212"/>
      <c r="BL25" s="1212"/>
      <c r="BM25" s="1212"/>
      <c r="BN25" s="1212"/>
      <c r="BO25" s="1212"/>
      <c r="BP25" s="1212"/>
      <c r="BQ25" s="1213"/>
      <c r="BR25" s="1212"/>
      <c r="BS25" s="1212"/>
      <c r="BT25" s="1212"/>
      <c r="BU25" s="1212"/>
      <c r="BV25" s="1212"/>
      <c r="BW25" s="1212"/>
      <c r="BX25" s="1212"/>
      <c r="BY25" s="1212"/>
      <c r="BZ25" s="1212"/>
      <c r="CA25" s="1212"/>
      <c r="CB25" s="1212"/>
      <c r="CC25" s="1212"/>
      <c r="CD25" s="1212"/>
      <c r="CE25" s="1212"/>
      <c r="CF25" s="1212"/>
      <c r="CG25" s="1212"/>
      <c r="CH25" s="679"/>
      <c r="CI25" s="679"/>
    </row>
    <row r="26" spans="1:87" s="1554" customFormat="1">
      <c r="A26" s="1065"/>
      <c r="B26" s="1169"/>
      <c r="C26" s="437" t="s">
        <v>1026</v>
      </c>
      <c r="D26" s="437" t="s">
        <v>1025</v>
      </c>
      <c r="E26" s="437" t="s">
        <v>1326</v>
      </c>
      <c r="F26" s="545">
        <v>0</v>
      </c>
      <c r="G26" s="1065"/>
      <c r="H26" s="1169"/>
      <c r="I26" s="1735"/>
      <c r="J26" s="1169"/>
      <c r="K26" s="1217"/>
      <c r="L26" s="1217"/>
      <c r="M26" s="1173"/>
      <c r="N26" s="1217"/>
      <c r="O26" s="1173"/>
      <c r="P26" s="1185"/>
      <c r="Q26" s="1212"/>
      <c r="R26" s="1212"/>
      <c r="S26" s="1301"/>
      <c r="T26" s="1212"/>
      <c r="U26" s="1212"/>
      <c r="V26" s="1212"/>
      <c r="W26" s="1212"/>
      <c r="X26" s="1212"/>
      <c r="Y26" s="1212"/>
      <c r="Z26" s="1212"/>
      <c r="AA26" s="1212"/>
      <c r="AB26" s="1212"/>
      <c r="AC26" s="1212"/>
      <c r="AD26" s="1212"/>
      <c r="AE26" s="1212"/>
      <c r="AF26" s="1212"/>
      <c r="AG26" s="1212"/>
      <c r="AH26" s="1212"/>
      <c r="AI26" s="1212"/>
      <c r="AJ26" s="1212"/>
      <c r="AK26" s="1212"/>
      <c r="AL26" s="1212"/>
      <c r="AM26" s="1212"/>
      <c r="AN26" s="1212"/>
      <c r="AO26" s="1212"/>
      <c r="AP26" s="1212"/>
      <c r="AQ26" s="1212"/>
      <c r="AR26" s="1212"/>
      <c r="AS26" s="1212"/>
      <c r="AT26" s="1212"/>
      <c r="AU26" s="1212"/>
      <c r="AV26" s="1212"/>
      <c r="AW26" s="1212"/>
      <c r="AX26" s="1212"/>
      <c r="AY26" s="1212"/>
      <c r="AZ26" s="1212"/>
      <c r="BA26" s="1212"/>
      <c r="BB26" s="1212"/>
      <c r="BC26" s="1212"/>
      <c r="BD26" s="1212"/>
      <c r="BE26" s="1212"/>
      <c r="BF26" s="1212"/>
      <c r="BG26" s="1212"/>
      <c r="BH26" s="1212"/>
      <c r="BI26" s="1212"/>
      <c r="BJ26" s="1212"/>
      <c r="BK26" s="1212"/>
      <c r="BL26" s="1212"/>
      <c r="BM26" s="1212"/>
      <c r="BN26" s="1212"/>
      <c r="BO26" s="1212"/>
      <c r="BP26" s="1212"/>
      <c r="BQ26" s="1213"/>
      <c r="BR26" s="1212"/>
      <c r="BS26" s="1212"/>
      <c r="BT26" s="1212"/>
      <c r="BU26" s="1212"/>
      <c r="BV26" s="1212"/>
      <c r="BW26" s="1212"/>
      <c r="BX26" s="1212"/>
      <c r="BY26" s="1212"/>
      <c r="BZ26" s="1212"/>
      <c r="CA26" s="1212"/>
      <c r="CB26" s="1212"/>
      <c r="CC26" s="1212"/>
      <c r="CD26" s="1212"/>
      <c r="CE26" s="1212"/>
      <c r="CF26" s="1212"/>
      <c r="CG26" s="1212"/>
      <c r="CH26" s="679"/>
      <c r="CI26" s="679"/>
    </row>
    <row r="27" spans="1:87" s="1554" customFormat="1">
      <c r="A27" s="1065"/>
      <c r="B27" s="1169"/>
      <c r="C27" s="437" t="s">
        <v>426</v>
      </c>
      <c r="D27" s="437" t="s">
        <v>1025</v>
      </c>
      <c r="E27" s="437" t="s">
        <v>1326</v>
      </c>
      <c r="F27" s="545">
        <v>0</v>
      </c>
      <c r="G27" s="1065"/>
      <c r="H27" s="437"/>
      <c r="I27" s="1169"/>
      <c r="J27" s="1169"/>
      <c r="K27" s="1217"/>
      <c r="L27" s="1217"/>
      <c r="M27" s="1173"/>
      <c r="N27" s="1217"/>
      <c r="O27" s="1173"/>
      <c r="P27" s="1185"/>
      <c r="Q27" s="1212"/>
      <c r="R27" s="1212"/>
      <c r="S27" s="1301"/>
      <c r="T27" s="1212"/>
      <c r="U27" s="1212"/>
      <c r="V27" s="1212"/>
      <c r="W27" s="1212"/>
      <c r="X27" s="1212"/>
      <c r="Y27" s="1212"/>
      <c r="Z27" s="1212"/>
      <c r="AA27" s="1212"/>
      <c r="AB27" s="1212"/>
      <c r="AC27" s="1212"/>
      <c r="AD27" s="1212"/>
      <c r="AE27" s="1212"/>
      <c r="AF27" s="1212"/>
      <c r="AG27" s="1212"/>
      <c r="AH27" s="1212"/>
      <c r="AI27" s="1212"/>
      <c r="AJ27" s="1212"/>
      <c r="AK27" s="1212"/>
      <c r="AL27" s="1212"/>
      <c r="AM27" s="1212"/>
      <c r="AN27" s="1212"/>
      <c r="AO27" s="1212"/>
      <c r="AP27" s="1212"/>
      <c r="AQ27" s="1212"/>
      <c r="AR27" s="1212"/>
      <c r="AS27" s="1212"/>
      <c r="AT27" s="1212"/>
      <c r="AU27" s="1212"/>
      <c r="AV27" s="1212"/>
      <c r="AW27" s="1212"/>
      <c r="AX27" s="1212"/>
      <c r="AY27" s="1212"/>
      <c r="AZ27" s="1212"/>
      <c r="BA27" s="1212"/>
      <c r="BB27" s="1212"/>
      <c r="BC27" s="1212"/>
      <c r="BD27" s="1212"/>
      <c r="BE27" s="1212"/>
      <c r="BF27" s="1212"/>
      <c r="BG27" s="1212"/>
      <c r="BH27" s="1212"/>
      <c r="BI27" s="1212"/>
      <c r="BJ27" s="1212"/>
      <c r="BK27" s="1212"/>
      <c r="BL27" s="1212"/>
      <c r="BM27" s="1212"/>
      <c r="BN27" s="1212"/>
      <c r="BO27" s="1212"/>
      <c r="BP27" s="1212"/>
      <c r="BQ27" s="1213"/>
      <c r="BR27" s="1212"/>
      <c r="BS27" s="1212"/>
      <c r="BT27" s="1212"/>
      <c r="BU27" s="1212"/>
      <c r="BV27" s="1212"/>
      <c r="BW27" s="1212"/>
      <c r="BX27" s="1212"/>
      <c r="BY27" s="1212"/>
      <c r="BZ27" s="1212"/>
      <c r="CA27" s="1212"/>
      <c r="CB27" s="1212"/>
      <c r="CC27" s="1212"/>
      <c r="CD27" s="1212"/>
      <c r="CE27" s="1212"/>
      <c r="CF27" s="1212"/>
      <c r="CG27" s="1212"/>
      <c r="CH27" s="679"/>
      <c r="CI27" s="679"/>
    </row>
    <row r="28" spans="1:87" s="1554" customFormat="1">
      <c r="A28" s="1065"/>
      <c r="B28" s="1169"/>
      <c r="C28" s="1169" t="s">
        <v>295</v>
      </c>
      <c r="D28" s="437" t="s">
        <v>1025</v>
      </c>
      <c r="E28" s="437" t="s">
        <v>1326</v>
      </c>
      <c r="F28" s="545">
        <v>0</v>
      </c>
      <c r="G28" s="1065"/>
      <c r="H28" s="437"/>
      <c r="I28" s="1169"/>
      <c r="J28" s="1169"/>
      <c r="K28" s="1217"/>
      <c r="L28" s="1217"/>
      <c r="M28" s="1173"/>
      <c r="N28" s="1217"/>
      <c r="O28" s="1173"/>
      <c r="P28" s="1185"/>
      <c r="Q28" s="1212"/>
      <c r="R28" s="1212"/>
      <c r="S28" s="1301"/>
      <c r="T28" s="1212"/>
      <c r="U28" s="1212"/>
      <c r="V28" s="1212"/>
      <c r="W28" s="1212"/>
      <c r="X28" s="1212"/>
      <c r="Y28" s="1212"/>
      <c r="Z28" s="1212"/>
      <c r="AA28" s="1212"/>
      <c r="AB28" s="1212"/>
      <c r="AC28" s="1212"/>
      <c r="AD28" s="1212"/>
      <c r="AE28" s="1212"/>
      <c r="AF28" s="1212"/>
      <c r="AG28" s="1212"/>
      <c r="AH28" s="1212"/>
      <c r="AI28" s="1212"/>
      <c r="AJ28" s="1212"/>
      <c r="AK28" s="1212"/>
      <c r="AL28" s="1212"/>
      <c r="AM28" s="1212"/>
      <c r="AN28" s="1212"/>
      <c r="AO28" s="1212"/>
      <c r="AP28" s="1212"/>
      <c r="AQ28" s="1212"/>
      <c r="AR28" s="1212"/>
      <c r="AS28" s="1212"/>
      <c r="AT28" s="1212"/>
      <c r="AU28" s="1212"/>
      <c r="AV28" s="1212"/>
      <c r="AW28" s="1212"/>
      <c r="AX28" s="1212"/>
      <c r="AY28" s="1212"/>
      <c r="AZ28" s="1212"/>
      <c r="BA28" s="1212"/>
      <c r="BB28" s="1212"/>
      <c r="BC28" s="1212"/>
      <c r="BD28" s="1212"/>
      <c r="BE28" s="1212"/>
      <c r="BF28" s="1212"/>
      <c r="BG28" s="1212"/>
      <c r="BH28" s="1212"/>
      <c r="BI28" s="1212"/>
      <c r="BJ28" s="1212"/>
      <c r="BK28" s="1212"/>
      <c r="BL28" s="1212"/>
      <c r="BM28" s="1212"/>
      <c r="BN28" s="1212"/>
      <c r="BO28" s="1212"/>
      <c r="BP28" s="1212"/>
      <c r="BQ28" s="1213"/>
      <c r="BR28" s="1212"/>
      <c r="BS28" s="1212"/>
      <c r="BT28" s="1212"/>
      <c r="BU28" s="1212"/>
      <c r="BV28" s="1212"/>
      <c r="BW28" s="1212"/>
      <c r="BX28" s="1212"/>
      <c r="BY28" s="1212"/>
      <c r="BZ28" s="1212"/>
      <c r="CA28" s="1212"/>
      <c r="CB28" s="1212"/>
      <c r="CC28" s="1212"/>
      <c r="CD28" s="1212"/>
      <c r="CE28" s="1212"/>
      <c r="CF28" s="1212"/>
      <c r="CG28" s="1212"/>
      <c r="CH28" s="679"/>
      <c r="CI28" s="679"/>
    </row>
    <row r="29" spans="1:87" s="1554" customFormat="1">
      <c r="A29" s="1065"/>
      <c r="B29" s="437"/>
      <c r="C29" s="437" t="s">
        <v>296</v>
      </c>
      <c r="D29" s="437" t="s">
        <v>1025</v>
      </c>
      <c r="E29" s="437" t="s">
        <v>1326</v>
      </c>
      <c r="F29" s="545">
        <v>0</v>
      </c>
      <c r="G29" s="1065"/>
      <c r="H29" s="1169"/>
      <c r="I29" s="1735"/>
      <c r="J29" s="1169"/>
      <c r="K29" s="1217"/>
      <c r="L29" s="1217"/>
      <c r="M29" s="1169"/>
      <c r="N29" s="1217"/>
      <c r="O29" s="1169"/>
      <c r="P29" s="1185"/>
      <c r="Q29" s="1212"/>
      <c r="R29" s="1212"/>
      <c r="S29" s="1301"/>
      <c r="T29" s="1212"/>
      <c r="U29" s="1212"/>
      <c r="V29" s="1212"/>
      <c r="W29" s="1212"/>
      <c r="X29" s="1212"/>
      <c r="Y29" s="1212"/>
      <c r="Z29" s="1212"/>
      <c r="AA29" s="1212"/>
      <c r="AB29" s="1212"/>
      <c r="AC29" s="1212"/>
      <c r="AD29" s="1212"/>
      <c r="AE29" s="1212"/>
      <c r="AF29" s="1212"/>
      <c r="AG29" s="1212"/>
      <c r="AH29" s="1212"/>
      <c r="AI29" s="1212"/>
      <c r="AJ29" s="1212"/>
      <c r="AK29" s="1212"/>
      <c r="AL29" s="1212"/>
      <c r="AM29" s="1212"/>
      <c r="AN29" s="1212"/>
      <c r="AO29" s="1212"/>
      <c r="AP29" s="1212"/>
      <c r="AQ29" s="1212"/>
      <c r="AR29" s="1212"/>
      <c r="AS29" s="1212"/>
      <c r="AT29" s="1212"/>
      <c r="AU29" s="1212"/>
      <c r="AV29" s="1212"/>
      <c r="AW29" s="1212"/>
      <c r="AX29" s="1212"/>
      <c r="AY29" s="1212"/>
      <c r="AZ29" s="1212"/>
      <c r="BA29" s="1212"/>
      <c r="BB29" s="1212"/>
      <c r="BC29" s="1212"/>
      <c r="BD29" s="1212"/>
      <c r="BE29" s="1212"/>
      <c r="BF29" s="1212"/>
      <c r="BG29" s="1212"/>
      <c r="BH29" s="1212"/>
      <c r="BI29" s="1212"/>
      <c r="BJ29" s="1212"/>
      <c r="BK29" s="1212"/>
      <c r="BL29" s="1212"/>
      <c r="BM29" s="1212"/>
      <c r="BN29" s="1212"/>
      <c r="BO29" s="1212"/>
      <c r="BP29" s="1212"/>
      <c r="BQ29" s="1213"/>
      <c r="BR29" s="1212"/>
      <c r="BS29" s="1212"/>
      <c r="BT29" s="1212"/>
      <c r="BU29" s="1212"/>
      <c r="BV29" s="1212"/>
      <c r="BW29" s="1212"/>
      <c r="BX29" s="1212"/>
      <c r="BY29" s="1212"/>
      <c r="BZ29" s="1212"/>
      <c r="CA29" s="1212"/>
      <c r="CB29" s="1212"/>
      <c r="CC29" s="1212"/>
      <c r="CD29" s="1212"/>
      <c r="CE29" s="1212"/>
      <c r="CF29" s="1212"/>
      <c r="CG29" s="1212"/>
      <c r="CH29" s="679"/>
      <c r="CI29" s="679"/>
    </row>
    <row r="30" spans="1:87" s="1554" customFormat="1">
      <c r="A30" s="1065"/>
      <c r="B30" s="1169"/>
      <c r="C30" s="437" t="s">
        <v>1027</v>
      </c>
      <c r="D30" s="437" t="s">
        <v>1025</v>
      </c>
      <c r="E30" s="437" t="s">
        <v>1326</v>
      </c>
      <c r="F30" s="545">
        <v>0</v>
      </c>
      <c r="G30" s="1065"/>
      <c r="H30" s="437"/>
      <c r="I30" s="1169"/>
      <c r="J30" s="1169"/>
      <c r="K30" s="1217"/>
      <c r="L30" s="1217"/>
      <c r="M30" s="1173"/>
      <c r="N30" s="1217"/>
      <c r="O30" s="1173"/>
      <c r="P30" s="1185"/>
      <c r="Q30" s="1212"/>
      <c r="R30" s="1212"/>
      <c r="S30" s="1212"/>
      <c r="T30" s="1212"/>
      <c r="U30" s="1212"/>
      <c r="V30" s="1212"/>
      <c r="W30" s="1212"/>
      <c r="X30" s="1212"/>
      <c r="Y30" s="1212"/>
      <c r="Z30" s="1212"/>
      <c r="AA30" s="1212"/>
      <c r="AB30" s="1212"/>
      <c r="AC30" s="1212"/>
      <c r="AD30" s="1212"/>
      <c r="AE30" s="1212"/>
      <c r="AF30" s="1212"/>
      <c r="AG30" s="1212"/>
      <c r="AH30" s="1212"/>
      <c r="AI30" s="1212"/>
      <c r="AJ30" s="1212"/>
      <c r="AK30" s="1212"/>
      <c r="AL30" s="1212"/>
      <c r="AM30" s="1212"/>
      <c r="AN30" s="1212"/>
      <c r="AO30" s="1212"/>
      <c r="AP30" s="1212"/>
      <c r="AQ30" s="1212"/>
      <c r="AR30" s="1212"/>
      <c r="AS30" s="1212"/>
      <c r="AT30" s="1212"/>
      <c r="AU30" s="1212"/>
      <c r="AV30" s="1212"/>
      <c r="AW30" s="1212"/>
      <c r="AX30" s="1212"/>
      <c r="AY30" s="1212"/>
      <c r="AZ30" s="1212"/>
      <c r="BA30" s="1212"/>
      <c r="BB30" s="1212"/>
      <c r="BC30" s="1212"/>
      <c r="BD30" s="1212"/>
      <c r="BE30" s="1212"/>
      <c r="BF30" s="1212"/>
      <c r="BG30" s="1212"/>
      <c r="BH30" s="1212"/>
      <c r="BI30" s="1212"/>
      <c r="BJ30" s="1212"/>
      <c r="BK30" s="1212"/>
      <c r="BL30" s="1212"/>
      <c r="BM30" s="1212"/>
      <c r="BN30" s="1212"/>
      <c r="BO30" s="1212"/>
      <c r="BP30" s="1212"/>
      <c r="BQ30" s="1213"/>
      <c r="BR30" s="1212"/>
      <c r="BS30" s="1212"/>
      <c r="BT30" s="1212"/>
      <c r="BU30" s="1212"/>
      <c r="BV30" s="1212"/>
      <c r="BW30" s="1212"/>
      <c r="BX30" s="1212"/>
      <c r="BY30" s="1212"/>
      <c r="BZ30" s="1212"/>
      <c r="CA30" s="1212"/>
      <c r="CB30" s="1212"/>
      <c r="CC30" s="1212"/>
      <c r="CD30" s="1212"/>
      <c r="CE30" s="1212"/>
      <c r="CF30" s="1212"/>
      <c r="CG30" s="1212"/>
      <c r="CH30" s="679"/>
      <c r="CI30" s="679"/>
    </row>
    <row r="31" spans="1:87" s="1554" customFormat="1">
      <c r="A31" s="1065"/>
      <c r="B31" s="437"/>
      <c r="C31" s="1169" t="s">
        <v>1028</v>
      </c>
      <c r="D31" s="437" t="s">
        <v>1025</v>
      </c>
      <c r="E31" s="437" t="s">
        <v>1326</v>
      </c>
      <c r="F31" s="545">
        <v>0</v>
      </c>
      <c r="G31" s="1065"/>
      <c r="H31" s="437"/>
      <c r="I31" s="1169"/>
      <c r="J31" s="1169"/>
      <c r="K31" s="1217"/>
      <c r="L31" s="1217"/>
      <c r="M31" s="1173"/>
      <c r="N31" s="1217"/>
      <c r="O31" s="1173"/>
      <c r="P31" s="1185"/>
      <c r="Q31" s="1212"/>
      <c r="R31" s="1212"/>
      <c r="S31" s="1212"/>
      <c r="T31" s="1212"/>
      <c r="U31" s="1212"/>
      <c r="V31" s="1212"/>
      <c r="W31" s="1212"/>
      <c r="X31" s="1212"/>
      <c r="Y31" s="1212"/>
      <c r="Z31" s="1212"/>
      <c r="AA31" s="1212"/>
      <c r="AB31" s="1212"/>
      <c r="AC31" s="1212"/>
      <c r="AD31" s="1212"/>
      <c r="AE31" s="1212"/>
      <c r="AF31" s="1212"/>
      <c r="AG31" s="1212"/>
      <c r="AH31" s="1212"/>
      <c r="AI31" s="1212"/>
      <c r="AJ31" s="1212"/>
      <c r="AK31" s="1212"/>
      <c r="AL31" s="1212"/>
      <c r="AM31" s="1212"/>
      <c r="AN31" s="1212"/>
      <c r="AO31" s="1212"/>
      <c r="AP31" s="1212"/>
      <c r="AQ31" s="1212"/>
      <c r="AR31" s="1212"/>
      <c r="AS31" s="1212"/>
      <c r="AT31" s="1212"/>
      <c r="AU31" s="1212"/>
      <c r="AV31" s="1212"/>
      <c r="AW31" s="1212"/>
      <c r="AX31" s="1212"/>
      <c r="AY31" s="1212"/>
      <c r="AZ31" s="1212"/>
      <c r="BA31" s="1212"/>
      <c r="BB31" s="1212"/>
      <c r="BC31" s="1212"/>
      <c r="BD31" s="1212"/>
      <c r="BE31" s="1212"/>
      <c r="BF31" s="1212"/>
      <c r="BG31" s="1212"/>
      <c r="BH31" s="1212"/>
      <c r="BI31" s="1212"/>
      <c r="BJ31" s="1212"/>
      <c r="BK31" s="1212"/>
      <c r="BL31" s="1212"/>
      <c r="BM31" s="1212"/>
      <c r="BN31" s="1212"/>
      <c r="BO31" s="1212"/>
      <c r="BP31" s="1212"/>
      <c r="BQ31" s="1213"/>
      <c r="BR31" s="1212"/>
      <c r="BS31" s="1212"/>
      <c r="BT31" s="1212"/>
      <c r="BU31" s="1212"/>
      <c r="BV31" s="1212"/>
      <c r="BW31" s="1212"/>
      <c r="BX31" s="1212"/>
      <c r="BY31" s="1212"/>
      <c r="BZ31" s="1212"/>
      <c r="CA31" s="1212"/>
      <c r="CB31" s="1212"/>
      <c r="CC31" s="1212"/>
      <c r="CD31" s="1212"/>
      <c r="CE31" s="1212"/>
      <c r="CF31" s="1212"/>
      <c r="CG31" s="1212"/>
      <c r="CH31" s="679"/>
      <c r="CI31" s="679"/>
    </row>
    <row r="32" spans="1:87" s="1554" customFormat="1">
      <c r="A32" s="1065"/>
      <c r="B32" s="1169"/>
      <c r="C32" s="437" t="s">
        <v>1029</v>
      </c>
      <c r="D32" s="437" t="s">
        <v>1025</v>
      </c>
      <c r="E32" s="437" t="s">
        <v>1326</v>
      </c>
      <c r="F32" s="545">
        <v>0</v>
      </c>
      <c r="G32" s="1065"/>
      <c r="H32" s="1169"/>
      <c r="I32" s="1735"/>
      <c r="J32" s="1169"/>
      <c r="K32" s="1217"/>
      <c r="L32" s="1217"/>
      <c r="M32" s="1173"/>
      <c r="N32" s="1217"/>
      <c r="O32" s="1173"/>
      <c r="P32" s="1185"/>
      <c r="Q32" s="1212"/>
      <c r="R32" s="1212"/>
      <c r="S32" s="1212"/>
      <c r="T32" s="1212"/>
      <c r="U32" s="1212"/>
      <c r="V32" s="1212"/>
      <c r="W32" s="1212"/>
      <c r="X32" s="1212"/>
      <c r="Y32" s="1212"/>
      <c r="Z32" s="1212"/>
      <c r="AA32" s="1212"/>
      <c r="AB32" s="1212"/>
      <c r="AC32" s="1212"/>
      <c r="AD32" s="1212"/>
      <c r="AE32" s="1212"/>
      <c r="AF32" s="1212"/>
      <c r="AG32" s="1212"/>
      <c r="AH32" s="1212"/>
      <c r="AI32" s="1212"/>
      <c r="AJ32" s="1212"/>
      <c r="AK32" s="1212"/>
      <c r="AL32" s="1212"/>
      <c r="AM32" s="1212"/>
      <c r="AN32" s="1212"/>
      <c r="AO32" s="1212"/>
      <c r="AP32" s="1212"/>
      <c r="AQ32" s="1212"/>
      <c r="AR32" s="1212"/>
      <c r="AS32" s="1212"/>
      <c r="AT32" s="1212"/>
      <c r="AU32" s="1212"/>
      <c r="AV32" s="1212"/>
      <c r="AW32" s="1212"/>
      <c r="AX32" s="1212"/>
      <c r="AY32" s="1212"/>
      <c r="AZ32" s="1212"/>
      <c r="BA32" s="1212"/>
      <c r="BB32" s="1212"/>
      <c r="BC32" s="1212"/>
      <c r="BD32" s="1212"/>
      <c r="BE32" s="1212"/>
      <c r="BF32" s="1212"/>
      <c r="BG32" s="1212"/>
      <c r="BH32" s="1212"/>
      <c r="BI32" s="1212"/>
      <c r="BJ32" s="1212"/>
      <c r="BK32" s="1212"/>
      <c r="BL32" s="1212"/>
      <c r="BM32" s="1212"/>
      <c r="BN32" s="1212"/>
      <c r="BO32" s="1212"/>
      <c r="BP32" s="1212"/>
      <c r="BQ32" s="1213"/>
      <c r="BR32" s="1212"/>
      <c r="BS32" s="1212"/>
      <c r="BT32" s="1212"/>
      <c r="BU32" s="1212"/>
      <c r="BV32" s="1212"/>
      <c r="BW32" s="1212"/>
      <c r="BX32" s="1212"/>
      <c r="BY32" s="1212"/>
      <c r="BZ32" s="1212"/>
      <c r="CA32" s="1212"/>
      <c r="CB32" s="1212"/>
      <c r="CC32" s="1212"/>
      <c r="CD32" s="1212"/>
      <c r="CE32" s="1212"/>
      <c r="CF32" s="1212"/>
      <c r="CG32" s="1212"/>
      <c r="CH32" s="679"/>
      <c r="CI32" s="679"/>
    </row>
    <row r="33" spans="1:87" s="1554" customFormat="1">
      <c r="A33" s="1065"/>
      <c r="B33" s="1169"/>
      <c r="C33" s="437" t="s">
        <v>1030</v>
      </c>
      <c r="D33" s="437" t="s">
        <v>1025</v>
      </c>
      <c r="E33" s="437" t="s">
        <v>1326</v>
      </c>
      <c r="F33" s="545">
        <v>0</v>
      </c>
      <c r="G33" s="1065"/>
      <c r="H33" s="1169"/>
      <c r="I33" s="1735"/>
      <c r="J33" s="1169"/>
      <c r="K33" s="1217"/>
      <c r="L33" s="1217"/>
      <c r="M33" s="1173"/>
      <c r="N33" s="1217"/>
      <c r="O33" s="1173"/>
      <c r="P33" s="1185"/>
      <c r="Q33" s="1212"/>
      <c r="R33" s="1212"/>
      <c r="S33" s="1212"/>
      <c r="T33" s="1212"/>
      <c r="U33" s="1212"/>
      <c r="V33" s="1212"/>
      <c r="W33" s="1212"/>
      <c r="X33" s="1212"/>
      <c r="Y33" s="1212"/>
      <c r="Z33" s="1212"/>
      <c r="AA33" s="1212"/>
      <c r="AB33" s="1212"/>
      <c r="AC33" s="1212"/>
      <c r="AD33" s="1212"/>
      <c r="AE33" s="1212"/>
      <c r="AF33" s="1212"/>
      <c r="AG33" s="1212"/>
      <c r="AH33" s="1212"/>
      <c r="AI33" s="1212"/>
      <c r="AJ33" s="1212"/>
      <c r="AK33" s="1212"/>
      <c r="AL33" s="1212"/>
      <c r="AM33" s="1212"/>
      <c r="AN33" s="1212"/>
      <c r="AO33" s="1212"/>
      <c r="AP33" s="1212"/>
      <c r="AQ33" s="1212"/>
      <c r="AR33" s="1212"/>
      <c r="AS33" s="1212"/>
      <c r="AT33" s="1212"/>
      <c r="AU33" s="1212"/>
      <c r="AV33" s="1212"/>
      <c r="AW33" s="1212"/>
      <c r="AX33" s="1212"/>
      <c r="AY33" s="1212"/>
      <c r="AZ33" s="1212"/>
      <c r="BA33" s="1212"/>
      <c r="BB33" s="1212"/>
      <c r="BC33" s="1212"/>
      <c r="BD33" s="1212"/>
      <c r="BE33" s="1212"/>
      <c r="BF33" s="1212"/>
      <c r="BG33" s="1212"/>
      <c r="BH33" s="1212"/>
      <c r="BI33" s="1212"/>
      <c r="BJ33" s="1212"/>
      <c r="BK33" s="1212"/>
      <c r="BL33" s="1212"/>
      <c r="BM33" s="1212"/>
      <c r="BN33" s="1212"/>
      <c r="BO33" s="1212"/>
      <c r="BP33" s="1212"/>
      <c r="BQ33" s="1213"/>
      <c r="BR33" s="1212"/>
      <c r="BS33" s="1212"/>
      <c r="BT33" s="1212"/>
      <c r="BU33" s="1212"/>
      <c r="BV33" s="1212"/>
      <c r="BW33" s="1212"/>
      <c r="BX33" s="1212"/>
      <c r="BY33" s="1212"/>
      <c r="BZ33" s="1212"/>
      <c r="CA33" s="1212"/>
      <c r="CB33" s="1212"/>
      <c r="CC33" s="1212"/>
      <c r="CD33" s="1212"/>
      <c r="CE33" s="1212"/>
      <c r="CF33" s="1212"/>
      <c r="CG33" s="1212"/>
      <c r="CH33" s="679"/>
      <c r="CI33" s="679"/>
    </row>
    <row r="34" spans="1:87" s="1554" customFormat="1">
      <c r="A34" s="1065"/>
      <c r="B34" s="1169"/>
      <c r="C34" s="1169" t="s">
        <v>1035</v>
      </c>
      <c r="D34" s="437" t="s">
        <v>1025</v>
      </c>
      <c r="E34" s="437" t="s">
        <v>1326</v>
      </c>
      <c r="F34" s="545">
        <v>0</v>
      </c>
      <c r="G34" s="1065"/>
      <c r="H34" s="437"/>
      <c r="I34" s="1169"/>
      <c r="J34" s="1169"/>
      <c r="K34" s="1217"/>
      <c r="L34" s="1217"/>
      <c r="M34" s="1173"/>
      <c r="N34" s="1217"/>
      <c r="O34" s="1173"/>
      <c r="P34" s="1185"/>
      <c r="Q34" s="1212"/>
      <c r="R34" s="1212"/>
      <c r="S34" s="1212"/>
      <c r="T34" s="1212"/>
      <c r="U34" s="1212"/>
      <c r="V34" s="1212"/>
      <c r="W34" s="1212"/>
      <c r="X34" s="1212"/>
      <c r="Y34" s="1212"/>
      <c r="Z34" s="1212"/>
      <c r="AA34" s="1212"/>
      <c r="AB34" s="1212"/>
      <c r="AC34" s="1212"/>
      <c r="AD34" s="1212"/>
      <c r="AE34" s="1212"/>
      <c r="AF34" s="1212"/>
      <c r="AG34" s="1212"/>
      <c r="AH34" s="1212"/>
      <c r="AI34" s="1212"/>
      <c r="AJ34" s="1212"/>
      <c r="AK34" s="1212"/>
      <c r="AL34" s="1212"/>
      <c r="AM34" s="1212"/>
      <c r="AN34" s="1212"/>
      <c r="AO34" s="1212"/>
      <c r="AP34" s="1212"/>
      <c r="AQ34" s="1212"/>
      <c r="AR34" s="1212"/>
      <c r="AS34" s="1212"/>
      <c r="AT34" s="1212"/>
      <c r="AU34" s="1212"/>
      <c r="AV34" s="1212"/>
      <c r="AW34" s="1212"/>
      <c r="AX34" s="1212"/>
      <c r="AY34" s="1212"/>
      <c r="AZ34" s="1212"/>
      <c r="BA34" s="1212"/>
      <c r="BB34" s="1212"/>
      <c r="BC34" s="1212"/>
      <c r="BD34" s="1212"/>
      <c r="BE34" s="1212"/>
      <c r="BF34" s="1212"/>
      <c r="BG34" s="1212"/>
      <c r="BH34" s="1212"/>
      <c r="BI34" s="1212"/>
      <c r="BJ34" s="1212"/>
      <c r="BK34" s="1212"/>
      <c r="BL34" s="1212"/>
      <c r="BM34" s="1212"/>
      <c r="BN34" s="1212"/>
      <c r="BO34" s="1212"/>
      <c r="BP34" s="1212"/>
      <c r="BQ34" s="1213"/>
      <c r="BR34" s="1212"/>
      <c r="BS34" s="1212"/>
      <c r="BT34" s="1212"/>
      <c r="BU34" s="1212"/>
      <c r="BV34" s="1212"/>
      <c r="BW34" s="1212"/>
      <c r="BX34" s="1212"/>
      <c r="BY34" s="1212"/>
      <c r="BZ34" s="1212"/>
      <c r="CA34" s="1212"/>
      <c r="CB34" s="1212"/>
      <c r="CC34" s="1212"/>
      <c r="CD34" s="1212"/>
      <c r="CE34" s="1212"/>
      <c r="CF34" s="1212"/>
      <c r="CG34" s="1212"/>
      <c r="CH34" s="679"/>
      <c r="CI34" s="679"/>
    </row>
    <row r="35" spans="1:87" s="1554" customFormat="1">
      <c r="A35" s="1065"/>
      <c r="B35" s="1169"/>
      <c r="C35" s="1169" t="s">
        <v>1032</v>
      </c>
      <c r="D35" s="437" t="s">
        <v>1025</v>
      </c>
      <c r="E35" s="437" t="s">
        <v>1326</v>
      </c>
      <c r="F35" s="545">
        <v>0</v>
      </c>
      <c r="G35" s="1065"/>
      <c r="H35" s="1066"/>
      <c r="I35" s="1169"/>
      <c r="J35" s="1169"/>
      <c r="K35" s="1173"/>
      <c r="L35" s="1217"/>
      <c r="M35" s="1173"/>
      <c r="N35" s="1173"/>
      <c r="O35" s="1173"/>
      <c r="P35" s="1185"/>
      <c r="Q35" s="1212"/>
      <c r="R35" s="1212"/>
      <c r="S35" s="1212"/>
      <c r="T35" s="1212"/>
      <c r="U35" s="1212"/>
      <c r="V35" s="1212"/>
      <c r="W35" s="1212"/>
      <c r="X35" s="1212"/>
      <c r="Y35" s="1212"/>
      <c r="Z35" s="1212"/>
      <c r="AA35" s="1212"/>
      <c r="AB35" s="1212"/>
      <c r="AC35" s="1212"/>
      <c r="AD35" s="1212"/>
      <c r="AE35" s="1212"/>
      <c r="AF35" s="1212"/>
      <c r="AG35" s="1212"/>
      <c r="AH35" s="1212"/>
      <c r="AI35" s="1212"/>
      <c r="AJ35" s="1212"/>
      <c r="AK35" s="1212"/>
      <c r="AL35" s="1212"/>
      <c r="AM35" s="1212"/>
      <c r="AN35" s="1212"/>
      <c r="AO35" s="1212"/>
      <c r="AP35" s="1212"/>
      <c r="AQ35" s="1212"/>
      <c r="AR35" s="1212"/>
      <c r="AS35" s="1212"/>
      <c r="AT35" s="1212"/>
      <c r="AU35" s="1212"/>
      <c r="AV35" s="1212"/>
      <c r="AW35" s="1212"/>
      <c r="AX35" s="1212"/>
      <c r="AY35" s="1212"/>
      <c r="AZ35" s="1212"/>
      <c r="BA35" s="1212"/>
      <c r="BB35" s="1212"/>
      <c r="BC35" s="1212"/>
      <c r="BD35" s="1212"/>
      <c r="BE35" s="1212"/>
      <c r="BF35" s="1212"/>
      <c r="BG35" s="1212"/>
      <c r="BH35" s="1212"/>
      <c r="BI35" s="1212"/>
      <c r="BJ35" s="1212"/>
      <c r="BK35" s="1212"/>
      <c r="BL35" s="1212"/>
      <c r="BM35" s="1212"/>
      <c r="BN35" s="1212"/>
      <c r="BO35" s="1212"/>
      <c r="BP35" s="1212"/>
      <c r="BQ35" s="1213"/>
      <c r="BR35" s="1212"/>
      <c r="BS35" s="1212"/>
      <c r="BT35" s="1212"/>
      <c r="BU35" s="1212"/>
      <c r="BV35" s="1212"/>
      <c r="BW35" s="1212"/>
      <c r="BX35" s="1212"/>
      <c r="BY35" s="1212"/>
      <c r="BZ35" s="1212"/>
      <c r="CA35" s="1212"/>
      <c r="CB35" s="1212"/>
      <c r="CC35" s="1212"/>
      <c r="CD35" s="1212"/>
      <c r="CE35" s="1212"/>
      <c r="CF35" s="1212"/>
      <c r="CG35" s="1212"/>
      <c r="CH35" s="679"/>
      <c r="CI35" s="679"/>
    </row>
    <row r="36" spans="1:87" s="1554" customFormat="1" ht="15">
      <c r="A36" s="1065"/>
      <c r="B36" s="437"/>
      <c r="C36" s="1170" t="s">
        <v>1023</v>
      </c>
      <c r="D36" s="1177" t="s">
        <v>1036</v>
      </c>
      <c r="E36" s="1170" t="s">
        <v>1326</v>
      </c>
      <c r="F36" s="545">
        <v>0</v>
      </c>
      <c r="G36" s="1065">
        <f>+F36</f>
        <v>0</v>
      </c>
      <c r="H36" s="1066"/>
      <c r="I36" s="1169"/>
      <c r="J36" s="1169"/>
      <c r="K36" s="1209"/>
      <c r="L36" s="1169"/>
      <c r="M36" s="1169"/>
      <c r="N36" s="1169"/>
      <c r="O36" s="1169"/>
      <c r="P36" s="1185"/>
      <c r="Q36" s="1212"/>
      <c r="R36" s="1212"/>
      <c r="S36" s="1212"/>
      <c r="T36" s="1212"/>
      <c r="U36" s="1212"/>
      <c r="V36" s="1212"/>
      <c r="W36" s="1212"/>
      <c r="X36" s="1212"/>
      <c r="Y36" s="1212"/>
      <c r="Z36" s="1212"/>
      <c r="AA36" s="1212"/>
      <c r="AB36" s="1212"/>
      <c r="AC36" s="1212"/>
      <c r="AD36" s="1212"/>
      <c r="AE36" s="1212"/>
      <c r="AF36" s="1212"/>
      <c r="AG36" s="1212"/>
      <c r="AH36" s="1212"/>
      <c r="AI36" s="1212"/>
      <c r="AJ36" s="1212"/>
      <c r="AK36" s="1212"/>
      <c r="AL36" s="1212"/>
      <c r="AM36" s="1212"/>
      <c r="AN36" s="1212"/>
      <c r="AO36" s="1212"/>
      <c r="AP36" s="1212"/>
      <c r="AQ36" s="1212"/>
      <c r="AR36" s="1212"/>
      <c r="AS36" s="1212"/>
      <c r="AT36" s="1212"/>
      <c r="AU36" s="1212"/>
      <c r="AV36" s="1212"/>
      <c r="AW36" s="1212"/>
      <c r="AX36" s="1212"/>
      <c r="AY36" s="1212"/>
      <c r="AZ36" s="1212"/>
      <c r="BA36" s="1212"/>
      <c r="BB36" s="1212"/>
      <c r="BC36" s="1212"/>
      <c r="BD36" s="1212"/>
      <c r="BE36" s="1212"/>
      <c r="BF36" s="1212"/>
      <c r="BG36" s="1212"/>
      <c r="BH36" s="1212"/>
      <c r="BI36" s="1212"/>
      <c r="BJ36" s="1212"/>
      <c r="BK36" s="1212"/>
      <c r="BL36" s="1212"/>
      <c r="BM36" s="1212"/>
      <c r="BN36" s="1212"/>
      <c r="BO36" s="1212"/>
      <c r="BP36" s="1212"/>
      <c r="BQ36" s="1213"/>
      <c r="BR36" s="1212"/>
      <c r="BS36" s="1212"/>
      <c r="BT36" s="1212"/>
      <c r="BU36" s="1212"/>
      <c r="BV36" s="1212"/>
      <c r="BW36" s="1212"/>
      <c r="BX36" s="1212"/>
      <c r="BY36" s="1212"/>
      <c r="BZ36" s="1212"/>
      <c r="CA36" s="1212"/>
      <c r="CB36" s="1212"/>
      <c r="CC36" s="1212"/>
      <c r="CD36" s="1212"/>
      <c r="CE36" s="1212"/>
      <c r="CF36" s="1212"/>
      <c r="CG36" s="1212"/>
      <c r="CH36" s="679"/>
      <c r="CI36" s="679"/>
    </row>
    <row r="37" spans="1:87" s="1554" customFormat="1" ht="13.8" thickBot="1">
      <c r="A37" s="1065"/>
      <c r="B37" s="1169"/>
      <c r="C37" s="1171" t="s">
        <v>1037</v>
      </c>
      <c r="D37" s="437"/>
      <c r="E37" s="437"/>
      <c r="F37" s="1175">
        <f>AVERAGE(F24:F36)</f>
        <v>0</v>
      </c>
      <c r="G37" s="1191">
        <f>+G36</f>
        <v>0</v>
      </c>
      <c r="H37" s="1066"/>
      <c r="I37" s="1169"/>
      <c r="J37" s="1169"/>
      <c r="K37" s="1173"/>
      <c r="L37" s="1173"/>
      <c r="M37" s="1173"/>
      <c r="N37" s="1173"/>
      <c r="O37" s="1173"/>
      <c r="P37" s="1185"/>
      <c r="Q37" s="1212"/>
      <c r="R37" s="1212"/>
      <c r="S37" s="1212"/>
      <c r="T37" s="1212"/>
      <c r="U37" s="1212"/>
      <c r="V37" s="1212"/>
      <c r="W37" s="1212"/>
      <c r="X37" s="1212"/>
      <c r="Y37" s="1212"/>
      <c r="Z37" s="1212"/>
      <c r="AA37" s="1212"/>
      <c r="AB37" s="1212"/>
      <c r="AC37" s="1212"/>
      <c r="AD37" s="1212"/>
      <c r="AE37" s="1212"/>
      <c r="AF37" s="1212"/>
      <c r="AG37" s="1212"/>
      <c r="AH37" s="1212"/>
      <c r="AI37" s="1212"/>
      <c r="AJ37" s="1212"/>
      <c r="AK37" s="1212"/>
      <c r="AL37" s="1212"/>
      <c r="AM37" s="1212"/>
      <c r="AN37" s="1212"/>
      <c r="AO37" s="1212"/>
      <c r="AP37" s="1212"/>
      <c r="AQ37" s="1212"/>
      <c r="AR37" s="1212"/>
      <c r="AS37" s="1212"/>
      <c r="AT37" s="1212"/>
      <c r="AU37" s="1212"/>
      <c r="AV37" s="1212"/>
      <c r="AW37" s="1212"/>
      <c r="AX37" s="1212"/>
      <c r="AY37" s="1212"/>
      <c r="AZ37" s="1212"/>
      <c r="BA37" s="1212"/>
      <c r="BB37" s="1212"/>
      <c r="BC37" s="1212"/>
      <c r="BD37" s="1212"/>
      <c r="BE37" s="1212"/>
      <c r="BF37" s="1212"/>
      <c r="BG37" s="1212"/>
      <c r="BH37" s="1212"/>
      <c r="BI37" s="1212"/>
      <c r="BJ37" s="1212"/>
      <c r="BK37" s="1212"/>
      <c r="BL37" s="1212"/>
      <c r="BM37" s="1212"/>
      <c r="BN37" s="1212"/>
      <c r="BO37" s="1212"/>
      <c r="BP37" s="1212"/>
      <c r="BQ37" s="1213"/>
      <c r="BR37" s="1212"/>
      <c r="BS37" s="1212"/>
      <c r="BT37" s="1212"/>
      <c r="BU37" s="1212"/>
      <c r="BV37" s="1212"/>
      <c r="BW37" s="1212"/>
      <c r="BX37" s="1212"/>
      <c r="BY37" s="1212"/>
      <c r="BZ37" s="1212"/>
      <c r="CA37" s="1212"/>
      <c r="CB37" s="1212"/>
      <c r="CC37" s="1212"/>
      <c r="CD37" s="1212"/>
      <c r="CE37" s="1212"/>
      <c r="CF37" s="1212"/>
      <c r="CG37" s="1212"/>
      <c r="CH37" s="679"/>
      <c r="CI37" s="679"/>
    </row>
    <row r="38" spans="1:87" s="679" customFormat="1" ht="13.8" thickTop="1">
      <c r="A38" s="1065"/>
      <c r="B38" s="1169"/>
      <c r="C38" s="437"/>
      <c r="D38" s="437"/>
      <c r="E38" s="437"/>
      <c r="F38" s="437"/>
      <c r="G38" s="1065"/>
      <c r="H38" s="1066"/>
      <c r="I38" s="1169"/>
      <c r="J38" s="1169"/>
      <c r="K38" s="1173"/>
      <c r="L38" s="1173"/>
      <c r="M38" s="1173"/>
      <c r="N38" s="1173"/>
      <c r="O38" s="1173"/>
      <c r="P38" s="1185"/>
      <c r="Q38" s="1212"/>
      <c r="R38" s="1212"/>
      <c r="S38" s="1212"/>
      <c r="T38" s="1212"/>
      <c r="U38" s="1212"/>
      <c r="V38" s="1212"/>
      <c r="W38" s="1212"/>
      <c r="X38" s="1212"/>
      <c r="Y38" s="1212"/>
      <c r="Z38" s="1212"/>
      <c r="AA38" s="1212"/>
      <c r="AB38" s="1212"/>
      <c r="AC38" s="1212"/>
      <c r="AD38" s="1212"/>
      <c r="AE38" s="1212"/>
      <c r="AF38" s="1212"/>
      <c r="AG38" s="1212"/>
      <c r="AH38" s="1212"/>
      <c r="AI38" s="1212"/>
      <c r="AJ38" s="1212"/>
      <c r="AK38" s="1212"/>
      <c r="AL38" s="1212"/>
      <c r="AM38" s="1212"/>
      <c r="AN38" s="1212"/>
      <c r="AO38" s="1212"/>
      <c r="AP38" s="1212"/>
      <c r="AQ38" s="1212"/>
      <c r="AR38" s="1212"/>
      <c r="AS38" s="1212"/>
      <c r="AT38" s="1212"/>
      <c r="AU38" s="1212"/>
      <c r="AV38" s="1212"/>
      <c r="AW38" s="1212"/>
      <c r="AX38" s="1212"/>
      <c r="AY38" s="1212"/>
      <c r="AZ38" s="1212"/>
      <c r="BA38" s="1212"/>
      <c r="BB38" s="1212"/>
      <c r="BC38" s="1212"/>
      <c r="BD38" s="1212"/>
      <c r="BE38" s="1212"/>
      <c r="BF38" s="1212"/>
      <c r="BG38" s="1212"/>
      <c r="BH38" s="1212"/>
      <c r="BI38" s="1212"/>
      <c r="BJ38" s="1212"/>
      <c r="BK38" s="1212"/>
      <c r="BL38" s="1212"/>
      <c r="BM38" s="1212"/>
      <c r="BN38" s="1212"/>
      <c r="BO38" s="1212"/>
      <c r="BP38" s="1212"/>
      <c r="BQ38" s="1213"/>
      <c r="BR38" s="1212"/>
      <c r="BS38" s="1212"/>
      <c r="BT38" s="1212"/>
      <c r="BU38" s="1212"/>
      <c r="BV38" s="1212"/>
      <c r="BW38" s="1212"/>
      <c r="BX38" s="1212"/>
      <c r="BY38" s="1212"/>
      <c r="BZ38" s="1212"/>
      <c r="CA38" s="1212"/>
      <c r="CB38" s="1212"/>
      <c r="CC38" s="1212"/>
      <c r="CD38" s="1212"/>
      <c r="CE38" s="1212"/>
      <c r="CF38" s="1212"/>
      <c r="CG38" s="1212"/>
    </row>
    <row r="39" spans="1:87" s="679" customFormat="1">
      <c r="A39" s="1065"/>
      <c r="B39" s="437"/>
      <c r="C39" s="1174" t="s">
        <v>1038</v>
      </c>
      <c r="D39" s="437" t="s">
        <v>1022</v>
      </c>
      <c r="E39" s="1169"/>
      <c r="F39" s="1169"/>
      <c r="G39" s="1065"/>
      <c r="H39" s="1066"/>
      <c r="I39" s="1169"/>
      <c r="J39" s="1169"/>
      <c r="K39" s="1173"/>
      <c r="L39" s="1173"/>
      <c r="M39" s="1173"/>
      <c r="N39" s="1173"/>
      <c r="O39" s="1173"/>
      <c r="P39" s="1185"/>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2"/>
      <c r="AO39" s="1212"/>
      <c r="AP39" s="1212"/>
      <c r="AQ39" s="1212"/>
      <c r="AR39" s="1212"/>
      <c r="AS39" s="1212"/>
      <c r="AT39" s="1212"/>
      <c r="AU39" s="1212"/>
      <c r="AV39" s="1212"/>
      <c r="AW39" s="1212"/>
      <c r="AX39" s="1212"/>
      <c r="AY39" s="1212"/>
      <c r="AZ39" s="1212"/>
      <c r="BA39" s="1212"/>
      <c r="BB39" s="1212"/>
      <c r="BC39" s="1212"/>
      <c r="BD39" s="1212"/>
      <c r="BE39" s="1212"/>
      <c r="BF39" s="1212"/>
      <c r="BG39" s="1212"/>
      <c r="BH39" s="1212"/>
      <c r="BI39" s="1212"/>
      <c r="BJ39" s="1212"/>
      <c r="BK39" s="1212"/>
      <c r="BL39" s="1212"/>
      <c r="BM39" s="1212"/>
      <c r="BN39" s="1212"/>
      <c r="BO39" s="1212"/>
      <c r="BP39" s="1212"/>
      <c r="BQ39" s="1213"/>
      <c r="BR39" s="1212"/>
      <c r="BS39" s="1212"/>
      <c r="BT39" s="1212"/>
      <c r="BU39" s="1212"/>
      <c r="BV39" s="1212"/>
      <c r="BW39" s="1212"/>
      <c r="BX39" s="1212"/>
      <c r="BY39" s="1212"/>
      <c r="BZ39" s="1212"/>
      <c r="CA39" s="1212"/>
      <c r="CB39" s="1212"/>
      <c r="CC39" s="1212"/>
      <c r="CD39" s="1212"/>
      <c r="CE39" s="1212"/>
      <c r="CF39" s="1212"/>
      <c r="CG39" s="1212"/>
    </row>
    <row r="40" spans="1:87" s="679" customFormat="1" ht="15">
      <c r="A40" s="1065"/>
      <c r="B40" s="1169"/>
      <c r="C40" s="1169" t="s">
        <v>1023</v>
      </c>
      <c r="D40" s="1176" t="s">
        <v>134</v>
      </c>
      <c r="E40" s="1991" t="s">
        <v>1278</v>
      </c>
      <c r="F40" s="545">
        <v>32459305</v>
      </c>
      <c r="G40" s="1065"/>
      <c r="H40" s="1066"/>
      <c r="I40" s="1169"/>
      <c r="J40" s="1169"/>
      <c r="K40" s="1173"/>
      <c r="L40" s="1173"/>
      <c r="M40" s="1173"/>
      <c r="N40" s="1173"/>
      <c r="O40" s="1173"/>
      <c r="P40" s="1185"/>
      <c r="Q40" s="1212"/>
      <c r="R40" s="1212"/>
      <c r="S40" s="1212"/>
      <c r="T40" s="1212"/>
      <c r="U40" s="1212"/>
      <c r="V40" s="1212"/>
      <c r="W40" s="1212"/>
      <c r="X40" s="1212"/>
      <c r="Y40" s="1212"/>
      <c r="Z40" s="1212"/>
      <c r="AA40" s="1212"/>
      <c r="AB40" s="1212"/>
      <c r="AC40" s="1212"/>
      <c r="AD40" s="1212"/>
      <c r="AE40" s="1212"/>
      <c r="AF40" s="1212"/>
      <c r="AG40" s="1212"/>
      <c r="AH40" s="1212"/>
      <c r="AI40" s="1212"/>
      <c r="AJ40" s="1212"/>
      <c r="AK40" s="1212"/>
      <c r="AL40" s="1212"/>
      <c r="AM40" s="1212"/>
      <c r="AN40" s="1212"/>
      <c r="AO40" s="1212"/>
      <c r="AP40" s="1212"/>
      <c r="AQ40" s="1212"/>
      <c r="AR40" s="1212"/>
      <c r="AS40" s="1212"/>
      <c r="AT40" s="1212"/>
      <c r="AU40" s="1212"/>
      <c r="AV40" s="1212"/>
      <c r="AW40" s="1212"/>
      <c r="AX40" s="1212"/>
      <c r="AY40" s="1212"/>
      <c r="AZ40" s="1212"/>
      <c r="BA40" s="1212"/>
      <c r="BB40" s="1212"/>
      <c r="BC40" s="1212"/>
      <c r="BD40" s="1212"/>
      <c r="BE40" s="1212"/>
      <c r="BF40" s="1212"/>
      <c r="BG40" s="1212"/>
      <c r="BH40" s="1212"/>
      <c r="BI40" s="1212"/>
      <c r="BJ40" s="1212"/>
      <c r="BK40" s="1212"/>
      <c r="BL40" s="1212"/>
      <c r="BM40" s="1212"/>
      <c r="BN40" s="1212"/>
      <c r="BO40" s="1212"/>
      <c r="BP40" s="1212"/>
      <c r="BQ40" s="1213"/>
      <c r="BR40" s="1212"/>
      <c r="BS40" s="1212"/>
      <c r="BT40" s="1212"/>
      <c r="BU40" s="1212"/>
      <c r="BV40" s="1212"/>
      <c r="BW40" s="1212"/>
      <c r="BX40" s="1212"/>
      <c r="BY40" s="1212"/>
      <c r="BZ40" s="1212"/>
      <c r="CA40" s="1212"/>
      <c r="CB40" s="1212"/>
      <c r="CC40" s="1212"/>
      <c r="CD40" s="1212"/>
      <c r="CE40" s="1212"/>
      <c r="CF40" s="1212"/>
      <c r="CG40" s="1212"/>
    </row>
    <row r="41" spans="1:87" s="679" customFormat="1" ht="15">
      <c r="A41" s="1065"/>
      <c r="B41" s="437"/>
      <c r="C41" s="1170" t="s">
        <v>1023</v>
      </c>
      <c r="D41" s="1177" t="s">
        <v>135</v>
      </c>
      <c r="E41" s="1992" t="s">
        <v>1326</v>
      </c>
      <c r="F41" s="545">
        <v>41788918</v>
      </c>
      <c r="G41" s="1065">
        <f>+F41</f>
        <v>41788918</v>
      </c>
      <c r="H41" s="1066" t="s">
        <v>525</v>
      </c>
      <c r="I41" s="1169"/>
      <c r="J41" s="1169"/>
      <c r="K41" s="1169"/>
      <c r="L41" s="1169"/>
      <c r="M41" s="1169"/>
      <c r="N41" s="1169"/>
      <c r="O41" s="1169"/>
      <c r="P41" s="1185"/>
      <c r="Q41" s="1212"/>
      <c r="R41" s="1212"/>
      <c r="S41" s="1212"/>
      <c r="T41" s="1212"/>
      <c r="U41" s="1212"/>
      <c r="V41" s="1212"/>
      <c r="W41" s="1212"/>
      <c r="X41" s="1212"/>
      <c r="Y41" s="1212"/>
      <c r="Z41" s="1212"/>
      <c r="AA41" s="1212"/>
      <c r="AB41" s="1212"/>
      <c r="AC41" s="1212"/>
      <c r="AD41" s="1212"/>
      <c r="AE41" s="1212"/>
      <c r="AF41" s="1212"/>
      <c r="AG41" s="1212"/>
      <c r="AH41" s="1212"/>
      <c r="AI41" s="1212"/>
      <c r="AJ41" s="1212"/>
      <c r="AK41" s="1212"/>
      <c r="AL41" s="1212"/>
      <c r="AM41" s="1212"/>
      <c r="AN41" s="1212"/>
      <c r="AO41" s="1212"/>
      <c r="AP41" s="1212"/>
      <c r="AQ41" s="1212"/>
      <c r="AR41" s="1212"/>
      <c r="AS41" s="1212"/>
      <c r="AT41" s="1212"/>
      <c r="AU41" s="1212"/>
      <c r="AV41" s="1212"/>
      <c r="AW41" s="1212"/>
      <c r="AX41" s="1212"/>
      <c r="AY41" s="1212"/>
      <c r="AZ41" s="1212"/>
      <c r="BA41" s="1212"/>
      <c r="BB41" s="1212"/>
      <c r="BC41" s="1212"/>
      <c r="BD41" s="1212"/>
      <c r="BE41" s="1212"/>
      <c r="BF41" s="1212"/>
      <c r="BG41" s="1212"/>
      <c r="BH41" s="1212"/>
      <c r="BI41" s="1212"/>
      <c r="BJ41" s="1212"/>
      <c r="BK41" s="1212"/>
      <c r="BL41" s="1212"/>
      <c r="BM41" s="1212"/>
      <c r="BN41" s="1212"/>
      <c r="BO41" s="1212"/>
      <c r="BP41" s="1212"/>
      <c r="BQ41" s="1213"/>
      <c r="BR41" s="1212"/>
      <c r="BS41" s="1212"/>
      <c r="BT41" s="1212"/>
      <c r="BU41" s="1212"/>
      <c r="BV41" s="1212"/>
      <c r="BW41" s="1212"/>
      <c r="BX41" s="1212"/>
      <c r="BY41" s="1212"/>
      <c r="BZ41" s="1212"/>
      <c r="CA41" s="1212"/>
      <c r="CB41" s="1212"/>
      <c r="CC41" s="1212"/>
      <c r="CD41" s="1212"/>
      <c r="CE41" s="1212"/>
      <c r="CF41" s="1212"/>
      <c r="CG41" s="1212"/>
    </row>
    <row r="42" spans="1:87" s="679" customFormat="1" ht="13.8" thickBot="1">
      <c r="A42" s="1065">
        <v>18</v>
      </c>
      <c r="B42" s="1169"/>
      <c r="C42" s="1171" t="s">
        <v>1039</v>
      </c>
      <c r="D42" s="437"/>
      <c r="E42" s="437"/>
      <c r="F42" s="1186">
        <f>AVERAGE(F40:F41)</f>
        <v>37124111.5</v>
      </c>
      <c r="G42" s="1187">
        <f>+G41</f>
        <v>41788918</v>
      </c>
      <c r="H42" s="1066"/>
      <c r="I42" s="1171"/>
      <c r="J42" s="1169"/>
      <c r="K42" s="1173"/>
      <c r="L42" s="1173"/>
      <c r="M42" s="1173"/>
      <c r="N42" s="1173"/>
      <c r="O42" s="1173"/>
      <c r="P42" s="1185"/>
      <c r="Q42" s="1212"/>
      <c r="R42" s="1212"/>
      <c r="S42" s="1212"/>
      <c r="T42" s="1212"/>
      <c r="U42" s="1212"/>
      <c r="V42" s="1212"/>
      <c r="W42" s="1212"/>
      <c r="X42" s="1212"/>
      <c r="Y42" s="1212"/>
      <c r="Z42" s="1212"/>
      <c r="AA42" s="1212"/>
      <c r="AB42" s="1212"/>
      <c r="AC42" s="1212"/>
      <c r="AD42" s="1212"/>
      <c r="AE42" s="1212"/>
      <c r="AF42" s="1212"/>
      <c r="AG42" s="1212"/>
      <c r="AH42" s="1212"/>
      <c r="AI42" s="1212"/>
      <c r="AJ42" s="1212"/>
      <c r="AK42" s="1212"/>
      <c r="AL42" s="1212"/>
      <c r="AM42" s="1212"/>
      <c r="AN42" s="1212"/>
      <c r="AO42" s="1212"/>
      <c r="AP42" s="1212"/>
      <c r="AQ42" s="1212"/>
      <c r="AR42" s="1212"/>
      <c r="AS42" s="1212"/>
      <c r="AT42" s="1212"/>
      <c r="AU42" s="1212"/>
      <c r="AV42" s="1212"/>
      <c r="AW42" s="1212"/>
      <c r="AX42" s="1212"/>
      <c r="AY42" s="1212"/>
      <c r="AZ42" s="1212"/>
      <c r="BA42" s="1212"/>
      <c r="BB42" s="1212"/>
      <c r="BC42" s="1212"/>
      <c r="BD42" s="1212"/>
      <c r="BE42" s="1212"/>
      <c r="BF42" s="1212"/>
      <c r="BG42" s="1212"/>
      <c r="BH42" s="1212"/>
      <c r="BI42" s="1212"/>
      <c r="BJ42" s="1212"/>
      <c r="BK42" s="1212"/>
      <c r="BL42" s="1212"/>
      <c r="BM42" s="1212"/>
      <c r="BN42" s="1212"/>
      <c r="BO42" s="1212"/>
      <c r="BP42" s="1212"/>
      <c r="BQ42" s="1213"/>
      <c r="BR42" s="1212"/>
      <c r="BS42" s="1212"/>
      <c r="BT42" s="1212"/>
      <c r="BU42" s="1212"/>
      <c r="BV42" s="1212"/>
      <c r="BW42" s="1212"/>
      <c r="BX42" s="1212"/>
      <c r="BY42" s="1212"/>
      <c r="BZ42" s="1212"/>
      <c r="CA42" s="1212"/>
      <c r="CB42" s="1212"/>
      <c r="CC42" s="1212"/>
      <c r="CD42" s="1212"/>
      <c r="CE42" s="1212"/>
      <c r="CF42" s="1212"/>
      <c r="CG42" s="1212"/>
    </row>
    <row r="43" spans="1:87" s="679" customFormat="1" ht="27" thickTop="1">
      <c r="A43" s="1065"/>
      <c r="B43" s="1169"/>
      <c r="C43" s="1169"/>
      <c r="D43" s="437"/>
      <c r="E43" s="1169"/>
      <c r="F43" s="1173" t="s">
        <v>231</v>
      </c>
      <c r="G43" s="1189" t="s">
        <v>231</v>
      </c>
      <c r="H43" s="1066"/>
      <c r="I43" s="1169"/>
      <c r="J43" s="1169"/>
      <c r="K43" s="1173"/>
      <c r="L43" s="1173"/>
      <c r="M43" s="1173"/>
      <c r="N43" s="1173"/>
      <c r="O43" s="1173"/>
      <c r="P43" s="1185"/>
      <c r="Q43" s="1212"/>
      <c r="R43" s="1212"/>
      <c r="S43" s="1212"/>
      <c r="T43" s="1212"/>
      <c r="U43" s="1212"/>
      <c r="V43" s="1212"/>
      <c r="W43" s="1212"/>
      <c r="X43" s="1212"/>
      <c r="Y43" s="1212"/>
      <c r="Z43" s="1212"/>
      <c r="AA43" s="1212"/>
      <c r="AB43" s="1212"/>
      <c r="AC43" s="1212"/>
      <c r="AD43" s="1212"/>
      <c r="AE43" s="1212"/>
      <c r="AF43" s="1212"/>
      <c r="AG43" s="1212"/>
      <c r="AH43" s="1212"/>
      <c r="AI43" s="1212"/>
      <c r="AJ43" s="1212"/>
      <c r="AK43" s="1212"/>
      <c r="AL43" s="1212"/>
      <c r="AM43" s="1212"/>
      <c r="AN43" s="1212"/>
      <c r="AO43" s="1212"/>
      <c r="AP43" s="1212"/>
      <c r="AQ43" s="1212"/>
      <c r="AR43" s="1212"/>
      <c r="AS43" s="1212"/>
      <c r="AT43" s="1212"/>
      <c r="AU43" s="1212"/>
      <c r="AV43" s="1212"/>
      <c r="AW43" s="1212"/>
      <c r="AX43" s="1212"/>
      <c r="AY43" s="1212"/>
      <c r="AZ43" s="1212"/>
      <c r="BA43" s="1212"/>
      <c r="BB43" s="1212"/>
      <c r="BC43" s="1212"/>
      <c r="BD43" s="1212"/>
      <c r="BE43" s="1212"/>
      <c r="BF43" s="1212"/>
      <c r="BG43" s="1212"/>
      <c r="BH43" s="1212"/>
      <c r="BI43" s="1212"/>
      <c r="BJ43" s="1212"/>
      <c r="BK43" s="1212"/>
      <c r="BL43" s="1212"/>
      <c r="BM43" s="1212"/>
      <c r="BN43" s="1212"/>
      <c r="BO43" s="1212"/>
      <c r="BP43" s="1212"/>
      <c r="BQ43" s="1213"/>
      <c r="BR43" s="1212"/>
      <c r="BS43" s="1212"/>
      <c r="BT43" s="1212"/>
      <c r="BU43" s="1212"/>
      <c r="BV43" s="1212"/>
      <c r="BW43" s="1212"/>
      <c r="BX43" s="1212"/>
      <c r="BY43" s="1212"/>
      <c r="BZ43" s="1212"/>
      <c r="CA43" s="1212"/>
      <c r="CB43" s="1212"/>
      <c r="CC43" s="1212"/>
      <c r="CD43" s="1212"/>
      <c r="CE43" s="1212"/>
      <c r="CF43" s="1212"/>
      <c r="CG43" s="1212"/>
    </row>
    <row r="44" spans="1:87" s="679" customFormat="1">
      <c r="A44" s="1066"/>
      <c r="B44" s="437"/>
      <c r="C44" s="1174" t="s">
        <v>1040</v>
      </c>
      <c r="D44" s="437" t="s">
        <v>1022</v>
      </c>
      <c r="E44" s="1169"/>
      <c r="F44" s="1169"/>
      <c r="G44" s="1065"/>
      <c r="H44" s="1066"/>
      <c r="I44" s="1169"/>
      <c r="J44" s="1169"/>
      <c r="K44" s="1173"/>
      <c r="L44" s="1173"/>
      <c r="M44" s="1173"/>
      <c r="N44" s="1173"/>
      <c r="O44" s="1173"/>
      <c r="P44" s="1185"/>
      <c r="Q44" s="1212"/>
      <c r="R44" s="1212"/>
      <c r="S44" s="1212"/>
      <c r="T44" s="1212"/>
      <c r="U44" s="1212"/>
      <c r="V44" s="1212"/>
      <c r="W44" s="1212"/>
      <c r="X44" s="1212"/>
      <c r="Y44" s="1212"/>
      <c r="Z44" s="1212"/>
      <c r="AA44" s="1212"/>
      <c r="AB44" s="1212"/>
      <c r="AC44" s="1212"/>
      <c r="AD44" s="1212"/>
      <c r="AE44" s="1212"/>
      <c r="AF44" s="1212"/>
      <c r="AG44" s="1212"/>
      <c r="AH44" s="1212"/>
      <c r="AI44" s="1212"/>
      <c r="AJ44" s="1212"/>
      <c r="AK44" s="1212"/>
      <c r="AL44" s="1212"/>
      <c r="AM44" s="1212"/>
      <c r="AN44" s="1212"/>
      <c r="AO44" s="1212"/>
      <c r="AP44" s="1212"/>
      <c r="AQ44" s="1212"/>
      <c r="AR44" s="1212"/>
      <c r="AS44" s="1212"/>
      <c r="AT44" s="1212"/>
      <c r="AU44" s="1212"/>
      <c r="AV44" s="1212"/>
      <c r="AW44" s="1212"/>
      <c r="AX44" s="1212"/>
      <c r="AY44" s="1212"/>
      <c r="AZ44" s="1212"/>
      <c r="BA44" s="1212"/>
      <c r="BB44" s="1212"/>
      <c r="BC44" s="1212"/>
      <c r="BD44" s="1212"/>
      <c r="BE44" s="1212"/>
      <c r="BF44" s="1212"/>
      <c r="BG44" s="1212"/>
      <c r="BH44" s="1212"/>
      <c r="BI44" s="1212"/>
      <c r="BJ44" s="1212"/>
      <c r="BK44" s="1212"/>
      <c r="BL44" s="1212"/>
      <c r="BM44" s="1212"/>
      <c r="BN44" s="1212"/>
      <c r="BO44" s="1212"/>
      <c r="BP44" s="1212"/>
      <c r="BQ44" s="1213"/>
      <c r="BR44" s="1212"/>
      <c r="BS44" s="1212"/>
      <c r="BT44" s="1212"/>
      <c r="BU44" s="1212"/>
      <c r="BV44" s="1212"/>
      <c r="BW44" s="1212"/>
      <c r="BX44" s="1212"/>
      <c r="BY44" s="1212"/>
      <c r="BZ44" s="1212"/>
      <c r="CA44" s="1212"/>
      <c r="CB44" s="1212"/>
      <c r="CC44" s="1212"/>
      <c r="CD44" s="1212"/>
      <c r="CE44" s="1212"/>
      <c r="CF44" s="1212"/>
      <c r="CG44" s="1212"/>
    </row>
    <row r="45" spans="1:87" s="679" customFormat="1" ht="15">
      <c r="A45" s="1066"/>
      <c r="B45" s="1169"/>
      <c r="C45" s="1169" t="s">
        <v>1023</v>
      </c>
      <c r="D45" s="1176" t="s">
        <v>210</v>
      </c>
      <c r="E45" s="1991" t="s">
        <v>1278</v>
      </c>
      <c r="F45" s="1728">
        <v>64630345</v>
      </c>
      <c r="G45" s="1065">
        <v>0</v>
      </c>
      <c r="H45" s="1066"/>
      <c r="I45" s="1169"/>
      <c r="J45" s="1169"/>
      <c r="K45" s="1173"/>
      <c r="L45" s="1173"/>
      <c r="M45" s="1173"/>
      <c r="N45" s="1173"/>
      <c r="O45" s="1173"/>
      <c r="P45" s="1185"/>
      <c r="Q45" s="1212"/>
      <c r="R45" s="1212"/>
      <c r="S45" s="1212"/>
      <c r="T45" s="1212"/>
      <c r="U45" s="1212"/>
      <c r="V45" s="1212"/>
      <c r="W45" s="1212"/>
      <c r="X45" s="1212"/>
      <c r="Y45" s="1212"/>
      <c r="Z45" s="1212"/>
      <c r="AA45" s="1212"/>
      <c r="AB45" s="1212"/>
      <c r="AC45" s="1212"/>
      <c r="AD45" s="1212"/>
      <c r="AE45" s="1212"/>
      <c r="AF45" s="1212"/>
      <c r="AG45" s="1212"/>
      <c r="AH45" s="1212"/>
      <c r="AI45" s="1212"/>
      <c r="AJ45" s="1212"/>
      <c r="AK45" s="1212"/>
      <c r="AL45" s="1212"/>
      <c r="AM45" s="1212"/>
      <c r="AN45" s="1212"/>
      <c r="AO45" s="1212"/>
      <c r="AP45" s="1212"/>
      <c r="AQ45" s="1212"/>
      <c r="AR45" s="1212"/>
      <c r="AS45" s="1212"/>
      <c r="AT45" s="1212"/>
      <c r="AU45" s="1212"/>
      <c r="AV45" s="1212"/>
      <c r="AW45" s="1212"/>
      <c r="AX45" s="1212"/>
      <c r="AY45" s="1212"/>
      <c r="AZ45" s="1212"/>
      <c r="BA45" s="1212"/>
      <c r="BB45" s="1212"/>
      <c r="BC45" s="1212"/>
      <c r="BD45" s="1212"/>
      <c r="BE45" s="1212"/>
      <c r="BF45" s="1212"/>
      <c r="BG45" s="1212"/>
      <c r="BH45" s="1212"/>
      <c r="BI45" s="1212"/>
      <c r="BJ45" s="1212"/>
      <c r="BK45" s="1212"/>
      <c r="BL45" s="1212"/>
      <c r="BM45" s="1212"/>
      <c r="BN45" s="1212"/>
      <c r="BO45" s="1212"/>
      <c r="BP45" s="1212"/>
      <c r="BQ45" s="1213"/>
      <c r="BR45" s="1212"/>
      <c r="BS45" s="1212"/>
      <c r="BT45" s="1212"/>
      <c r="BU45" s="1212"/>
      <c r="BV45" s="1212"/>
      <c r="BW45" s="1212"/>
      <c r="BX45" s="1212"/>
      <c r="BY45" s="1212"/>
      <c r="BZ45" s="1212"/>
      <c r="CA45" s="1212"/>
      <c r="CB45" s="1212"/>
      <c r="CC45" s="1212"/>
      <c r="CD45" s="1212"/>
      <c r="CE45" s="1212"/>
      <c r="CF45" s="1212"/>
      <c r="CG45" s="1212"/>
    </row>
    <row r="46" spans="1:87" s="679" customFormat="1" ht="15">
      <c r="A46" s="1065"/>
      <c r="B46" s="437"/>
      <c r="C46" s="1170" t="s">
        <v>1023</v>
      </c>
      <c r="D46" s="1177" t="s">
        <v>211</v>
      </c>
      <c r="E46" s="1992" t="s">
        <v>1326</v>
      </c>
      <c r="F46" s="1728">
        <v>76580316</v>
      </c>
      <c r="G46" s="1188">
        <f>+F46</f>
        <v>76580316</v>
      </c>
      <c r="H46" s="1218"/>
      <c r="I46" s="1209"/>
      <c r="J46" s="1209"/>
      <c r="K46" s="1062"/>
      <c r="L46" s="1219"/>
      <c r="M46" s="1219"/>
      <c r="N46" s="1169"/>
      <c r="O46" s="1169"/>
      <c r="P46" s="1185"/>
      <c r="Q46" s="1212"/>
      <c r="R46" s="1212"/>
      <c r="S46" s="1212"/>
      <c r="T46" s="1212"/>
      <c r="U46" s="1212"/>
      <c r="V46" s="1212"/>
      <c r="W46" s="1212"/>
      <c r="X46" s="1212"/>
      <c r="Y46" s="1212"/>
      <c r="Z46" s="1212"/>
      <c r="AA46" s="1212"/>
      <c r="AB46" s="1212"/>
      <c r="AC46" s="1212"/>
      <c r="AD46" s="1212"/>
      <c r="AE46" s="1212"/>
      <c r="AF46" s="1212"/>
      <c r="AG46" s="1212"/>
      <c r="AH46" s="1212"/>
      <c r="AI46" s="1212"/>
      <c r="AJ46" s="1212"/>
      <c r="AK46" s="1212"/>
      <c r="AL46" s="1212"/>
      <c r="AM46" s="1212"/>
      <c r="AN46" s="1212"/>
      <c r="AO46" s="1212"/>
      <c r="AP46" s="1212"/>
      <c r="AQ46" s="1212"/>
      <c r="AR46" s="1212"/>
      <c r="AS46" s="1212"/>
      <c r="AT46" s="1212"/>
      <c r="AU46" s="1212"/>
      <c r="AV46" s="1212"/>
      <c r="AW46" s="1212"/>
      <c r="AX46" s="1212"/>
      <c r="AY46" s="1212"/>
      <c r="AZ46" s="1212"/>
      <c r="BA46" s="1212"/>
      <c r="BB46" s="1212"/>
      <c r="BC46" s="1212"/>
      <c r="BD46" s="1212"/>
      <c r="BE46" s="1212"/>
      <c r="BF46" s="1212"/>
      <c r="BG46" s="1212"/>
      <c r="BH46" s="1212"/>
      <c r="BI46" s="1212"/>
      <c r="BJ46" s="1212"/>
      <c r="BK46" s="1212"/>
      <c r="BL46" s="1212"/>
      <c r="BM46" s="1212"/>
      <c r="BN46" s="1212"/>
      <c r="BO46" s="1212"/>
      <c r="BP46" s="1212"/>
      <c r="BQ46" s="1213"/>
      <c r="BR46" s="1212"/>
      <c r="BS46" s="1212"/>
      <c r="BT46" s="1212"/>
      <c r="BU46" s="1212"/>
      <c r="BV46" s="1212"/>
      <c r="BW46" s="1212"/>
      <c r="BX46" s="1212"/>
      <c r="BY46" s="1212"/>
      <c r="BZ46" s="1212"/>
      <c r="CA46" s="1212"/>
      <c r="CB46" s="1212"/>
      <c r="CC46" s="1212"/>
      <c r="CD46" s="1212"/>
      <c r="CE46" s="1212"/>
      <c r="CF46" s="1212"/>
      <c r="CG46" s="1212"/>
    </row>
    <row r="47" spans="1:87" s="679" customFormat="1" ht="13.8" thickBot="1">
      <c r="A47" s="1065">
        <v>18</v>
      </c>
      <c r="B47" s="1169"/>
      <c r="C47" s="1171" t="s">
        <v>1041</v>
      </c>
      <c r="D47" s="437"/>
      <c r="E47" s="437"/>
      <c r="F47" s="1736">
        <f>AVERAGE(F45:F46)</f>
        <v>70605330.5</v>
      </c>
      <c r="G47" s="1187">
        <f>+G46</f>
        <v>76580316</v>
      </c>
      <c r="H47" s="1066"/>
      <c r="I47" s="1171"/>
      <c r="J47" s="1169"/>
      <c r="K47" s="1173"/>
      <c r="L47" s="1173"/>
      <c r="M47" s="1173"/>
      <c r="N47" s="1173"/>
      <c r="O47" s="1173"/>
      <c r="P47" s="1185"/>
      <c r="Q47" s="1212"/>
      <c r="R47" s="1212"/>
      <c r="S47" s="1212"/>
      <c r="T47" s="1212"/>
      <c r="U47" s="1212"/>
      <c r="V47" s="1212"/>
      <c r="W47" s="1212"/>
      <c r="X47" s="1212"/>
      <c r="Y47" s="1212"/>
      <c r="Z47" s="1212"/>
      <c r="AA47" s="1212"/>
      <c r="AB47" s="1212"/>
      <c r="AC47" s="1212"/>
      <c r="AD47" s="1212"/>
      <c r="AE47" s="1212"/>
      <c r="AF47" s="1212"/>
      <c r="AG47" s="1212"/>
      <c r="AH47" s="1212"/>
      <c r="AI47" s="1212"/>
      <c r="AJ47" s="1212"/>
      <c r="AK47" s="1212"/>
      <c r="AL47" s="1212"/>
      <c r="AM47" s="1212"/>
      <c r="AN47" s="1212"/>
      <c r="AO47" s="1212"/>
      <c r="AP47" s="1212"/>
      <c r="AQ47" s="1212"/>
      <c r="AR47" s="1212"/>
      <c r="AS47" s="1212"/>
      <c r="AT47" s="1212"/>
      <c r="AU47" s="1212"/>
      <c r="AV47" s="1212"/>
      <c r="AW47" s="1212"/>
      <c r="AX47" s="1212"/>
      <c r="AY47" s="1212"/>
      <c r="AZ47" s="1212"/>
      <c r="BA47" s="1212"/>
      <c r="BB47" s="1212"/>
      <c r="BC47" s="1212"/>
      <c r="BD47" s="1212"/>
      <c r="BE47" s="1212"/>
      <c r="BF47" s="1212"/>
      <c r="BG47" s="1212"/>
      <c r="BH47" s="1212"/>
      <c r="BI47" s="1212"/>
      <c r="BJ47" s="1212"/>
      <c r="BK47" s="1212"/>
      <c r="BL47" s="1212"/>
      <c r="BM47" s="1212"/>
      <c r="BN47" s="1212"/>
      <c r="BO47" s="1212"/>
      <c r="BP47" s="1212"/>
      <c r="BQ47" s="1213"/>
      <c r="BR47" s="1212"/>
      <c r="BS47" s="1212"/>
      <c r="BT47" s="1212"/>
      <c r="BU47" s="1212"/>
      <c r="BV47" s="1212"/>
      <c r="BW47" s="1212"/>
      <c r="BX47" s="1212"/>
      <c r="BY47" s="1212"/>
      <c r="BZ47" s="1212"/>
      <c r="CA47" s="1212"/>
      <c r="CB47" s="1212"/>
      <c r="CC47" s="1212"/>
      <c r="CD47" s="1212"/>
      <c r="CE47" s="1212"/>
      <c r="CF47" s="1212"/>
      <c r="CG47" s="1212"/>
    </row>
    <row r="48" spans="1:87" s="679" customFormat="1" ht="27" thickTop="1">
      <c r="A48" s="1065"/>
      <c r="B48" s="437"/>
      <c r="C48" s="437"/>
      <c r="D48" s="437"/>
      <c r="E48" s="1169"/>
      <c r="F48" s="1178" t="s">
        <v>231</v>
      </c>
      <c r="G48" s="1189" t="s">
        <v>231</v>
      </c>
      <c r="H48" s="1066"/>
      <c r="I48" s="1169"/>
      <c r="J48" s="1169"/>
      <c r="K48" s="1169"/>
      <c r="L48" s="1169"/>
      <c r="M48" s="1169"/>
      <c r="N48" s="1169"/>
      <c r="O48" s="1169"/>
      <c r="P48" s="1185"/>
      <c r="Q48" s="1212"/>
      <c r="R48" s="1212"/>
      <c r="S48" s="1212"/>
      <c r="T48" s="1212"/>
      <c r="U48" s="1212"/>
      <c r="V48" s="1212"/>
      <c r="W48" s="1212"/>
      <c r="X48" s="1212"/>
      <c r="Y48" s="1212"/>
      <c r="Z48" s="1212"/>
      <c r="AA48" s="1212"/>
      <c r="AB48" s="1212"/>
      <c r="AC48" s="1212"/>
      <c r="AD48" s="1212"/>
      <c r="AE48" s="1212"/>
      <c r="AF48" s="1212"/>
      <c r="AG48" s="1212"/>
      <c r="AH48" s="1212"/>
      <c r="AI48" s="1212"/>
      <c r="AJ48" s="1212"/>
      <c r="AK48" s="1212"/>
      <c r="AL48" s="1212"/>
      <c r="AM48" s="1212"/>
      <c r="AN48" s="1212"/>
      <c r="AO48" s="1212"/>
      <c r="AP48" s="1212"/>
      <c r="AQ48" s="1212"/>
      <c r="AR48" s="1212"/>
      <c r="AS48" s="1212"/>
      <c r="AT48" s="1212"/>
      <c r="AU48" s="1212"/>
      <c r="AV48" s="1212"/>
      <c r="AW48" s="1212"/>
      <c r="AX48" s="1212"/>
      <c r="AY48" s="1212"/>
      <c r="AZ48" s="1212"/>
      <c r="BA48" s="1212"/>
      <c r="BB48" s="1212"/>
      <c r="BC48" s="1212"/>
      <c r="BD48" s="1212"/>
      <c r="BE48" s="1212"/>
      <c r="BF48" s="1212"/>
      <c r="BG48" s="1212"/>
      <c r="BH48" s="1212"/>
      <c r="BI48" s="1212"/>
      <c r="BJ48" s="1212"/>
      <c r="BK48" s="1212"/>
      <c r="BL48" s="1212"/>
      <c r="BM48" s="1212"/>
      <c r="BN48" s="1212"/>
      <c r="BO48" s="1212"/>
      <c r="BP48" s="1212"/>
      <c r="BQ48" s="1213"/>
      <c r="BR48" s="1212"/>
      <c r="BS48" s="1212"/>
      <c r="BT48" s="1212"/>
      <c r="BU48" s="1212"/>
      <c r="BV48" s="1212"/>
      <c r="BW48" s="1212"/>
      <c r="BX48" s="1212"/>
      <c r="BY48" s="1212"/>
      <c r="BZ48" s="1212"/>
      <c r="CA48" s="1212"/>
      <c r="CB48" s="1212"/>
      <c r="CC48" s="1212"/>
      <c r="CD48" s="1212"/>
      <c r="CE48" s="1212"/>
      <c r="CF48" s="1212"/>
      <c r="CG48" s="1212"/>
    </row>
    <row r="49" spans="1:85" s="679" customFormat="1">
      <c r="A49" s="1065"/>
      <c r="B49" s="437"/>
      <c r="C49" s="1174" t="s">
        <v>1042</v>
      </c>
      <c r="D49" s="437" t="s">
        <v>1022</v>
      </c>
      <c r="E49" s="1169"/>
      <c r="F49" s="1169"/>
      <c r="G49" s="1065"/>
      <c r="H49" s="1066"/>
      <c r="I49" s="1169"/>
      <c r="J49" s="1169"/>
      <c r="K49" s="1173"/>
      <c r="L49" s="1173"/>
      <c r="M49" s="1173"/>
      <c r="N49" s="1173"/>
      <c r="O49" s="1173"/>
      <c r="P49" s="1185"/>
      <c r="Q49" s="1212"/>
      <c r="R49" s="1212"/>
      <c r="S49" s="1212"/>
      <c r="T49" s="1212"/>
      <c r="U49" s="1212"/>
      <c r="V49" s="1212"/>
      <c r="W49" s="1212"/>
      <c r="X49" s="1212"/>
      <c r="Y49" s="1212"/>
      <c r="Z49" s="1212"/>
      <c r="AA49" s="1212"/>
      <c r="AB49" s="1212"/>
      <c r="AC49" s="1212"/>
      <c r="AD49" s="1212"/>
      <c r="AE49" s="1212"/>
      <c r="AF49" s="1212"/>
      <c r="AG49" s="1212"/>
      <c r="AH49" s="1212"/>
      <c r="AI49" s="1212"/>
      <c r="AJ49" s="1212"/>
      <c r="AK49" s="1212"/>
      <c r="AL49" s="1212"/>
      <c r="AM49" s="1212"/>
      <c r="AN49" s="1212"/>
      <c r="AO49" s="1212"/>
      <c r="AP49" s="1212"/>
      <c r="AQ49" s="1212"/>
      <c r="AR49" s="1212"/>
      <c r="AS49" s="1212"/>
      <c r="AT49" s="1212"/>
      <c r="AU49" s="1212"/>
      <c r="AV49" s="1212"/>
      <c r="AW49" s="1212"/>
      <c r="AX49" s="1212"/>
      <c r="AY49" s="1212"/>
      <c r="AZ49" s="1212"/>
      <c r="BA49" s="1212"/>
      <c r="BB49" s="1212"/>
      <c r="BC49" s="1212"/>
      <c r="BD49" s="1212"/>
      <c r="BE49" s="1212"/>
      <c r="BF49" s="1212"/>
      <c r="BG49" s="1212"/>
      <c r="BH49" s="1212"/>
      <c r="BI49" s="1212"/>
      <c r="BJ49" s="1212"/>
      <c r="BK49" s="1212"/>
      <c r="BL49" s="1212"/>
      <c r="BM49" s="1212"/>
      <c r="BN49" s="1212"/>
      <c r="BO49" s="1212"/>
      <c r="BP49" s="1212"/>
      <c r="BQ49" s="1213"/>
      <c r="BR49" s="1212"/>
      <c r="BS49" s="1212"/>
      <c r="BT49" s="1212"/>
      <c r="BU49" s="1212"/>
      <c r="BV49" s="1212"/>
      <c r="BW49" s="1212"/>
      <c r="BX49" s="1212"/>
      <c r="BY49" s="1212"/>
      <c r="BZ49" s="1212"/>
      <c r="CA49" s="1212"/>
      <c r="CB49" s="1212"/>
      <c r="CC49" s="1212"/>
      <c r="CD49" s="1212"/>
      <c r="CE49" s="1212"/>
      <c r="CF49" s="1212"/>
      <c r="CG49" s="1212"/>
    </row>
    <row r="50" spans="1:85" s="679" customFormat="1" ht="15">
      <c r="A50" s="1065"/>
      <c r="B50" s="437"/>
      <c r="C50" s="1169" t="s">
        <v>1023</v>
      </c>
      <c r="D50" s="1176" t="s">
        <v>212</v>
      </c>
      <c r="E50" s="1991" t="s">
        <v>1278</v>
      </c>
      <c r="F50" s="545">
        <v>0</v>
      </c>
      <c r="G50" s="1065"/>
      <c r="H50" s="1066"/>
      <c r="I50" s="1169"/>
      <c r="J50" s="1169"/>
      <c r="K50" s="1173"/>
      <c r="L50" s="1173"/>
      <c r="M50" s="1173"/>
      <c r="N50" s="1173"/>
      <c r="O50" s="1173"/>
      <c r="P50" s="1185"/>
      <c r="Q50" s="1212"/>
      <c r="R50" s="1212"/>
      <c r="S50" s="1212"/>
      <c r="T50" s="1212"/>
      <c r="U50" s="1212"/>
      <c r="V50" s="1212"/>
      <c r="W50" s="1212"/>
      <c r="X50" s="1212"/>
      <c r="Y50" s="1212"/>
      <c r="Z50" s="1212"/>
      <c r="AA50" s="1212"/>
      <c r="AB50" s="1212"/>
      <c r="AC50" s="1212"/>
      <c r="AD50" s="1212"/>
      <c r="AE50" s="1212"/>
      <c r="AF50" s="1212"/>
      <c r="AG50" s="1212"/>
      <c r="AH50" s="1212"/>
      <c r="AI50" s="1212"/>
      <c r="AJ50" s="1212"/>
      <c r="AK50" s="1212"/>
      <c r="AL50" s="1212"/>
      <c r="AM50" s="1212"/>
      <c r="AN50" s="1212"/>
      <c r="AO50" s="1212"/>
      <c r="AP50" s="1212"/>
      <c r="AQ50" s="1212"/>
      <c r="AR50" s="1212"/>
      <c r="AS50" s="1212"/>
      <c r="AT50" s="1212"/>
      <c r="AU50" s="1212"/>
      <c r="AV50" s="1212"/>
      <c r="AW50" s="1212"/>
      <c r="AX50" s="1212"/>
      <c r="AY50" s="1212"/>
      <c r="AZ50" s="1212"/>
      <c r="BA50" s="1212"/>
      <c r="BB50" s="1212"/>
      <c r="BC50" s="1212"/>
      <c r="BD50" s="1212"/>
      <c r="BE50" s="1212"/>
      <c r="BF50" s="1212"/>
      <c r="BG50" s="1212"/>
      <c r="BH50" s="1212"/>
      <c r="BI50" s="1212"/>
      <c r="BJ50" s="1212"/>
      <c r="BK50" s="1212"/>
      <c r="BL50" s="1212"/>
      <c r="BM50" s="1212"/>
      <c r="BN50" s="1212"/>
      <c r="BO50" s="1212"/>
      <c r="BP50" s="1212"/>
      <c r="BQ50" s="1213"/>
      <c r="BR50" s="1212"/>
      <c r="BS50" s="1212"/>
      <c r="BT50" s="1212"/>
      <c r="BU50" s="1212"/>
      <c r="BV50" s="1212"/>
      <c r="BW50" s="1212"/>
      <c r="BX50" s="1212"/>
      <c r="BY50" s="1212"/>
      <c r="BZ50" s="1212"/>
      <c r="CA50" s="1212"/>
      <c r="CB50" s="1212"/>
      <c r="CC50" s="1212"/>
      <c r="CD50" s="1212"/>
      <c r="CE50" s="1212"/>
      <c r="CF50" s="1212"/>
      <c r="CG50" s="1212"/>
    </row>
    <row r="51" spans="1:85" s="679" customFormat="1">
      <c r="A51" s="1065"/>
      <c r="B51" s="437"/>
      <c r="C51" s="437" t="s">
        <v>1024</v>
      </c>
      <c r="D51" s="437" t="s">
        <v>1025</v>
      </c>
      <c r="E51" s="1991" t="s">
        <v>1326</v>
      </c>
      <c r="F51" s="545">
        <v>0</v>
      </c>
      <c r="G51" s="1065"/>
      <c r="H51" s="1066"/>
      <c r="I51" s="1169"/>
      <c r="J51" s="1169"/>
      <c r="K51" s="1173"/>
      <c r="L51" s="1173"/>
      <c r="M51" s="1173"/>
      <c r="N51" s="1173"/>
      <c r="O51" s="1173"/>
      <c r="P51" s="1185"/>
      <c r="Q51" s="1212"/>
      <c r="R51" s="1212"/>
      <c r="S51" s="1212"/>
      <c r="T51" s="1212"/>
      <c r="U51" s="1212"/>
      <c r="V51" s="1212"/>
      <c r="W51" s="1212"/>
      <c r="X51" s="1212"/>
      <c r="Y51" s="1212"/>
      <c r="Z51" s="1212"/>
      <c r="AA51" s="1212"/>
      <c r="AB51" s="1212"/>
      <c r="AC51" s="1212"/>
      <c r="AD51" s="1212"/>
      <c r="AE51" s="1212"/>
      <c r="AF51" s="1212"/>
      <c r="AG51" s="1212"/>
      <c r="AH51" s="1212"/>
      <c r="AI51" s="1212"/>
      <c r="AJ51" s="1212"/>
      <c r="AK51" s="1212"/>
      <c r="AL51" s="1212"/>
      <c r="AM51" s="1212"/>
      <c r="AN51" s="1212"/>
      <c r="AO51" s="1212"/>
      <c r="AP51" s="1212"/>
      <c r="AQ51" s="1212"/>
      <c r="AR51" s="1212"/>
      <c r="AS51" s="1212"/>
      <c r="AT51" s="1212"/>
      <c r="AU51" s="1212"/>
      <c r="AV51" s="1212"/>
      <c r="AW51" s="1212"/>
      <c r="AX51" s="1212"/>
      <c r="AY51" s="1212"/>
      <c r="AZ51" s="1212"/>
      <c r="BA51" s="1212"/>
      <c r="BB51" s="1212"/>
      <c r="BC51" s="1212"/>
      <c r="BD51" s="1212"/>
      <c r="BE51" s="1212"/>
      <c r="BF51" s="1212"/>
      <c r="BG51" s="1212"/>
      <c r="BH51" s="1212"/>
      <c r="BI51" s="1212"/>
      <c r="BJ51" s="1212"/>
      <c r="BK51" s="1212"/>
      <c r="BL51" s="1212"/>
      <c r="BM51" s="1212"/>
      <c r="BN51" s="1212"/>
      <c r="BO51" s="1212"/>
      <c r="BP51" s="1212"/>
      <c r="BQ51" s="1213"/>
      <c r="BR51" s="1212"/>
      <c r="BS51" s="1212"/>
      <c r="BT51" s="1212"/>
      <c r="BU51" s="1212"/>
      <c r="BV51" s="1212"/>
      <c r="BW51" s="1212"/>
      <c r="BX51" s="1212"/>
      <c r="BY51" s="1212"/>
      <c r="BZ51" s="1212"/>
      <c r="CA51" s="1212"/>
      <c r="CB51" s="1212"/>
      <c r="CC51" s="1212"/>
      <c r="CD51" s="1212"/>
      <c r="CE51" s="1212"/>
      <c r="CF51" s="1212"/>
      <c r="CG51" s="1212"/>
    </row>
    <row r="52" spans="1:85" s="679" customFormat="1">
      <c r="A52" s="1065"/>
      <c r="B52" s="437"/>
      <c r="C52" s="437" t="s">
        <v>1026</v>
      </c>
      <c r="D52" s="437" t="s">
        <v>1025</v>
      </c>
      <c r="E52" s="437" t="s">
        <v>1326</v>
      </c>
      <c r="F52" s="545">
        <v>0</v>
      </c>
      <c r="G52" s="1065"/>
      <c r="H52" s="1066"/>
      <c r="I52" s="1169"/>
      <c r="J52" s="1169"/>
      <c r="K52" s="1173"/>
      <c r="L52" s="1173"/>
      <c r="M52" s="1173"/>
      <c r="N52" s="1173"/>
      <c r="O52" s="1173"/>
      <c r="P52" s="1185"/>
      <c r="Q52" s="1212"/>
      <c r="R52" s="1212"/>
      <c r="S52" s="1212"/>
      <c r="T52" s="1212"/>
      <c r="U52" s="1212"/>
      <c r="V52" s="1212"/>
      <c r="W52" s="1212"/>
      <c r="X52" s="1212"/>
      <c r="Y52" s="1212"/>
      <c r="Z52" s="1212"/>
      <c r="AA52" s="1212"/>
      <c r="AB52" s="1212"/>
      <c r="AC52" s="1212"/>
      <c r="AD52" s="1212"/>
      <c r="AE52" s="1212"/>
      <c r="AF52" s="1212"/>
      <c r="AG52" s="1212"/>
      <c r="AH52" s="1212"/>
      <c r="AI52" s="1212"/>
      <c r="AJ52" s="1212"/>
      <c r="AK52" s="1212"/>
      <c r="AL52" s="1212"/>
      <c r="AM52" s="1212"/>
      <c r="AN52" s="1212"/>
      <c r="AO52" s="1212"/>
      <c r="AP52" s="1212"/>
      <c r="AQ52" s="1212"/>
      <c r="AR52" s="1212"/>
      <c r="AS52" s="1212"/>
      <c r="AT52" s="1212"/>
      <c r="AU52" s="1212"/>
      <c r="AV52" s="1212"/>
      <c r="AW52" s="1212"/>
      <c r="AX52" s="1212"/>
      <c r="AY52" s="1212"/>
      <c r="AZ52" s="1212"/>
      <c r="BA52" s="1212"/>
      <c r="BB52" s="1212"/>
      <c r="BC52" s="1212"/>
      <c r="BD52" s="1212"/>
      <c r="BE52" s="1212"/>
      <c r="BF52" s="1212"/>
      <c r="BG52" s="1212"/>
      <c r="BH52" s="1212"/>
      <c r="BI52" s="1212"/>
      <c r="BJ52" s="1212"/>
      <c r="BK52" s="1212"/>
      <c r="BL52" s="1212"/>
      <c r="BM52" s="1212"/>
      <c r="BN52" s="1212"/>
      <c r="BO52" s="1212"/>
      <c r="BP52" s="1212"/>
      <c r="BQ52" s="1213"/>
      <c r="BR52" s="1212"/>
      <c r="BS52" s="1212"/>
      <c r="BT52" s="1212"/>
      <c r="BU52" s="1212"/>
      <c r="BV52" s="1212"/>
      <c r="BW52" s="1212"/>
      <c r="BX52" s="1212"/>
      <c r="BY52" s="1212"/>
      <c r="BZ52" s="1212"/>
      <c r="CA52" s="1212"/>
      <c r="CB52" s="1212"/>
      <c r="CC52" s="1212"/>
      <c r="CD52" s="1212"/>
      <c r="CE52" s="1212"/>
      <c r="CF52" s="1212"/>
      <c r="CG52" s="1212"/>
    </row>
    <row r="53" spans="1:85" s="679" customFormat="1">
      <c r="A53" s="1065"/>
      <c r="B53" s="437"/>
      <c r="C53" s="437" t="s">
        <v>426</v>
      </c>
      <c r="D53" s="437" t="s">
        <v>1025</v>
      </c>
      <c r="E53" s="437" t="s">
        <v>1326</v>
      </c>
      <c r="F53" s="545">
        <v>0</v>
      </c>
      <c r="G53" s="1065"/>
      <c r="H53" s="1066"/>
      <c r="I53" s="1169"/>
      <c r="J53" s="1169"/>
      <c r="K53" s="1173"/>
      <c r="L53" s="1173"/>
      <c r="M53" s="1173"/>
      <c r="N53" s="1173"/>
      <c r="O53" s="1173"/>
      <c r="P53" s="1185"/>
      <c r="Q53" s="1212"/>
      <c r="R53" s="1212"/>
      <c r="S53" s="1212"/>
      <c r="T53" s="1212"/>
      <c r="U53" s="1212"/>
      <c r="V53" s="1212"/>
      <c r="W53" s="1212"/>
      <c r="X53" s="1212"/>
      <c r="Y53" s="1212"/>
      <c r="Z53" s="1212"/>
      <c r="AA53" s="1212"/>
      <c r="AB53" s="1212"/>
      <c r="AC53" s="1212"/>
      <c r="AD53" s="1212"/>
      <c r="AE53" s="1212"/>
      <c r="AF53" s="1212"/>
      <c r="AG53" s="1212"/>
      <c r="AH53" s="1212"/>
      <c r="AI53" s="1212"/>
      <c r="AJ53" s="1212"/>
      <c r="AK53" s="1212"/>
      <c r="AL53" s="1212"/>
      <c r="AM53" s="1212"/>
      <c r="AN53" s="1212"/>
      <c r="AO53" s="1212"/>
      <c r="AP53" s="1212"/>
      <c r="AQ53" s="1212"/>
      <c r="AR53" s="1212"/>
      <c r="AS53" s="1212"/>
      <c r="AT53" s="1212"/>
      <c r="AU53" s="1212"/>
      <c r="AV53" s="1212"/>
      <c r="AW53" s="1212"/>
      <c r="AX53" s="1212"/>
      <c r="AY53" s="1212"/>
      <c r="AZ53" s="1212"/>
      <c r="BA53" s="1212"/>
      <c r="BB53" s="1212"/>
      <c r="BC53" s="1212"/>
      <c r="BD53" s="1212"/>
      <c r="BE53" s="1212"/>
      <c r="BF53" s="1212"/>
      <c r="BG53" s="1212"/>
      <c r="BH53" s="1212"/>
      <c r="BI53" s="1212"/>
      <c r="BJ53" s="1212"/>
      <c r="BK53" s="1212"/>
      <c r="BL53" s="1212"/>
      <c r="BM53" s="1212"/>
      <c r="BN53" s="1212"/>
      <c r="BO53" s="1212"/>
      <c r="BP53" s="1212"/>
      <c r="BQ53" s="1213"/>
      <c r="BR53" s="1212"/>
      <c r="BS53" s="1212"/>
      <c r="BT53" s="1212"/>
      <c r="BU53" s="1212"/>
      <c r="BV53" s="1212"/>
      <c r="BW53" s="1212"/>
      <c r="BX53" s="1212"/>
      <c r="BY53" s="1212"/>
      <c r="BZ53" s="1212"/>
      <c r="CA53" s="1212"/>
      <c r="CB53" s="1212"/>
      <c r="CC53" s="1212"/>
      <c r="CD53" s="1212"/>
      <c r="CE53" s="1212"/>
      <c r="CF53" s="1212"/>
      <c r="CG53" s="1212"/>
    </row>
    <row r="54" spans="1:85" s="679" customFormat="1">
      <c r="A54" s="1065"/>
      <c r="B54" s="437"/>
      <c r="C54" s="437" t="s">
        <v>295</v>
      </c>
      <c r="D54" s="437" t="s">
        <v>1025</v>
      </c>
      <c r="E54" s="437" t="s">
        <v>1326</v>
      </c>
      <c r="F54" s="545">
        <v>0</v>
      </c>
      <c r="G54" s="1065"/>
      <c r="H54" s="1066"/>
      <c r="I54" s="1169"/>
      <c r="J54" s="1169"/>
      <c r="K54" s="1173"/>
      <c r="L54" s="1173"/>
      <c r="M54" s="1173"/>
      <c r="N54" s="1173"/>
      <c r="O54" s="1173"/>
      <c r="P54" s="1185"/>
      <c r="Q54" s="1212"/>
      <c r="R54" s="1212"/>
      <c r="S54" s="1212"/>
      <c r="T54" s="1212"/>
      <c r="U54" s="1212"/>
      <c r="V54" s="1212"/>
      <c r="W54" s="1212"/>
      <c r="X54" s="1212"/>
      <c r="Y54" s="1212"/>
      <c r="Z54" s="1212"/>
      <c r="AA54" s="1212"/>
      <c r="AB54" s="1212"/>
      <c r="AC54" s="1212"/>
      <c r="AD54" s="1212"/>
      <c r="AE54" s="1212"/>
      <c r="AF54" s="1212"/>
      <c r="AG54" s="1212"/>
      <c r="AH54" s="1212"/>
      <c r="AI54" s="1212"/>
      <c r="AJ54" s="1212"/>
      <c r="AK54" s="1212"/>
      <c r="AL54" s="1212"/>
      <c r="AM54" s="1212"/>
      <c r="AN54" s="1212"/>
      <c r="AO54" s="1212"/>
      <c r="AP54" s="1212"/>
      <c r="AQ54" s="1212"/>
      <c r="AR54" s="1212"/>
      <c r="AS54" s="1212"/>
      <c r="AT54" s="1212"/>
      <c r="AU54" s="1212"/>
      <c r="AV54" s="1212"/>
      <c r="AW54" s="1212"/>
      <c r="AX54" s="1212"/>
      <c r="AY54" s="1212"/>
      <c r="AZ54" s="1212"/>
      <c r="BA54" s="1212"/>
      <c r="BB54" s="1212"/>
      <c r="BC54" s="1212"/>
      <c r="BD54" s="1212"/>
      <c r="BE54" s="1212"/>
      <c r="BF54" s="1212"/>
      <c r="BG54" s="1212"/>
      <c r="BH54" s="1212"/>
      <c r="BI54" s="1212"/>
      <c r="BJ54" s="1212"/>
      <c r="BK54" s="1212"/>
      <c r="BL54" s="1212"/>
      <c r="BM54" s="1212"/>
      <c r="BN54" s="1212"/>
      <c r="BO54" s="1212"/>
      <c r="BP54" s="1212"/>
      <c r="BQ54" s="1213"/>
      <c r="BR54" s="1212"/>
      <c r="BS54" s="1212"/>
      <c r="BT54" s="1212"/>
      <c r="BU54" s="1212"/>
      <c r="BV54" s="1212"/>
      <c r="BW54" s="1212"/>
      <c r="BX54" s="1212"/>
      <c r="BY54" s="1212"/>
      <c r="BZ54" s="1212"/>
      <c r="CA54" s="1212"/>
      <c r="CB54" s="1212"/>
      <c r="CC54" s="1212"/>
      <c r="CD54" s="1212"/>
      <c r="CE54" s="1212"/>
      <c r="CF54" s="1212"/>
      <c r="CG54" s="1212"/>
    </row>
    <row r="55" spans="1:85" s="679" customFormat="1">
      <c r="A55" s="1065"/>
      <c r="B55" s="437"/>
      <c r="C55" s="437" t="s">
        <v>296</v>
      </c>
      <c r="D55" s="437" t="s">
        <v>1025</v>
      </c>
      <c r="E55" s="437" t="s">
        <v>1326</v>
      </c>
      <c r="F55" s="545">
        <v>0</v>
      </c>
      <c r="G55" s="1065"/>
      <c r="H55" s="1066"/>
      <c r="I55" s="1169"/>
      <c r="J55" s="1169"/>
      <c r="K55" s="1173"/>
      <c r="L55" s="1173"/>
      <c r="M55" s="1173"/>
      <c r="N55" s="1173"/>
      <c r="O55" s="1173"/>
      <c r="P55" s="1185"/>
      <c r="Q55" s="1212"/>
      <c r="R55" s="1212"/>
      <c r="S55" s="1212"/>
      <c r="T55" s="1212"/>
      <c r="U55" s="1212"/>
      <c r="V55" s="1212"/>
      <c r="W55" s="1212"/>
      <c r="X55" s="1212"/>
      <c r="Y55" s="1212"/>
      <c r="Z55" s="1212"/>
      <c r="AA55" s="1212"/>
      <c r="AB55" s="1212"/>
      <c r="AC55" s="1212"/>
      <c r="AD55" s="1212"/>
      <c r="AE55" s="1212"/>
      <c r="AF55" s="1212"/>
      <c r="AG55" s="1212"/>
      <c r="AH55" s="1212"/>
      <c r="AI55" s="1212"/>
      <c r="AJ55" s="1212"/>
      <c r="AK55" s="1212"/>
      <c r="AL55" s="1212"/>
      <c r="AM55" s="1212"/>
      <c r="AN55" s="1212"/>
      <c r="AO55" s="1212"/>
      <c r="AP55" s="1212"/>
      <c r="AQ55" s="1212"/>
      <c r="AR55" s="1212"/>
      <c r="AS55" s="1212"/>
      <c r="AT55" s="1212"/>
      <c r="AU55" s="1212"/>
      <c r="AV55" s="1212"/>
      <c r="AW55" s="1212"/>
      <c r="AX55" s="1212"/>
      <c r="AY55" s="1212"/>
      <c r="AZ55" s="1212"/>
      <c r="BA55" s="1212"/>
      <c r="BB55" s="1212"/>
      <c r="BC55" s="1212"/>
      <c r="BD55" s="1212"/>
      <c r="BE55" s="1212"/>
      <c r="BF55" s="1212"/>
      <c r="BG55" s="1212"/>
      <c r="BH55" s="1212"/>
      <c r="BI55" s="1212"/>
      <c r="BJ55" s="1212"/>
      <c r="BK55" s="1212"/>
      <c r="BL55" s="1212"/>
      <c r="BM55" s="1212"/>
      <c r="BN55" s="1212"/>
      <c r="BO55" s="1212"/>
      <c r="BP55" s="1212"/>
      <c r="BQ55" s="1213"/>
      <c r="BR55" s="1212"/>
      <c r="BS55" s="1212"/>
      <c r="BT55" s="1212"/>
      <c r="BU55" s="1212"/>
      <c r="BV55" s="1212"/>
      <c r="BW55" s="1212"/>
      <c r="BX55" s="1212"/>
      <c r="BY55" s="1212"/>
      <c r="BZ55" s="1212"/>
      <c r="CA55" s="1212"/>
      <c r="CB55" s="1212"/>
      <c r="CC55" s="1212"/>
      <c r="CD55" s="1212"/>
      <c r="CE55" s="1212"/>
      <c r="CF55" s="1212"/>
      <c r="CG55" s="1212"/>
    </row>
    <row r="56" spans="1:85" s="679" customFormat="1">
      <c r="A56" s="1065"/>
      <c r="B56" s="437"/>
      <c r="C56" s="437" t="s">
        <v>1027</v>
      </c>
      <c r="D56" s="437" t="s">
        <v>1025</v>
      </c>
      <c r="E56" s="437" t="s">
        <v>1326</v>
      </c>
      <c r="F56" s="545">
        <v>0</v>
      </c>
      <c r="G56" s="1065"/>
      <c r="H56" s="1066"/>
      <c r="I56" s="1169"/>
      <c r="J56" s="1169"/>
      <c r="K56" s="1173"/>
      <c r="L56" s="1173"/>
      <c r="M56" s="1173"/>
      <c r="N56" s="1173"/>
      <c r="O56" s="1173"/>
      <c r="P56" s="1185"/>
      <c r="Q56" s="1212"/>
      <c r="R56" s="1212"/>
      <c r="S56" s="1212"/>
      <c r="T56" s="1212"/>
      <c r="U56" s="1212"/>
      <c r="V56" s="1212"/>
      <c r="W56" s="1212"/>
      <c r="X56" s="1212"/>
      <c r="Y56" s="1212"/>
      <c r="Z56" s="1212"/>
      <c r="AA56" s="1212"/>
      <c r="AB56" s="1212"/>
      <c r="AC56" s="1212"/>
      <c r="AD56" s="1212"/>
      <c r="AE56" s="1212"/>
      <c r="AF56" s="1212"/>
      <c r="AG56" s="1212"/>
      <c r="AH56" s="1212"/>
      <c r="AI56" s="1212"/>
      <c r="AJ56" s="1212"/>
      <c r="AK56" s="1212"/>
      <c r="AL56" s="1212"/>
      <c r="AM56" s="1212"/>
      <c r="AN56" s="1212"/>
      <c r="AO56" s="1212"/>
      <c r="AP56" s="1212"/>
      <c r="AQ56" s="1212"/>
      <c r="AR56" s="1212"/>
      <c r="AS56" s="1212"/>
      <c r="AT56" s="1212"/>
      <c r="AU56" s="1212"/>
      <c r="AV56" s="1212"/>
      <c r="AW56" s="1212"/>
      <c r="AX56" s="1212"/>
      <c r="AY56" s="1212"/>
      <c r="AZ56" s="1212"/>
      <c r="BA56" s="1212"/>
      <c r="BB56" s="1212"/>
      <c r="BC56" s="1212"/>
      <c r="BD56" s="1212"/>
      <c r="BE56" s="1212"/>
      <c r="BF56" s="1212"/>
      <c r="BG56" s="1212"/>
      <c r="BH56" s="1212"/>
      <c r="BI56" s="1212"/>
      <c r="BJ56" s="1212"/>
      <c r="BK56" s="1212"/>
      <c r="BL56" s="1212"/>
      <c r="BM56" s="1212"/>
      <c r="BN56" s="1212"/>
      <c r="BO56" s="1212"/>
      <c r="BP56" s="1212"/>
      <c r="BQ56" s="1213"/>
      <c r="BR56" s="1212"/>
      <c r="BS56" s="1212"/>
      <c r="BT56" s="1212"/>
      <c r="BU56" s="1212"/>
      <c r="BV56" s="1212"/>
      <c r="BW56" s="1212"/>
      <c r="BX56" s="1212"/>
      <c r="BY56" s="1212"/>
      <c r="BZ56" s="1212"/>
      <c r="CA56" s="1212"/>
      <c r="CB56" s="1212"/>
      <c r="CC56" s="1212"/>
      <c r="CD56" s="1212"/>
      <c r="CE56" s="1212"/>
      <c r="CF56" s="1212"/>
      <c r="CG56" s="1212"/>
    </row>
    <row r="57" spans="1:85" s="679" customFormat="1">
      <c r="A57" s="1065"/>
      <c r="B57" s="437"/>
      <c r="C57" s="437" t="s">
        <v>1028</v>
      </c>
      <c r="D57" s="437" t="s">
        <v>1025</v>
      </c>
      <c r="E57" s="437" t="s">
        <v>1326</v>
      </c>
      <c r="F57" s="545">
        <v>0</v>
      </c>
      <c r="G57" s="1065"/>
      <c r="H57" s="1218"/>
      <c r="I57" s="1169"/>
      <c r="J57" s="1169"/>
      <c r="K57" s="1173"/>
      <c r="L57" s="1173"/>
      <c r="M57" s="1173"/>
      <c r="N57" s="1173"/>
      <c r="O57" s="1173"/>
      <c r="P57" s="1185"/>
      <c r="Q57" s="1212"/>
      <c r="R57" s="1212"/>
      <c r="S57" s="1212"/>
      <c r="T57" s="1212"/>
      <c r="U57" s="1212"/>
      <c r="V57" s="1212"/>
      <c r="W57" s="1212"/>
      <c r="X57" s="1212"/>
      <c r="Y57" s="1212"/>
      <c r="Z57" s="1212"/>
      <c r="AA57" s="1212"/>
      <c r="AB57" s="1212"/>
      <c r="AC57" s="1212"/>
      <c r="AD57" s="1212"/>
      <c r="AE57" s="1212"/>
      <c r="AF57" s="1212"/>
      <c r="AG57" s="1212"/>
      <c r="AH57" s="1212"/>
      <c r="AI57" s="1212"/>
      <c r="AJ57" s="1212"/>
      <c r="AK57" s="1212"/>
      <c r="AL57" s="1212"/>
      <c r="AM57" s="1212"/>
      <c r="AN57" s="1212"/>
      <c r="AO57" s="1212"/>
      <c r="AP57" s="1212"/>
      <c r="AQ57" s="1212"/>
      <c r="AR57" s="1212"/>
      <c r="AS57" s="1212"/>
      <c r="AT57" s="1212"/>
      <c r="AU57" s="1212"/>
      <c r="AV57" s="1212"/>
      <c r="AW57" s="1212"/>
      <c r="AX57" s="1212"/>
      <c r="AY57" s="1212"/>
      <c r="AZ57" s="1212"/>
      <c r="BA57" s="1212"/>
      <c r="BB57" s="1212"/>
      <c r="BC57" s="1212"/>
      <c r="BD57" s="1212"/>
      <c r="BE57" s="1212"/>
      <c r="BF57" s="1212"/>
      <c r="BG57" s="1212"/>
      <c r="BH57" s="1212"/>
      <c r="BI57" s="1212"/>
      <c r="BJ57" s="1212"/>
      <c r="BK57" s="1212"/>
      <c r="BL57" s="1212"/>
      <c r="BM57" s="1212"/>
      <c r="BN57" s="1212"/>
      <c r="BO57" s="1212"/>
      <c r="BP57" s="1212"/>
      <c r="BQ57" s="1213"/>
      <c r="BR57" s="1212"/>
      <c r="BS57" s="1212"/>
      <c r="BT57" s="1212"/>
      <c r="BU57" s="1212"/>
      <c r="BV57" s="1212"/>
      <c r="BW57" s="1212"/>
      <c r="BX57" s="1212"/>
      <c r="BY57" s="1212"/>
      <c r="BZ57" s="1212"/>
      <c r="CA57" s="1212"/>
      <c r="CB57" s="1212"/>
      <c r="CC57" s="1212"/>
      <c r="CD57" s="1212"/>
      <c r="CE57" s="1212"/>
      <c r="CF57" s="1212"/>
      <c r="CG57" s="1212"/>
    </row>
    <row r="58" spans="1:85" s="679" customFormat="1">
      <c r="A58" s="1065"/>
      <c r="B58" s="437"/>
      <c r="C58" s="437" t="s">
        <v>1029</v>
      </c>
      <c r="D58" s="437" t="s">
        <v>1025</v>
      </c>
      <c r="E58" s="437" t="s">
        <v>1326</v>
      </c>
      <c r="F58" s="545">
        <v>0</v>
      </c>
      <c r="G58" s="1065"/>
      <c r="H58" s="1066"/>
      <c r="I58" s="1169"/>
      <c r="J58" s="1169"/>
      <c r="K58" s="1173"/>
      <c r="L58" s="1173"/>
      <c r="M58" s="1173"/>
      <c r="N58" s="1173"/>
      <c r="O58" s="1173"/>
      <c r="P58" s="1185"/>
      <c r="Q58" s="1212"/>
      <c r="R58" s="1212"/>
      <c r="S58" s="1212"/>
      <c r="T58" s="1212"/>
      <c r="U58" s="1212"/>
      <c r="V58" s="1212"/>
      <c r="W58" s="1212"/>
      <c r="X58" s="1212"/>
      <c r="Y58" s="1212"/>
      <c r="Z58" s="1212"/>
      <c r="AA58" s="1212"/>
      <c r="AB58" s="1212"/>
      <c r="AC58" s="1212"/>
      <c r="AD58" s="1212"/>
      <c r="AE58" s="1212"/>
      <c r="AF58" s="1212"/>
      <c r="AG58" s="1212"/>
      <c r="AH58" s="1212"/>
      <c r="AI58" s="1212"/>
      <c r="AJ58" s="1212"/>
      <c r="AK58" s="1212"/>
      <c r="AL58" s="1212"/>
      <c r="AM58" s="1212"/>
      <c r="AN58" s="1212"/>
      <c r="AO58" s="1212"/>
      <c r="AP58" s="1212"/>
      <c r="AQ58" s="1212"/>
      <c r="AR58" s="1212"/>
      <c r="AS58" s="1212"/>
      <c r="AT58" s="1212"/>
      <c r="AU58" s="1212"/>
      <c r="AV58" s="1212"/>
      <c r="AW58" s="1212"/>
      <c r="AX58" s="1212"/>
      <c r="AY58" s="1212"/>
      <c r="AZ58" s="1212"/>
      <c r="BA58" s="1212"/>
      <c r="BB58" s="1212"/>
      <c r="BC58" s="1212"/>
      <c r="BD58" s="1212"/>
      <c r="BE58" s="1212"/>
      <c r="BF58" s="1212"/>
      <c r="BG58" s="1212"/>
      <c r="BH58" s="1212"/>
      <c r="BI58" s="1212"/>
      <c r="BJ58" s="1212"/>
      <c r="BK58" s="1212"/>
      <c r="BL58" s="1212"/>
      <c r="BM58" s="1212"/>
      <c r="BN58" s="1212"/>
      <c r="BO58" s="1212"/>
      <c r="BP58" s="1212"/>
      <c r="BQ58" s="1213"/>
      <c r="BR58" s="1212"/>
      <c r="BS58" s="1212"/>
      <c r="BT58" s="1212"/>
      <c r="BU58" s="1212"/>
      <c r="BV58" s="1212"/>
      <c r="BW58" s="1212"/>
      <c r="BX58" s="1212"/>
      <c r="BY58" s="1212"/>
      <c r="BZ58" s="1212"/>
      <c r="CA58" s="1212"/>
      <c r="CB58" s="1212"/>
      <c r="CC58" s="1212"/>
      <c r="CD58" s="1212"/>
      <c r="CE58" s="1212"/>
      <c r="CF58" s="1212"/>
      <c r="CG58" s="1212"/>
    </row>
    <row r="59" spans="1:85" s="679" customFormat="1">
      <c r="A59" s="1065"/>
      <c r="B59" s="437"/>
      <c r="C59" s="437" t="s">
        <v>1030</v>
      </c>
      <c r="D59" s="437" t="s">
        <v>1025</v>
      </c>
      <c r="E59" s="437" t="s">
        <v>1326</v>
      </c>
      <c r="F59" s="545">
        <v>0</v>
      </c>
      <c r="G59" s="1065"/>
      <c r="H59" s="1066"/>
      <c r="I59" s="1169"/>
      <c r="J59" s="1169"/>
      <c r="K59" s="1173"/>
      <c r="L59" s="1173"/>
      <c r="M59" s="1173"/>
      <c r="N59" s="1173"/>
      <c r="O59" s="1173"/>
      <c r="P59" s="1185"/>
      <c r="Q59" s="1212"/>
      <c r="R59" s="1212"/>
      <c r="S59" s="1212"/>
      <c r="T59" s="1212"/>
      <c r="U59" s="1212"/>
      <c r="V59" s="1212"/>
      <c r="W59" s="1212"/>
      <c r="X59" s="1212"/>
      <c r="Y59" s="1212"/>
      <c r="Z59" s="1212"/>
      <c r="AA59" s="1212"/>
      <c r="AB59" s="1212"/>
      <c r="AC59" s="1212"/>
      <c r="AD59" s="1212"/>
      <c r="AE59" s="1212"/>
      <c r="AF59" s="1212"/>
      <c r="AG59" s="1212"/>
      <c r="AH59" s="1212"/>
      <c r="AI59" s="1212"/>
      <c r="AJ59" s="1212"/>
      <c r="AK59" s="1212"/>
      <c r="AL59" s="1212"/>
      <c r="AM59" s="1212"/>
      <c r="AN59" s="1212"/>
      <c r="AO59" s="1212"/>
      <c r="AP59" s="1212"/>
      <c r="AQ59" s="1212"/>
      <c r="AR59" s="1212"/>
      <c r="AS59" s="1212"/>
      <c r="AT59" s="1212"/>
      <c r="AU59" s="1212"/>
      <c r="AV59" s="1212"/>
      <c r="AW59" s="1212"/>
      <c r="AX59" s="1212"/>
      <c r="AY59" s="1212"/>
      <c r="AZ59" s="1212"/>
      <c r="BA59" s="1212"/>
      <c r="BB59" s="1212"/>
      <c r="BC59" s="1212"/>
      <c r="BD59" s="1212"/>
      <c r="BE59" s="1212"/>
      <c r="BF59" s="1212"/>
      <c r="BG59" s="1212"/>
      <c r="BH59" s="1212"/>
      <c r="BI59" s="1212"/>
      <c r="BJ59" s="1212"/>
      <c r="BK59" s="1212"/>
      <c r="BL59" s="1212"/>
      <c r="BM59" s="1212"/>
      <c r="BN59" s="1212"/>
      <c r="BO59" s="1212"/>
      <c r="BP59" s="1212"/>
      <c r="BQ59" s="1213"/>
      <c r="BR59" s="1212"/>
      <c r="BS59" s="1212"/>
      <c r="BT59" s="1212"/>
      <c r="BU59" s="1212"/>
      <c r="BV59" s="1212"/>
      <c r="BW59" s="1212"/>
      <c r="BX59" s="1212"/>
      <c r="BY59" s="1212"/>
      <c r="BZ59" s="1212"/>
      <c r="CA59" s="1212"/>
      <c r="CB59" s="1212"/>
      <c r="CC59" s="1212"/>
      <c r="CD59" s="1212"/>
      <c r="CE59" s="1212"/>
      <c r="CF59" s="1212"/>
      <c r="CG59" s="1212"/>
    </row>
    <row r="60" spans="1:85" s="679" customFormat="1">
      <c r="A60" s="1065"/>
      <c r="B60" s="437"/>
      <c r="C60" s="437" t="s">
        <v>1035</v>
      </c>
      <c r="D60" s="437" t="s">
        <v>1025</v>
      </c>
      <c r="E60" s="437" t="s">
        <v>1326</v>
      </c>
      <c r="F60" s="545">
        <v>0</v>
      </c>
      <c r="G60" s="1065"/>
      <c r="H60" s="1066"/>
      <c r="I60" s="1169"/>
      <c r="J60" s="1169"/>
      <c r="K60" s="1173"/>
      <c r="L60" s="1173"/>
      <c r="M60" s="1173"/>
      <c r="N60" s="1173"/>
      <c r="O60" s="1173"/>
      <c r="P60" s="1185"/>
      <c r="Q60" s="1212"/>
      <c r="R60" s="1212"/>
      <c r="S60" s="1212"/>
      <c r="T60" s="1212"/>
      <c r="U60" s="1212"/>
      <c r="V60" s="1212"/>
      <c r="W60" s="1212"/>
      <c r="X60" s="1212"/>
      <c r="Y60" s="1212"/>
      <c r="Z60" s="1212"/>
      <c r="AA60" s="1212"/>
      <c r="AB60" s="1212"/>
      <c r="AC60" s="1212"/>
      <c r="AD60" s="1212"/>
      <c r="AE60" s="1212"/>
      <c r="AF60" s="1212"/>
      <c r="AG60" s="1212"/>
      <c r="AH60" s="1212"/>
      <c r="AI60" s="1212"/>
      <c r="AJ60" s="1212"/>
      <c r="AK60" s="1212"/>
      <c r="AL60" s="1212"/>
      <c r="AM60" s="1212"/>
      <c r="AN60" s="1212"/>
      <c r="AO60" s="1212"/>
      <c r="AP60" s="1212"/>
      <c r="AQ60" s="1212"/>
      <c r="AR60" s="1212"/>
      <c r="AS60" s="1212"/>
      <c r="AT60" s="1212"/>
      <c r="AU60" s="1212"/>
      <c r="AV60" s="1212"/>
      <c r="AW60" s="1212"/>
      <c r="AX60" s="1212"/>
      <c r="AY60" s="1212"/>
      <c r="AZ60" s="1212"/>
      <c r="BA60" s="1212"/>
      <c r="BB60" s="1212"/>
      <c r="BC60" s="1212"/>
      <c r="BD60" s="1212"/>
      <c r="BE60" s="1212"/>
      <c r="BF60" s="1212"/>
      <c r="BG60" s="1212"/>
      <c r="BH60" s="1212"/>
      <c r="BI60" s="1212"/>
      <c r="BJ60" s="1212"/>
      <c r="BK60" s="1212"/>
      <c r="BL60" s="1212"/>
      <c r="BM60" s="1212"/>
      <c r="BN60" s="1212"/>
      <c r="BO60" s="1212"/>
      <c r="BP60" s="1212"/>
      <c r="BQ60" s="1213"/>
      <c r="BR60" s="1212"/>
      <c r="BS60" s="1212"/>
      <c r="BT60" s="1212"/>
      <c r="BU60" s="1212"/>
      <c r="BV60" s="1212"/>
      <c r="BW60" s="1212"/>
      <c r="BX60" s="1212"/>
      <c r="BY60" s="1212"/>
      <c r="BZ60" s="1212"/>
      <c r="CA60" s="1212"/>
      <c r="CB60" s="1212"/>
      <c r="CC60" s="1212"/>
      <c r="CD60" s="1212"/>
      <c r="CE60" s="1212"/>
      <c r="CF60" s="1212"/>
      <c r="CG60" s="1212"/>
    </row>
    <row r="61" spans="1:85" s="679" customFormat="1">
      <c r="A61" s="1065"/>
      <c r="B61" s="437"/>
      <c r="C61" s="437" t="s">
        <v>1032</v>
      </c>
      <c r="D61" s="437" t="s">
        <v>1025</v>
      </c>
      <c r="E61" s="437" t="s">
        <v>1326</v>
      </c>
      <c r="F61" s="545">
        <v>0</v>
      </c>
      <c r="G61" s="1065"/>
      <c r="H61" s="1066"/>
      <c r="I61" s="1169"/>
      <c r="J61" s="1169"/>
      <c r="K61" s="1173"/>
      <c r="L61" s="1173"/>
      <c r="M61" s="1173"/>
      <c r="N61" s="1173"/>
      <c r="O61" s="1173"/>
      <c r="P61" s="1185"/>
      <c r="Q61" s="1212"/>
      <c r="R61" s="1212"/>
      <c r="S61" s="1212"/>
      <c r="T61" s="1212"/>
      <c r="U61" s="1212"/>
      <c r="V61" s="1212"/>
      <c r="W61" s="1212"/>
      <c r="X61" s="1212"/>
      <c r="Y61" s="1212"/>
      <c r="Z61" s="1212"/>
      <c r="AA61" s="1212"/>
      <c r="AB61" s="1212"/>
      <c r="AC61" s="1212"/>
      <c r="AD61" s="1212"/>
      <c r="AE61" s="1212"/>
      <c r="AF61" s="1212"/>
      <c r="AG61" s="1212"/>
      <c r="AH61" s="1212"/>
      <c r="AI61" s="1212"/>
      <c r="AJ61" s="1212"/>
      <c r="AK61" s="1212"/>
      <c r="AL61" s="1212"/>
      <c r="AM61" s="1212"/>
      <c r="AN61" s="1212"/>
      <c r="AO61" s="1212"/>
      <c r="AP61" s="1212"/>
      <c r="AQ61" s="1212"/>
      <c r="AR61" s="1212"/>
      <c r="AS61" s="1212"/>
      <c r="AT61" s="1212"/>
      <c r="AU61" s="1212"/>
      <c r="AV61" s="1212"/>
      <c r="AW61" s="1212"/>
      <c r="AX61" s="1212"/>
      <c r="AY61" s="1212"/>
      <c r="AZ61" s="1212"/>
      <c r="BA61" s="1212"/>
      <c r="BB61" s="1212"/>
      <c r="BC61" s="1212"/>
      <c r="BD61" s="1212"/>
      <c r="BE61" s="1212"/>
      <c r="BF61" s="1212"/>
      <c r="BG61" s="1212"/>
      <c r="BH61" s="1212"/>
      <c r="BI61" s="1212"/>
      <c r="BJ61" s="1212"/>
      <c r="BK61" s="1212"/>
      <c r="BL61" s="1212"/>
      <c r="BM61" s="1212"/>
      <c r="BN61" s="1212"/>
      <c r="BO61" s="1212"/>
      <c r="BP61" s="1212"/>
      <c r="BQ61" s="1213"/>
      <c r="BR61" s="1212"/>
      <c r="BS61" s="1212"/>
      <c r="BT61" s="1212"/>
      <c r="BU61" s="1212"/>
      <c r="BV61" s="1212"/>
      <c r="BW61" s="1212"/>
      <c r="BX61" s="1212"/>
      <c r="BY61" s="1212"/>
      <c r="BZ61" s="1212"/>
      <c r="CA61" s="1212"/>
      <c r="CB61" s="1212"/>
      <c r="CC61" s="1212"/>
      <c r="CD61" s="1212"/>
      <c r="CE61" s="1212"/>
      <c r="CF61" s="1212"/>
      <c r="CG61" s="1212"/>
    </row>
    <row r="62" spans="1:85" s="679" customFormat="1" ht="15">
      <c r="A62" s="1065"/>
      <c r="B62" s="437"/>
      <c r="C62" s="1170" t="s">
        <v>1023</v>
      </c>
      <c r="D62" s="1177" t="s">
        <v>213</v>
      </c>
      <c r="E62" s="1170" t="s">
        <v>1326</v>
      </c>
      <c r="F62" s="1737">
        <v>0</v>
      </c>
      <c r="G62" s="1065">
        <f>+F62</f>
        <v>0</v>
      </c>
      <c r="H62" s="1066"/>
      <c r="I62" s="1169"/>
      <c r="J62" s="1169"/>
      <c r="K62" s="1169"/>
      <c r="L62" s="1169"/>
      <c r="M62" s="1169"/>
      <c r="N62" s="1169"/>
      <c r="O62" s="1169"/>
      <c r="P62" s="1185"/>
      <c r="Q62" s="1212"/>
      <c r="R62" s="1212"/>
      <c r="S62" s="1212"/>
      <c r="T62" s="1212"/>
      <c r="U62" s="1212"/>
      <c r="V62" s="1212"/>
      <c r="W62" s="1212"/>
      <c r="X62" s="1212"/>
      <c r="Y62" s="1212"/>
      <c r="Z62" s="1212"/>
      <c r="AA62" s="1212"/>
      <c r="AB62" s="1212"/>
      <c r="AC62" s="1212"/>
      <c r="AD62" s="1212"/>
      <c r="AE62" s="1212"/>
      <c r="AF62" s="1212"/>
      <c r="AG62" s="1212"/>
      <c r="AH62" s="1212"/>
      <c r="AI62" s="1212"/>
      <c r="AJ62" s="1212"/>
      <c r="AK62" s="1212"/>
      <c r="AL62" s="1212"/>
      <c r="AM62" s="1212"/>
      <c r="AN62" s="1212"/>
      <c r="AO62" s="1212"/>
      <c r="AP62" s="1212"/>
      <c r="AQ62" s="1212"/>
      <c r="AR62" s="1212"/>
      <c r="AS62" s="1212"/>
      <c r="AT62" s="1212"/>
      <c r="AU62" s="1212"/>
      <c r="AV62" s="1212"/>
      <c r="AW62" s="1212"/>
      <c r="AX62" s="1212"/>
      <c r="AY62" s="1212"/>
      <c r="AZ62" s="1212"/>
      <c r="BA62" s="1212"/>
      <c r="BB62" s="1212"/>
      <c r="BC62" s="1212"/>
      <c r="BD62" s="1212"/>
      <c r="BE62" s="1212"/>
      <c r="BF62" s="1212"/>
      <c r="BG62" s="1212"/>
      <c r="BH62" s="1212"/>
      <c r="BI62" s="1212"/>
      <c r="BJ62" s="1212"/>
      <c r="BK62" s="1212"/>
      <c r="BL62" s="1212"/>
      <c r="BM62" s="1212"/>
      <c r="BN62" s="1212"/>
      <c r="BO62" s="1212"/>
      <c r="BP62" s="1212"/>
      <c r="BQ62" s="1213"/>
      <c r="BR62" s="1212"/>
      <c r="BS62" s="1212"/>
      <c r="BT62" s="1212"/>
      <c r="BU62" s="1212"/>
      <c r="BV62" s="1212"/>
      <c r="BW62" s="1212"/>
      <c r="BX62" s="1212"/>
      <c r="BY62" s="1212"/>
      <c r="BZ62" s="1212"/>
      <c r="CA62" s="1212"/>
      <c r="CB62" s="1212"/>
      <c r="CC62" s="1212"/>
      <c r="CD62" s="1212"/>
      <c r="CE62" s="1212"/>
      <c r="CF62" s="1212"/>
      <c r="CG62" s="1212"/>
    </row>
    <row r="63" spans="1:85" s="679" customFormat="1">
      <c r="A63" s="1065"/>
      <c r="B63" s="1169"/>
      <c r="C63" s="1171" t="s">
        <v>1043</v>
      </c>
      <c r="D63" s="437"/>
      <c r="E63" s="437"/>
      <c r="F63" s="437">
        <f>AVERAGE(F50:F62)</f>
        <v>0</v>
      </c>
      <c r="G63" s="1065">
        <f>+G62</f>
        <v>0</v>
      </c>
      <c r="H63" s="1066"/>
      <c r="I63" s="1169"/>
      <c r="J63" s="1169"/>
      <c r="K63" s="1173"/>
      <c r="L63" s="1173"/>
      <c r="M63" s="1173"/>
      <c r="N63" s="1173"/>
      <c r="O63" s="1173"/>
      <c r="P63" s="1185"/>
      <c r="Q63" s="1212"/>
      <c r="R63" s="1212"/>
      <c r="S63" s="1212"/>
      <c r="T63" s="1212"/>
      <c r="U63" s="1212"/>
      <c r="V63" s="1212"/>
      <c r="W63" s="1212"/>
      <c r="X63" s="1212"/>
      <c r="Y63" s="1212"/>
      <c r="Z63" s="1212"/>
      <c r="AA63" s="1212"/>
      <c r="AB63" s="1212"/>
      <c r="AC63" s="1212"/>
      <c r="AD63" s="1212"/>
      <c r="AE63" s="1212"/>
      <c r="AF63" s="1212"/>
      <c r="AG63" s="1212"/>
      <c r="AH63" s="1212"/>
      <c r="AI63" s="1212"/>
      <c r="AJ63" s="1212"/>
      <c r="AK63" s="1212"/>
      <c r="AL63" s="1212"/>
      <c r="AM63" s="1212"/>
      <c r="AN63" s="1212"/>
      <c r="AO63" s="1212"/>
      <c r="AP63" s="1212"/>
      <c r="AQ63" s="1212"/>
      <c r="AR63" s="1212"/>
      <c r="AS63" s="1212"/>
      <c r="AT63" s="1212"/>
      <c r="AU63" s="1212"/>
      <c r="AV63" s="1212"/>
      <c r="AW63" s="1212"/>
      <c r="AX63" s="1212"/>
      <c r="AY63" s="1212"/>
      <c r="AZ63" s="1212"/>
      <c r="BA63" s="1212"/>
      <c r="BB63" s="1212"/>
      <c r="BC63" s="1212"/>
      <c r="BD63" s="1212"/>
      <c r="BE63" s="1212"/>
      <c r="BF63" s="1212"/>
      <c r="BG63" s="1212"/>
      <c r="BH63" s="1212"/>
      <c r="BI63" s="1212"/>
      <c r="BJ63" s="1212"/>
      <c r="BK63" s="1212"/>
      <c r="BL63" s="1212"/>
      <c r="BM63" s="1212"/>
      <c r="BN63" s="1212"/>
      <c r="BO63" s="1212"/>
      <c r="BP63" s="1212"/>
      <c r="BQ63" s="1213"/>
      <c r="BR63" s="1212"/>
      <c r="BS63" s="1212"/>
      <c r="BT63" s="1212"/>
      <c r="BU63" s="1212"/>
      <c r="BV63" s="1212"/>
      <c r="BW63" s="1212"/>
      <c r="BX63" s="1212"/>
      <c r="BY63" s="1212"/>
      <c r="BZ63" s="1212"/>
      <c r="CA63" s="1212"/>
      <c r="CB63" s="1212"/>
      <c r="CC63" s="1212"/>
      <c r="CD63" s="1212"/>
      <c r="CE63" s="1212"/>
      <c r="CF63" s="1212"/>
      <c r="CG63" s="1212"/>
    </row>
    <row r="64" spans="1:85" s="679" customFormat="1">
      <c r="A64" s="1065"/>
      <c r="B64" s="1169"/>
      <c r="C64" s="437"/>
      <c r="D64" s="437"/>
      <c r="E64" s="437"/>
      <c r="F64" s="437"/>
      <c r="G64" s="1065"/>
      <c r="H64" s="1066"/>
      <c r="I64" s="1169"/>
      <c r="J64" s="1169"/>
      <c r="K64" s="1173"/>
      <c r="L64" s="1173"/>
      <c r="M64" s="1173"/>
      <c r="N64" s="1173"/>
      <c r="O64" s="1173"/>
      <c r="P64" s="1185"/>
      <c r="Q64" s="1212"/>
      <c r="R64" s="1212"/>
      <c r="S64" s="1212"/>
      <c r="T64" s="1212"/>
      <c r="U64" s="1212"/>
      <c r="V64" s="1212"/>
      <c r="W64" s="1212"/>
      <c r="X64" s="1212"/>
      <c r="Y64" s="1212"/>
      <c r="Z64" s="1212"/>
      <c r="AA64" s="1212"/>
      <c r="AB64" s="1212"/>
      <c r="AC64" s="1212"/>
      <c r="AD64" s="1212"/>
      <c r="AE64" s="1212"/>
      <c r="AF64" s="1212"/>
      <c r="AG64" s="1212"/>
      <c r="AH64" s="1212"/>
      <c r="AI64" s="1212"/>
      <c r="AJ64" s="1212"/>
      <c r="AK64" s="1212"/>
      <c r="AL64" s="1212"/>
      <c r="AM64" s="1212"/>
      <c r="AN64" s="1212"/>
      <c r="AO64" s="1212"/>
      <c r="AP64" s="1212"/>
      <c r="AQ64" s="1212"/>
      <c r="AR64" s="1212"/>
      <c r="AS64" s="1212"/>
      <c r="AT64" s="1212"/>
      <c r="AU64" s="1212"/>
      <c r="AV64" s="1212"/>
      <c r="AW64" s="1212"/>
      <c r="AX64" s="1212"/>
      <c r="AY64" s="1212"/>
      <c r="AZ64" s="1212"/>
      <c r="BA64" s="1212"/>
      <c r="BB64" s="1212"/>
      <c r="BC64" s="1212"/>
      <c r="BD64" s="1212"/>
      <c r="BE64" s="1212"/>
      <c r="BF64" s="1212"/>
      <c r="BG64" s="1212"/>
      <c r="BH64" s="1212"/>
      <c r="BI64" s="1212"/>
      <c r="BJ64" s="1212"/>
      <c r="BK64" s="1212"/>
      <c r="BL64" s="1212"/>
      <c r="BM64" s="1212"/>
      <c r="BN64" s="1212"/>
      <c r="BO64" s="1212"/>
      <c r="BP64" s="1212"/>
      <c r="BQ64" s="1213"/>
      <c r="BR64" s="1212"/>
      <c r="BS64" s="1212"/>
      <c r="BT64" s="1212"/>
      <c r="BU64" s="1212"/>
      <c r="BV64" s="1212"/>
      <c r="BW64" s="1212"/>
      <c r="BX64" s="1212"/>
      <c r="BY64" s="1212"/>
      <c r="BZ64" s="1212"/>
      <c r="CA64" s="1212"/>
      <c r="CB64" s="1212"/>
      <c r="CC64" s="1212"/>
      <c r="CD64" s="1212"/>
      <c r="CE64" s="1212"/>
      <c r="CF64" s="1212"/>
      <c r="CG64" s="1212"/>
    </row>
    <row r="65" spans="1:86" s="679" customFormat="1">
      <c r="A65" s="1065"/>
      <c r="B65" s="1169"/>
      <c r="C65" s="1171"/>
      <c r="D65" s="437"/>
      <c r="E65" s="437"/>
      <c r="F65" s="437"/>
      <c r="G65" s="1065"/>
      <c r="H65" s="1066"/>
      <c r="I65" s="1169"/>
      <c r="J65" s="1169"/>
      <c r="K65" s="1173"/>
      <c r="L65" s="1173"/>
      <c r="M65" s="1173"/>
      <c r="N65" s="1173"/>
      <c r="O65" s="1173"/>
      <c r="P65" s="1185"/>
      <c r="Q65" s="1212"/>
      <c r="R65" s="1212"/>
      <c r="S65" s="1212"/>
      <c r="T65" s="1212"/>
      <c r="U65" s="1212"/>
      <c r="V65" s="1212"/>
      <c r="W65" s="1212"/>
      <c r="X65" s="1212"/>
      <c r="Y65" s="1212"/>
      <c r="Z65" s="1212"/>
      <c r="AA65" s="1212"/>
      <c r="AB65" s="1212"/>
      <c r="AC65" s="1212"/>
      <c r="AD65" s="1212"/>
      <c r="AE65" s="1212"/>
      <c r="AF65" s="1212"/>
      <c r="AG65" s="1212"/>
      <c r="AH65" s="1212"/>
      <c r="AI65" s="1212"/>
      <c r="AJ65" s="1212"/>
      <c r="AK65" s="1212"/>
      <c r="AL65" s="1212"/>
      <c r="AM65" s="1212"/>
      <c r="AN65" s="1212"/>
      <c r="AO65" s="1212"/>
      <c r="AP65" s="1212"/>
      <c r="AQ65" s="1212"/>
      <c r="AR65" s="1212"/>
      <c r="AS65" s="1212"/>
      <c r="AT65" s="1212"/>
      <c r="AU65" s="1212"/>
      <c r="AV65" s="1212"/>
      <c r="AW65" s="1212"/>
      <c r="AX65" s="1212"/>
      <c r="AY65" s="1212"/>
      <c r="AZ65" s="1212"/>
      <c r="BA65" s="1212"/>
      <c r="BB65" s="1212"/>
      <c r="BC65" s="1212"/>
      <c r="BD65" s="1212"/>
      <c r="BE65" s="1212"/>
      <c r="BF65" s="1212"/>
      <c r="BG65" s="1212"/>
      <c r="BH65" s="1212"/>
      <c r="BI65" s="1212"/>
      <c r="BJ65" s="1212"/>
      <c r="BK65" s="1212"/>
      <c r="BL65" s="1212"/>
      <c r="BM65" s="1212"/>
      <c r="BN65" s="1212"/>
      <c r="BO65" s="1212"/>
      <c r="BP65" s="1212"/>
      <c r="BQ65" s="1213"/>
      <c r="BR65" s="1212"/>
      <c r="BS65" s="1212"/>
      <c r="BT65" s="1212"/>
      <c r="BU65" s="1212"/>
      <c r="BV65" s="1212"/>
      <c r="BW65" s="1212"/>
      <c r="BX65" s="1212"/>
      <c r="BY65" s="1212"/>
      <c r="BZ65" s="1212"/>
      <c r="CA65" s="1212"/>
      <c r="CB65" s="1212"/>
      <c r="CC65" s="1212"/>
      <c r="CD65" s="1212"/>
      <c r="CE65" s="1212"/>
      <c r="CF65" s="1212"/>
      <c r="CG65" s="1212"/>
    </row>
    <row r="66" spans="1:86" s="679" customFormat="1" ht="16.2" thickBot="1">
      <c r="A66" s="1065">
        <v>6</v>
      </c>
      <c r="B66" s="437"/>
      <c r="C66" s="1179" t="s">
        <v>556</v>
      </c>
      <c r="D66" s="437" t="s">
        <v>1044</v>
      </c>
      <c r="E66" s="1169"/>
      <c r="F66" s="1537">
        <f>F63+F47+F42+F37+F21</f>
        <v>2179764620.2823067</v>
      </c>
      <c r="G66" s="1538">
        <f>G63+G47+G42+G37+G21</f>
        <v>2195698538.999999</v>
      </c>
      <c r="H66" s="1066"/>
      <c r="I66" s="1171"/>
      <c r="J66" s="1169"/>
      <c r="K66" s="1169"/>
      <c r="L66" s="1169"/>
      <c r="M66" s="1169"/>
      <c r="N66" s="1169"/>
      <c r="O66" s="1169"/>
      <c r="P66" s="1185"/>
      <c r="Q66" s="1212"/>
      <c r="R66" s="1212"/>
      <c r="S66" s="1212"/>
      <c r="T66" s="1212"/>
      <c r="U66" s="1212"/>
      <c r="V66" s="1212"/>
      <c r="W66" s="1212"/>
      <c r="X66" s="1212"/>
      <c r="Y66" s="1212"/>
      <c r="Z66" s="1212"/>
      <c r="AA66" s="1212"/>
      <c r="AB66" s="1212"/>
      <c r="AC66" s="1212"/>
      <c r="AD66" s="1212"/>
      <c r="AE66" s="1212"/>
      <c r="AF66" s="1212"/>
      <c r="AG66" s="1212"/>
      <c r="AH66" s="1212"/>
      <c r="AI66" s="1212"/>
      <c r="AJ66" s="1212"/>
      <c r="AK66" s="1212"/>
      <c r="AL66" s="1212"/>
      <c r="AM66" s="1212"/>
      <c r="AN66" s="1212"/>
      <c r="AO66" s="1212"/>
      <c r="AP66" s="1212"/>
      <c r="AQ66" s="1212"/>
      <c r="AR66" s="1212"/>
      <c r="AS66" s="1212"/>
      <c r="AT66" s="1212"/>
      <c r="AU66" s="1212"/>
      <c r="AV66" s="1212"/>
      <c r="AW66" s="1212"/>
      <c r="AX66" s="1212"/>
      <c r="AY66" s="1212"/>
      <c r="AZ66" s="1212"/>
      <c r="BA66" s="1212"/>
      <c r="BB66" s="1212"/>
      <c r="BC66" s="1212"/>
      <c r="BD66" s="1212"/>
      <c r="BE66" s="1212"/>
      <c r="BF66" s="1212"/>
      <c r="BG66" s="1212"/>
      <c r="BH66" s="1212"/>
      <c r="BI66" s="1212"/>
      <c r="BJ66" s="1212"/>
      <c r="BK66" s="1212"/>
      <c r="BL66" s="1212"/>
      <c r="BM66" s="1212"/>
      <c r="BN66" s="1212"/>
      <c r="BO66" s="1212"/>
      <c r="BP66" s="1212"/>
      <c r="BQ66" s="1213"/>
      <c r="BR66" s="1212"/>
      <c r="BS66" s="1212"/>
      <c r="BT66" s="1212"/>
      <c r="BU66" s="1212"/>
      <c r="BV66" s="1212"/>
      <c r="BW66" s="1212"/>
      <c r="BX66" s="1212"/>
      <c r="BY66" s="1212"/>
      <c r="BZ66" s="1212"/>
      <c r="CA66" s="1212"/>
      <c r="CB66" s="1212"/>
      <c r="CC66" s="1212"/>
      <c r="CD66" s="1212"/>
      <c r="CE66" s="1212"/>
      <c r="CF66" s="1212"/>
      <c r="CG66" s="1212"/>
    </row>
    <row r="67" spans="1:86" s="679" customFormat="1" ht="27.6" thickTop="1" thickBot="1">
      <c r="A67" s="1067"/>
      <c r="B67" s="1180"/>
      <c r="C67" s="1181"/>
      <c r="D67" s="1180"/>
      <c r="E67" s="1181"/>
      <c r="F67" s="1182" t="s">
        <v>926</v>
      </c>
      <c r="G67" s="1243" t="s">
        <v>926</v>
      </c>
      <c r="H67" s="1183"/>
      <c r="I67" s="1180"/>
      <c r="J67" s="1180"/>
      <c r="K67" s="1184"/>
      <c r="L67" s="1184"/>
      <c r="M67" s="1184"/>
      <c r="N67" s="1184"/>
      <c r="O67" s="1184"/>
      <c r="P67" s="1214"/>
      <c r="Q67" s="1215"/>
      <c r="R67" s="1215"/>
      <c r="S67" s="1215"/>
      <c r="T67" s="1215"/>
      <c r="U67" s="1212"/>
      <c r="V67" s="1212"/>
      <c r="W67" s="1212"/>
      <c r="X67" s="1212"/>
      <c r="Y67" s="1212"/>
      <c r="Z67" s="1212"/>
      <c r="AA67" s="1212"/>
      <c r="AB67" s="1212"/>
      <c r="AC67" s="1212"/>
      <c r="AD67" s="1212"/>
      <c r="AE67" s="1212"/>
      <c r="AF67" s="1212"/>
      <c r="AG67" s="1212"/>
      <c r="AH67" s="1212"/>
      <c r="AI67" s="1212"/>
      <c r="AJ67" s="1212"/>
      <c r="AK67" s="1212"/>
      <c r="AL67" s="1212"/>
      <c r="AM67" s="1212"/>
      <c r="AN67" s="1212"/>
      <c r="AO67" s="1212"/>
      <c r="AP67" s="1212"/>
      <c r="AQ67" s="1212"/>
      <c r="AR67" s="1212"/>
      <c r="AS67" s="1212"/>
      <c r="AT67" s="1212"/>
      <c r="AU67" s="1212"/>
      <c r="AV67" s="1212"/>
      <c r="AW67" s="1212"/>
      <c r="AX67" s="1212"/>
      <c r="AY67" s="1212"/>
      <c r="AZ67" s="1212"/>
      <c r="BA67" s="1212"/>
      <c r="BB67" s="1212"/>
      <c r="BC67" s="1212"/>
      <c r="BD67" s="1212"/>
      <c r="BE67" s="1212"/>
      <c r="BF67" s="1212"/>
      <c r="BG67" s="1212"/>
      <c r="BH67" s="1212"/>
      <c r="BI67" s="1212"/>
      <c r="BJ67" s="1212"/>
      <c r="BK67" s="1212"/>
      <c r="BL67" s="1212"/>
      <c r="BM67" s="1212"/>
      <c r="BN67" s="1212"/>
      <c r="BO67" s="1212"/>
      <c r="BP67" s="1212"/>
      <c r="BQ67" s="1213"/>
      <c r="BR67" s="1212"/>
      <c r="BS67" s="1212"/>
      <c r="BT67" s="1212"/>
      <c r="BU67" s="1212"/>
      <c r="BV67" s="1212"/>
      <c r="BW67" s="1212"/>
      <c r="BX67" s="1212"/>
      <c r="BY67" s="1212"/>
      <c r="BZ67" s="1212"/>
      <c r="CA67" s="1212"/>
      <c r="CB67" s="1212"/>
      <c r="CC67" s="1212"/>
      <c r="CD67" s="1212"/>
      <c r="CE67" s="1212"/>
      <c r="CF67" s="1212"/>
      <c r="CG67" s="1212"/>
    </row>
    <row r="68" spans="1:86" s="679" customFormat="1">
      <c r="A68" s="1065"/>
      <c r="B68" s="1169"/>
      <c r="C68" s="437"/>
      <c r="D68" s="1169"/>
      <c r="E68" s="437"/>
      <c r="F68" s="437"/>
      <c r="G68" s="1169"/>
      <c r="H68" s="1169"/>
      <c r="I68" s="1169"/>
      <c r="J68" s="1169"/>
      <c r="K68" s="1173"/>
      <c r="L68" s="1173"/>
      <c r="M68" s="1173"/>
      <c r="N68" s="1173"/>
      <c r="O68" s="1173"/>
      <c r="P68" s="1185"/>
      <c r="Q68" s="1212"/>
      <c r="R68" s="1212"/>
      <c r="S68" s="1212"/>
      <c r="T68" s="1212"/>
      <c r="U68" s="1212"/>
      <c r="V68" s="1212"/>
      <c r="W68" s="1212"/>
      <c r="X68" s="1212"/>
      <c r="Y68" s="1212"/>
      <c r="Z68" s="1212"/>
      <c r="AA68" s="1212"/>
      <c r="AB68" s="1212"/>
      <c r="AC68" s="1212"/>
      <c r="AD68" s="1212"/>
      <c r="AE68" s="1212"/>
      <c r="AF68" s="1212"/>
      <c r="AG68" s="1212"/>
      <c r="AH68" s="1212"/>
      <c r="AI68" s="1212"/>
      <c r="AJ68" s="1212"/>
      <c r="AK68" s="1212"/>
      <c r="AL68" s="1212"/>
      <c r="AM68" s="1212"/>
      <c r="AN68" s="1212"/>
      <c r="AO68" s="1212"/>
      <c r="AP68" s="1212"/>
      <c r="AQ68" s="1212"/>
      <c r="AR68" s="1212"/>
      <c r="AS68" s="1212"/>
      <c r="AT68" s="1212"/>
      <c r="AU68" s="1212"/>
      <c r="AV68" s="1212"/>
      <c r="AW68" s="1212"/>
      <c r="AX68" s="1212"/>
      <c r="AY68" s="1212"/>
      <c r="AZ68" s="1212"/>
      <c r="BA68" s="1212"/>
      <c r="BB68" s="1212"/>
      <c r="BC68" s="1212"/>
      <c r="BD68" s="1212"/>
      <c r="BE68" s="1212"/>
      <c r="BF68" s="1212"/>
      <c r="BG68" s="1212"/>
      <c r="BH68" s="1212"/>
      <c r="BI68" s="1212"/>
      <c r="BJ68" s="1212"/>
      <c r="BK68" s="1212"/>
      <c r="BL68" s="1212"/>
      <c r="BM68" s="1212"/>
      <c r="BN68" s="1212"/>
      <c r="BO68" s="1212"/>
      <c r="BP68" s="1212"/>
      <c r="BQ68" s="1213"/>
      <c r="BR68" s="1212"/>
      <c r="BS68" s="1212"/>
      <c r="BT68" s="1212"/>
      <c r="BU68" s="1212"/>
      <c r="BV68" s="1212"/>
      <c r="BW68" s="1212"/>
      <c r="BX68" s="1212"/>
      <c r="BY68" s="1212"/>
      <c r="BZ68" s="1212"/>
      <c r="CA68" s="1212"/>
      <c r="CB68" s="1212"/>
      <c r="CC68" s="1212"/>
      <c r="CD68" s="1212"/>
      <c r="CE68" s="1212"/>
      <c r="CF68" s="1212"/>
      <c r="CG68" s="1212"/>
    </row>
    <row r="69" spans="1:86" s="679" customFormat="1" ht="16.2" thickBot="1">
      <c r="A69" s="1188" t="s">
        <v>0</v>
      </c>
      <c r="B69" s="1169"/>
      <c r="C69" s="1169"/>
      <c r="D69" s="1169"/>
      <c r="E69" s="1169"/>
      <c r="F69" s="1169"/>
      <c r="G69" s="1169"/>
      <c r="H69" s="1555"/>
      <c r="I69" s="1556"/>
      <c r="J69" s="1556"/>
      <c r="K69" s="1556"/>
      <c r="L69" s="1556"/>
      <c r="M69" s="1557"/>
      <c r="N69" s="1556"/>
      <c r="O69" s="1558"/>
      <c r="P69" s="1558"/>
      <c r="Q69" s="1558"/>
      <c r="R69" s="1559"/>
      <c r="S69" s="1559"/>
      <c r="T69" s="1559"/>
      <c r="U69" s="1560"/>
      <c r="V69" s="1560"/>
      <c r="W69" s="1560"/>
      <c r="X69" s="1560"/>
      <c r="Y69" s="1560"/>
      <c r="Z69" s="1560"/>
      <c r="AA69" s="1560"/>
      <c r="AB69" s="1560"/>
      <c r="AC69" s="1560"/>
      <c r="AD69" s="1560"/>
      <c r="AE69" s="1560"/>
      <c r="AF69" s="1560"/>
      <c r="AG69" s="1560"/>
      <c r="AH69" s="1560"/>
      <c r="AI69" s="1560"/>
      <c r="AJ69" s="1560"/>
      <c r="AK69" s="1560"/>
      <c r="AL69" s="1560"/>
      <c r="AM69" s="1560"/>
      <c r="AN69" s="1560"/>
      <c r="AO69" s="1560"/>
      <c r="AP69" s="1560"/>
      <c r="AQ69" s="1560"/>
      <c r="AR69" s="1560"/>
      <c r="AS69" s="1560"/>
      <c r="AT69" s="1560"/>
      <c r="AU69" s="1560"/>
      <c r="AV69" s="1560"/>
      <c r="AW69" s="1560"/>
      <c r="AX69" s="1560"/>
      <c r="AY69" s="1560"/>
      <c r="AZ69" s="1560"/>
      <c r="BA69" s="1560"/>
      <c r="BB69" s="1560"/>
      <c r="BC69" s="1560"/>
      <c r="BD69" s="1560"/>
      <c r="BE69" s="1560"/>
      <c r="BF69" s="1560"/>
      <c r="BG69" s="1560"/>
      <c r="BH69" s="1560"/>
      <c r="BI69" s="1560"/>
      <c r="BJ69" s="1560"/>
      <c r="BK69" s="1560"/>
      <c r="BL69" s="1560"/>
      <c r="BM69" s="1560"/>
      <c r="BN69" s="1560"/>
      <c r="BO69" s="1560"/>
      <c r="BP69" s="1560"/>
      <c r="BQ69" s="1820"/>
      <c r="BR69" s="1560"/>
      <c r="BS69" s="1560"/>
      <c r="BT69" s="1560"/>
      <c r="BU69" s="1560"/>
      <c r="BV69" s="1560"/>
      <c r="BW69" s="1560"/>
      <c r="BX69" s="1560"/>
      <c r="BY69" s="1560"/>
      <c r="BZ69" s="1560"/>
      <c r="CA69" s="1560"/>
      <c r="CB69" s="1560"/>
      <c r="CC69" s="1560"/>
      <c r="CD69" s="1560"/>
      <c r="CE69" s="1560"/>
      <c r="CF69" s="1560"/>
      <c r="CG69" s="1560"/>
      <c r="CH69" s="1561"/>
    </row>
    <row r="70" spans="1:86" s="679" customFormat="1" ht="13.8" thickBot="1">
      <c r="A70" s="2052" t="s">
        <v>500</v>
      </c>
      <c r="B70" s="2053"/>
      <c r="C70" s="2053"/>
      <c r="D70" s="2053"/>
      <c r="E70" s="2053"/>
      <c r="F70" s="2053"/>
      <c r="G70" s="1738"/>
      <c r="H70" s="1909"/>
      <c r="I70" s="1910"/>
      <c r="J70" s="1910"/>
      <c r="K70" s="1910"/>
      <c r="L70" s="1910"/>
      <c r="M70" s="1910"/>
      <c r="N70" s="1910"/>
      <c r="O70" s="1910"/>
      <c r="P70" s="1910"/>
      <c r="Q70" s="1910"/>
      <c r="R70" s="1910"/>
      <c r="S70" s="1910"/>
      <c r="T70" s="1910"/>
      <c r="U70" s="1910"/>
      <c r="V70" s="1910"/>
      <c r="W70" s="1910"/>
      <c r="X70" s="1910"/>
      <c r="Y70" s="1910"/>
      <c r="Z70" s="1914" t="s">
        <v>906</v>
      </c>
      <c r="AA70" s="1910"/>
      <c r="AB70" s="1910"/>
      <c r="AC70" s="1910"/>
      <c r="AD70" s="1910"/>
      <c r="AE70" s="1910"/>
      <c r="AF70" s="1910"/>
      <c r="AG70" s="1910"/>
      <c r="AH70" s="1910"/>
      <c r="AI70" s="1910"/>
      <c r="AJ70" s="1910"/>
      <c r="AK70" s="1910"/>
      <c r="AL70" s="1910"/>
      <c r="AM70" s="1910"/>
      <c r="AN70" s="1910"/>
      <c r="AO70" s="1910"/>
      <c r="AP70" s="1910"/>
      <c r="AQ70" s="1910"/>
      <c r="AR70" s="1910"/>
      <c r="AS70" s="1910"/>
      <c r="AT70" s="1910"/>
      <c r="AU70" s="1910"/>
      <c r="AV70" s="1910"/>
      <c r="AW70" s="1910"/>
      <c r="AX70" s="1910"/>
      <c r="AY70" s="1910"/>
      <c r="AZ70" s="1910"/>
      <c r="BA70" s="1910"/>
      <c r="BB70" s="1910"/>
      <c r="BC70" s="1910"/>
      <c r="BD70" s="1910"/>
      <c r="BE70" s="1910"/>
      <c r="BF70" s="1910"/>
      <c r="BG70" s="1910"/>
      <c r="BH70" s="1910"/>
      <c r="BI70" s="1910"/>
      <c r="BJ70" s="1910"/>
      <c r="BK70" s="1910"/>
      <c r="BL70" s="1910"/>
      <c r="BM70" s="1910"/>
      <c r="BN70" s="1065"/>
      <c r="BO70" s="437"/>
      <c r="BP70" s="437"/>
      <c r="BQ70" s="437"/>
      <c r="BR70" s="1828"/>
      <c r="BS70" s="1828"/>
      <c r="BT70" s="1828"/>
      <c r="BU70" s="1828"/>
      <c r="BV70" s="1828"/>
      <c r="BW70" s="1828"/>
      <c r="BX70" s="1828"/>
      <c r="BY70" s="1828"/>
      <c r="BZ70" s="1828"/>
      <c r="CA70" s="1828"/>
      <c r="CB70" s="1828"/>
      <c r="CC70" s="1828"/>
      <c r="CD70" s="1828"/>
      <c r="CE70" s="1828"/>
      <c r="CF70" s="1828"/>
      <c r="CG70" s="1828"/>
    </row>
    <row r="71" spans="1:86" s="679" customFormat="1" ht="27" thickBot="1">
      <c r="A71" s="1067"/>
      <c r="B71" s="1181"/>
      <c r="C71" s="1181"/>
      <c r="D71" s="1181"/>
      <c r="E71" s="1181"/>
      <c r="F71" s="1610" t="s">
        <v>324</v>
      </c>
      <c r="G71" s="1739" t="s">
        <v>42</v>
      </c>
      <c r="H71" s="1911"/>
      <c r="I71" s="1912"/>
      <c r="J71" s="1912"/>
      <c r="K71" s="1912"/>
      <c r="L71" s="1912"/>
      <c r="M71" s="1912"/>
      <c r="N71" s="1912"/>
      <c r="O71" s="1912"/>
      <c r="P71" s="1912"/>
      <c r="Q71" s="1912"/>
      <c r="R71" s="1912"/>
      <c r="S71" s="1912"/>
      <c r="T71" s="1912"/>
      <c r="U71" s="1912"/>
      <c r="V71" s="1912"/>
      <c r="W71" s="1912"/>
      <c r="X71" s="1912"/>
      <c r="Y71" s="1912"/>
      <c r="Z71" s="1913" t="s">
        <v>881</v>
      </c>
      <c r="AA71" s="1912"/>
      <c r="AB71" s="1912"/>
      <c r="AC71" s="1912"/>
      <c r="AD71" s="1912"/>
      <c r="AE71" s="1912"/>
      <c r="AF71" s="1912"/>
      <c r="AG71" s="1912"/>
      <c r="AH71" s="1912"/>
      <c r="AI71" s="1912"/>
      <c r="AJ71" s="1912"/>
      <c r="AK71" s="1912"/>
      <c r="AL71" s="1912"/>
      <c r="AM71" s="1912"/>
      <c r="AN71" s="1912"/>
      <c r="AO71" s="1912"/>
      <c r="AP71" s="1912"/>
      <c r="AQ71" s="1912"/>
      <c r="AR71" s="1912"/>
      <c r="AS71" s="1912"/>
      <c r="AT71" s="1912"/>
      <c r="AU71" s="1912"/>
      <c r="AV71" s="1912"/>
      <c r="AW71" s="1912"/>
      <c r="AX71" s="1912"/>
      <c r="AY71" s="1912"/>
      <c r="AZ71" s="1912"/>
      <c r="BA71" s="1912"/>
      <c r="BB71" s="1912"/>
      <c r="BC71" s="1912"/>
      <c r="BD71" s="1912"/>
      <c r="BE71" s="1912"/>
      <c r="BF71" s="1912"/>
      <c r="BG71" s="1912"/>
      <c r="BH71" s="1912"/>
      <c r="BI71" s="1912"/>
      <c r="BJ71" s="1912"/>
      <c r="BK71" s="1912"/>
      <c r="BL71" s="1912"/>
      <c r="BM71" s="1912"/>
      <c r="BN71" s="1188"/>
      <c r="BO71" s="1171"/>
      <c r="BP71" s="1171"/>
      <c r="BQ71" s="1171"/>
      <c r="BR71" s="1829"/>
      <c r="BS71" s="1829"/>
      <c r="BT71" s="1829"/>
      <c r="BU71" s="1829"/>
      <c r="BV71" s="1829"/>
      <c r="BW71" s="1829"/>
      <c r="BX71" s="1829"/>
      <c r="BY71" s="1829"/>
      <c r="BZ71" s="1829"/>
      <c r="CA71" s="1829"/>
      <c r="CB71" s="1829"/>
      <c r="CC71" s="1829"/>
      <c r="CD71" s="1829"/>
      <c r="CE71" s="1829"/>
      <c r="CF71" s="1829"/>
      <c r="CG71" s="1829"/>
    </row>
    <row r="72" spans="1:86" s="679" customFormat="1" ht="65.25" customHeight="1" thickBot="1">
      <c r="A72" s="1066"/>
      <c r="B72" s="437"/>
      <c r="C72" s="1227" t="s">
        <v>1</v>
      </c>
      <c r="D72" s="1228" t="s">
        <v>1022</v>
      </c>
      <c r="E72" s="1228"/>
      <c r="F72" s="1228"/>
      <c r="G72" s="1229"/>
      <c r="H72" s="1853" t="s">
        <v>753</v>
      </c>
      <c r="I72" s="1855" t="s">
        <v>475</v>
      </c>
      <c r="J72" s="1855" t="s">
        <v>31</v>
      </c>
      <c r="K72" s="1855" t="s">
        <v>684</v>
      </c>
      <c r="L72" s="1855" t="s">
        <v>1052</v>
      </c>
      <c r="M72" s="1856" t="s">
        <v>141</v>
      </c>
      <c r="N72" s="1855" t="s">
        <v>395</v>
      </c>
      <c r="O72" s="1211" t="s">
        <v>1053</v>
      </c>
      <c r="P72" s="1211" t="s">
        <v>1047</v>
      </c>
      <c r="Q72" s="1211" t="s">
        <v>1048</v>
      </c>
      <c r="R72" s="1854" t="s">
        <v>1049</v>
      </c>
      <c r="S72" s="1854" t="s">
        <v>1050</v>
      </c>
      <c r="T72" s="1854" t="s">
        <v>1051</v>
      </c>
      <c r="U72" s="1854" t="s">
        <v>414</v>
      </c>
      <c r="V72" s="1854" t="str">
        <f t="shared" ref="V72:AP72" si="3">V7</f>
        <v>Armstrong</v>
      </c>
      <c r="W72" s="1211" t="str">
        <f t="shared" si="3"/>
        <v>Farmers Valley Capacitor</v>
      </c>
      <c r="X72" s="1211" t="str">
        <f t="shared" si="3"/>
        <v>Harvey Run Capacitor</v>
      </c>
      <c r="Y72" s="1854" t="str">
        <f t="shared" si="3"/>
        <v>Doubs SS</v>
      </c>
      <c r="Z72" s="1854" t="str">
        <f t="shared" si="3"/>
        <v>Meadowbrook SS</v>
      </c>
      <c r="AA72" s="1211" t="str">
        <f t="shared" si="3"/>
        <v>Grandview  Capacitor</v>
      </c>
      <c r="AB72" s="1211" t="str">
        <f t="shared" si="3"/>
        <v>502 Jct Substation</v>
      </c>
      <c r="AC72" s="1211" t="str">
        <f t="shared" si="3"/>
        <v>Conemaugh-Seward</v>
      </c>
      <c r="AD72" s="1211" t="str">
        <f t="shared" si="3"/>
        <v>Luxor</v>
      </c>
      <c r="AE72" s="1211" t="str">
        <f t="shared" si="3"/>
        <v>Grandpoint &amp; Guilford</v>
      </c>
      <c r="AF72" s="1211" t="str">
        <f t="shared" si="3"/>
        <v>Handsome Lake - Homer City</v>
      </c>
      <c r="AG72" s="1211" t="str">
        <f t="shared" si="3"/>
        <v>Altoona</v>
      </c>
      <c r="AH72" s="1211" t="str">
        <f t="shared" si="3"/>
        <v>Blairsville</v>
      </c>
      <c r="AI72" s="1211" t="str">
        <f t="shared" si="3"/>
        <v>Carbon Center</v>
      </c>
      <c r="AJ72" s="1211" t="str">
        <f t="shared" si="3"/>
        <v>Hunterstown</v>
      </c>
      <c r="AK72" s="1211" t="str">
        <f t="shared" si="3"/>
        <v>Johnstown</v>
      </c>
      <c r="AL72" s="1211" t="str">
        <f t="shared" si="3"/>
        <v>Buffalo Road</v>
      </c>
      <c r="AM72" s="1211" t="str">
        <f t="shared" si="3"/>
        <v>Moshannon</v>
      </c>
      <c r="AN72" s="1211" t="str">
        <f t="shared" si="3"/>
        <v>Waldo Run</v>
      </c>
      <c r="AO72" s="1211" t="str">
        <f t="shared" si="3"/>
        <v>Four Mile Junction</v>
      </c>
      <c r="AP72" s="1211" t="str">
        <f t="shared" si="3"/>
        <v>West Union SS</v>
      </c>
      <c r="AQ72" s="1211" t="s">
        <v>1144</v>
      </c>
      <c r="AR72" s="1211" t="s">
        <v>1211</v>
      </c>
      <c r="AS72" s="1211" t="s">
        <v>1167</v>
      </c>
      <c r="AT72" s="1211" t="s">
        <v>1168</v>
      </c>
      <c r="AU72" s="1211" t="s">
        <v>1212</v>
      </c>
      <c r="AV72" s="1211" t="s">
        <v>1165</v>
      </c>
      <c r="AW72" s="1211" t="s">
        <v>1213</v>
      </c>
      <c r="AX72" s="1211" t="s">
        <v>1214</v>
      </c>
      <c r="AY72" s="1211" t="s">
        <v>1215</v>
      </c>
      <c r="AZ72" s="1211" t="s">
        <v>1096</v>
      </c>
      <c r="BA72" s="1211" t="s">
        <v>1160</v>
      </c>
      <c r="BB72" s="1211" t="s">
        <v>1162</v>
      </c>
      <c r="BC72" s="1211" t="s">
        <v>1081</v>
      </c>
      <c r="BD72" s="1211" t="s">
        <v>1170</v>
      </c>
      <c r="BE72" s="1211" t="s">
        <v>1224</v>
      </c>
      <c r="BF72" s="1211" t="s">
        <v>1242</v>
      </c>
      <c r="BG72" s="1211" t="s">
        <v>1220</v>
      </c>
      <c r="BH72" s="1211" t="s">
        <v>1240</v>
      </c>
      <c r="BI72" s="1211" t="s">
        <v>1219</v>
      </c>
      <c r="BJ72" s="1211" t="s">
        <v>1256</v>
      </c>
      <c r="BK72" s="1211" t="s">
        <v>1251</v>
      </c>
      <c r="BL72" s="1211" t="s">
        <v>1277</v>
      </c>
      <c r="BM72" s="1857" t="s">
        <v>603</v>
      </c>
    </row>
    <row r="73" spans="1:86" s="679" customFormat="1">
      <c r="A73" s="1066"/>
      <c r="B73" s="1169"/>
      <c r="C73" s="1066" t="s">
        <v>1023</v>
      </c>
      <c r="D73" s="437" t="s">
        <v>214</v>
      </c>
      <c r="E73" s="1991" t="s">
        <v>1278</v>
      </c>
      <c r="F73" s="1728">
        <f>SUM(H73:BL73)</f>
        <v>256283792.95000002</v>
      </c>
      <c r="G73" s="1065"/>
      <c r="H73" s="1821">
        <v>14932722.209999969</v>
      </c>
      <c r="I73" s="1612">
        <v>-318150.89000000031</v>
      </c>
      <c r="J73" s="1612">
        <v>165527637.67000005</v>
      </c>
      <c r="K73" s="1612">
        <v>208058.66999999993</v>
      </c>
      <c r="L73" s="1612">
        <v>3139820.5800000005</v>
      </c>
      <c r="M73" s="1612">
        <v>1730350.7000000016</v>
      </c>
      <c r="N73" s="1612">
        <v>322372.18000000098</v>
      </c>
      <c r="O73" s="1612">
        <v>1598481.3599999973</v>
      </c>
      <c r="P73" s="1612">
        <v>1310401.7299999995</v>
      </c>
      <c r="Q73" s="1612">
        <v>7659199.9300000006</v>
      </c>
      <c r="R73" s="1740">
        <v>793355.6300000007</v>
      </c>
      <c r="S73" s="1740">
        <v>650543.92999999947</v>
      </c>
      <c r="T73" s="1740">
        <v>1192717.9000000008</v>
      </c>
      <c r="U73" s="1740">
        <v>991343.51</v>
      </c>
      <c r="V73" s="1740">
        <v>1506208.87</v>
      </c>
      <c r="W73" s="1740">
        <v>97608.249999999985</v>
      </c>
      <c r="X73" s="1740">
        <v>83739.090000000026</v>
      </c>
      <c r="Y73" s="1740">
        <v>497383.15000000078</v>
      </c>
      <c r="Z73" s="1740">
        <v>5777669.8599999938</v>
      </c>
      <c r="AA73" s="1740">
        <v>72678.179999999978</v>
      </c>
      <c r="AB73" s="1740">
        <v>751547.98000000138</v>
      </c>
      <c r="AC73" s="1740">
        <v>2737477.2599999993</v>
      </c>
      <c r="AD73" s="1740">
        <v>108843.6500000001</v>
      </c>
      <c r="AE73" s="1740">
        <v>169706.99999999985</v>
      </c>
      <c r="AF73" s="1740">
        <v>1288105.6099999999</v>
      </c>
      <c r="AG73" s="1740">
        <v>3418251.5200000023</v>
      </c>
      <c r="AH73" s="1740">
        <v>315516.6700000001</v>
      </c>
      <c r="AI73" s="1740">
        <v>52551.959999999963</v>
      </c>
      <c r="AJ73" s="1740">
        <v>4188926.7300000018</v>
      </c>
      <c r="AK73" s="1740">
        <v>465989.36000000045</v>
      </c>
      <c r="AL73" s="1740">
        <v>40491.280000000035</v>
      </c>
      <c r="AM73" s="1740">
        <v>585593.32000000018</v>
      </c>
      <c r="AN73" s="1740">
        <v>5599959.8100000015</v>
      </c>
      <c r="AO73" s="1740">
        <v>777588.79000000027</v>
      </c>
      <c r="AP73" s="1740">
        <v>76758.650000000009</v>
      </c>
      <c r="AQ73" s="1740">
        <v>104243.61999999997</v>
      </c>
      <c r="AR73" s="1740">
        <v>41923.810000000027</v>
      </c>
      <c r="AS73" s="1740">
        <v>1598553.5899999992</v>
      </c>
      <c r="AT73" s="1740">
        <v>3031509.8299999991</v>
      </c>
      <c r="AU73" s="1740">
        <v>149594.15999999997</v>
      </c>
      <c r="AV73" s="1740">
        <v>578546.65</v>
      </c>
      <c r="AW73" s="1740">
        <v>98770.169999999925</v>
      </c>
      <c r="AX73" s="1740">
        <v>40381.189999999973</v>
      </c>
      <c r="AY73" s="1740">
        <v>1395043.57</v>
      </c>
      <c r="AZ73" s="1740">
        <v>161816.98999999987</v>
      </c>
      <c r="BA73" s="1740">
        <v>2584307.6300000008</v>
      </c>
      <c r="BB73" s="1740">
        <v>1325013.6200000001</v>
      </c>
      <c r="BC73" s="1740">
        <v>74701.290000000052</v>
      </c>
      <c r="BD73" s="1941">
        <v>59955.749999999978</v>
      </c>
      <c r="BE73" s="1740">
        <v>4038733.9900000012</v>
      </c>
      <c r="BF73" s="1740">
        <v>2127724.36</v>
      </c>
      <c r="BG73" s="1740">
        <v>3577259.81</v>
      </c>
      <c r="BH73" s="1740">
        <v>2107930.3000000003</v>
      </c>
      <c r="BI73" s="1740">
        <v>3884686.5299999993</v>
      </c>
      <c r="BJ73" s="1938">
        <v>41579.789999999994</v>
      </c>
      <c r="BK73" s="1938">
        <v>778087.91</v>
      </c>
      <c r="BL73" s="1938">
        <v>131976.29</v>
      </c>
      <c r="BM73" s="1818">
        <f>SUM(H73:BL73)</f>
        <v>256283792.95000002</v>
      </c>
    </row>
    <row r="74" spans="1:86" s="679" customFormat="1">
      <c r="A74" s="1066"/>
      <c r="B74" s="437"/>
      <c r="C74" s="1066" t="s">
        <v>1024</v>
      </c>
      <c r="D74" s="437" t="s">
        <v>1025</v>
      </c>
      <c r="E74" s="1991" t="s">
        <v>1326</v>
      </c>
      <c r="F74" s="1728">
        <f t="shared" ref="F74:F84" si="4">SUM(H74:BL74)</f>
        <v>260016779.95000002</v>
      </c>
      <c r="G74" s="1065"/>
      <c r="H74" s="1821">
        <v>15049467.66999997</v>
      </c>
      <c r="I74" s="1612">
        <v>-270061.9500000003</v>
      </c>
      <c r="J74" s="1612">
        <v>167372358.64000008</v>
      </c>
      <c r="K74" s="1612">
        <v>210923.94999999992</v>
      </c>
      <c r="L74" s="1612">
        <v>3187396.6300000004</v>
      </c>
      <c r="M74" s="1612">
        <v>1744502.4600000016</v>
      </c>
      <c r="N74" s="1612">
        <v>325739.010000001</v>
      </c>
      <c r="O74" s="1612">
        <v>1611997.5499999973</v>
      </c>
      <c r="P74" s="1612">
        <v>1322491.8999999994</v>
      </c>
      <c r="Q74" s="1612">
        <v>7728483.5600000005</v>
      </c>
      <c r="R74" s="1612">
        <v>801263.17000000074</v>
      </c>
      <c r="S74" s="1612">
        <v>657463.29999999946</v>
      </c>
      <c r="T74" s="1612">
        <v>1205182.0700000008</v>
      </c>
      <c r="U74" s="1612">
        <v>1003803.16</v>
      </c>
      <c r="V74" s="1612">
        <v>1533920.3800000001</v>
      </c>
      <c r="W74" s="1612">
        <v>99249.139999999985</v>
      </c>
      <c r="X74" s="1612">
        <v>85195.440000000031</v>
      </c>
      <c r="Y74" s="1612">
        <v>506068.18000000081</v>
      </c>
      <c r="Z74" s="1612">
        <v>5883913.1299999934</v>
      </c>
      <c r="AA74" s="1612">
        <v>73829.319999999978</v>
      </c>
      <c r="AB74" s="1612">
        <v>761925.66000000143</v>
      </c>
      <c r="AC74" s="1612">
        <v>2791622.6299999994</v>
      </c>
      <c r="AD74" s="1612">
        <v>110955.7500000001</v>
      </c>
      <c r="AE74" s="1612">
        <v>172812.86999999985</v>
      </c>
      <c r="AF74" s="1612">
        <v>1311153.8299999998</v>
      </c>
      <c r="AG74" s="1612">
        <v>3481703.6000000024</v>
      </c>
      <c r="AH74" s="1612">
        <v>321340.09000000008</v>
      </c>
      <c r="AI74" s="1612">
        <v>53548.419999999962</v>
      </c>
      <c r="AJ74" s="1612">
        <v>4265914.870000002</v>
      </c>
      <c r="AK74" s="1612">
        <v>474639.06000000046</v>
      </c>
      <c r="AL74" s="1612">
        <v>41259.250000000036</v>
      </c>
      <c r="AM74" s="1612">
        <v>598766.7200000002</v>
      </c>
      <c r="AN74" s="1612">
        <v>5724550.2200000016</v>
      </c>
      <c r="AO74" s="1612">
        <v>793481.75000000023</v>
      </c>
      <c r="AP74" s="1612">
        <v>78318.390000000014</v>
      </c>
      <c r="AQ74" s="1612">
        <v>106866.67999999996</v>
      </c>
      <c r="AR74" s="1612">
        <v>43135.29000000003</v>
      </c>
      <c r="AS74" s="1612">
        <v>1638742.7499999991</v>
      </c>
      <c r="AT74" s="1612">
        <v>3108353.379999999</v>
      </c>
      <c r="AU74" s="1612">
        <v>153271.63999999998</v>
      </c>
      <c r="AV74" s="1612">
        <v>592146.16</v>
      </c>
      <c r="AW74" s="1612">
        <v>101165.70999999992</v>
      </c>
      <c r="AX74" s="1612">
        <v>41323.399999999972</v>
      </c>
      <c r="AY74" s="1612">
        <v>1436143.57</v>
      </c>
      <c r="AZ74" s="1612">
        <v>165734.60999999987</v>
      </c>
      <c r="BA74" s="1612">
        <v>2651125.580000001</v>
      </c>
      <c r="BB74" s="1612">
        <v>1359983.9200000002</v>
      </c>
      <c r="BC74" s="1612">
        <v>76687.590000000055</v>
      </c>
      <c r="BD74" s="1612">
        <v>61594.869999999981</v>
      </c>
      <c r="BE74" s="1612">
        <v>4211261.540000001</v>
      </c>
      <c r="BF74" s="1612">
        <v>2231804.38</v>
      </c>
      <c r="BG74" s="1612">
        <v>3691954.5500000003</v>
      </c>
      <c r="BH74" s="1612">
        <v>2177314.4900000002</v>
      </c>
      <c r="BI74" s="1612">
        <v>4039222.4599999995</v>
      </c>
      <c r="BJ74" s="1938">
        <v>43782.989999999991</v>
      </c>
      <c r="BK74" s="1938">
        <v>820065.88</v>
      </c>
      <c r="BL74" s="1938">
        <v>149918.69</v>
      </c>
      <c r="BM74" s="1818">
        <f t="shared" ref="BM74:BM84" si="5">SUM(H74:BL74)</f>
        <v>260016779.95000002</v>
      </c>
    </row>
    <row r="75" spans="1:86" s="679" customFormat="1">
      <c r="A75" s="1065"/>
      <c r="B75" s="1169"/>
      <c r="C75" s="1065" t="s">
        <v>1026</v>
      </c>
      <c r="D75" s="437" t="s">
        <v>1025</v>
      </c>
      <c r="E75" s="437" t="s">
        <v>1326</v>
      </c>
      <c r="F75" s="1728">
        <f t="shared" si="4"/>
        <v>263677911.44000003</v>
      </c>
      <c r="G75" s="1065"/>
      <c r="H75" s="1821">
        <v>15166213.649999971</v>
      </c>
      <c r="I75" s="1612">
        <v>-221973.0100000003</v>
      </c>
      <c r="J75" s="1612">
        <v>169145078.08000004</v>
      </c>
      <c r="K75" s="1612">
        <v>213789.22999999992</v>
      </c>
      <c r="L75" s="1612">
        <v>3234973.5600000005</v>
      </c>
      <c r="M75" s="1612">
        <v>1758654.2200000016</v>
      </c>
      <c r="N75" s="1612">
        <v>329105.84000000102</v>
      </c>
      <c r="O75" s="1612">
        <v>1625513.7399999972</v>
      </c>
      <c r="P75" s="1612">
        <v>1334582.0699999994</v>
      </c>
      <c r="Q75" s="1612">
        <v>7797767.1900000004</v>
      </c>
      <c r="R75" s="1612">
        <v>809170.71000000078</v>
      </c>
      <c r="S75" s="1612">
        <v>664382.66999999946</v>
      </c>
      <c r="T75" s="1612">
        <v>1217646.2400000007</v>
      </c>
      <c r="U75" s="1612">
        <v>1016262.81</v>
      </c>
      <c r="V75" s="1612">
        <v>1561631.8900000001</v>
      </c>
      <c r="W75" s="1612">
        <v>100890.02999999998</v>
      </c>
      <c r="X75" s="1612">
        <v>86651.790000000037</v>
      </c>
      <c r="Y75" s="1612">
        <v>514753.21000000084</v>
      </c>
      <c r="Z75" s="1612">
        <v>5990156.3999999929</v>
      </c>
      <c r="AA75" s="1612">
        <v>74980.459999999977</v>
      </c>
      <c r="AB75" s="1612">
        <v>772303.34000000148</v>
      </c>
      <c r="AC75" s="1612">
        <v>2845771.6999999993</v>
      </c>
      <c r="AD75" s="1612">
        <v>113067.85000000011</v>
      </c>
      <c r="AE75" s="1612">
        <v>175918.73999999985</v>
      </c>
      <c r="AF75" s="1612">
        <v>1334202.0699999998</v>
      </c>
      <c r="AG75" s="1612">
        <v>3545155.6800000025</v>
      </c>
      <c r="AH75" s="1612">
        <v>327163.51000000007</v>
      </c>
      <c r="AI75" s="1612">
        <v>54544.879999999961</v>
      </c>
      <c r="AJ75" s="1612">
        <v>4342903.0100000016</v>
      </c>
      <c r="AK75" s="1612">
        <v>483288.76000000047</v>
      </c>
      <c r="AL75" s="1612">
        <v>42027.220000000038</v>
      </c>
      <c r="AM75" s="1612">
        <v>611940.12000000023</v>
      </c>
      <c r="AN75" s="1612">
        <v>5849161.4800000014</v>
      </c>
      <c r="AO75" s="1612">
        <v>809374.7100000002</v>
      </c>
      <c r="AP75" s="1612">
        <v>79878.130000000019</v>
      </c>
      <c r="AQ75" s="1612">
        <v>109489.73999999996</v>
      </c>
      <c r="AR75" s="1612">
        <v>44346.770000000033</v>
      </c>
      <c r="AS75" s="1612">
        <v>1678931.909999999</v>
      </c>
      <c r="AT75" s="1612">
        <v>3185196.9299999988</v>
      </c>
      <c r="AU75" s="1612">
        <v>156949.12</v>
      </c>
      <c r="AV75" s="1612">
        <v>605745.67000000004</v>
      </c>
      <c r="AW75" s="1612">
        <v>103561.24999999991</v>
      </c>
      <c r="AX75" s="1612">
        <v>42265.609999999971</v>
      </c>
      <c r="AY75" s="1612">
        <v>1477244.79</v>
      </c>
      <c r="AZ75" s="1612">
        <v>169652.22999999986</v>
      </c>
      <c r="BA75" s="1612">
        <v>2717943.5300000012</v>
      </c>
      <c r="BB75" s="1612">
        <v>1395043.3</v>
      </c>
      <c r="BC75" s="1612">
        <v>78673.890000000058</v>
      </c>
      <c r="BD75" s="1612">
        <v>63233.989999999983</v>
      </c>
      <c r="BE75" s="1612">
        <v>4383812.5600000005</v>
      </c>
      <c r="BF75" s="1612">
        <v>2335887.4099999997</v>
      </c>
      <c r="BG75" s="1612">
        <v>3806649.5500000003</v>
      </c>
      <c r="BH75" s="1612">
        <v>2246700.5</v>
      </c>
      <c r="BI75" s="1612">
        <v>4193759.8999999994</v>
      </c>
      <c r="BJ75" s="1938">
        <v>45986.189999999988</v>
      </c>
      <c r="BK75" s="1938">
        <v>862043.86</v>
      </c>
      <c r="BL75" s="1938">
        <v>167860.76</v>
      </c>
      <c r="BM75" s="1818">
        <f t="shared" si="5"/>
        <v>263677911.44000003</v>
      </c>
    </row>
    <row r="76" spans="1:86" s="679" customFormat="1">
      <c r="A76" s="1065"/>
      <c r="B76" s="1169"/>
      <c r="C76" s="1065" t="s">
        <v>426</v>
      </c>
      <c r="D76" s="437" t="s">
        <v>1025</v>
      </c>
      <c r="E76" s="437" t="s">
        <v>1326</v>
      </c>
      <c r="F76" s="1728">
        <f t="shared" si="4"/>
        <v>267330967.79999995</v>
      </c>
      <c r="G76" s="1065"/>
      <c r="H76" s="1821">
        <v>15282959.629999971</v>
      </c>
      <c r="I76" s="1612">
        <v>-173884.0700000003</v>
      </c>
      <c r="J76" s="1612">
        <v>170909397.54000008</v>
      </c>
      <c r="K76" s="1612">
        <v>216654.50999999992</v>
      </c>
      <c r="L76" s="1612">
        <v>3282551.4100000006</v>
      </c>
      <c r="M76" s="1612">
        <v>1772805.9800000016</v>
      </c>
      <c r="N76" s="1612">
        <v>332472.67000000103</v>
      </c>
      <c r="O76" s="1612">
        <v>1639029.9299999971</v>
      </c>
      <c r="P76" s="1612">
        <v>1346672.2399999993</v>
      </c>
      <c r="Q76" s="1612">
        <v>7867050.8200000003</v>
      </c>
      <c r="R76" s="1612">
        <v>817078.25000000081</v>
      </c>
      <c r="S76" s="1612">
        <v>671302.03999999946</v>
      </c>
      <c r="T76" s="1612">
        <v>1230110.4100000006</v>
      </c>
      <c r="U76" s="1612">
        <v>1028722.4600000001</v>
      </c>
      <c r="V76" s="1612">
        <v>1589343.4000000001</v>
      </c>
      <c r="W76" s="1612">
        <v>102530.91999999998</v>
      </c>
      <c r="X76" s="1612">
        <v>88108.140000000043</v>
      </c>
      <c r="Y76" s="1612">
        <v>523438.24000000086</v>
      </c>
      <c r="Z76" s="1612">
        <v>6096399.6699999925</v>
      </c>
      <c r="AA76" s="1612">
        <v>76131.599999999977</v>
      </c>
      <c r="AB76" s="1612">
        <v>782681.02000000153</v>
      </c>
      <c r="AC76" s="1612">
        <v>2899925.3899999992</v>
      </c>
      <c r="AD76" s="1612">
        <v>115179.95000000011</v>
      </c>
      <c r="AE76" s="1612">
        <v>179024.60999999984</v>
      </c>
      <c r="AF76" s="1612">
        <v>1357250.3299999998</v>
      </c>
      <c r="AG76" s="1612">
        <v>3608607.7600000026</v>
      </c>
      <c r="AH76" s="1612">
        <v>332986.93000000005</v>
      </c>
      <c r="AI76" s="1612">
        <v>55541.33999999996</v>
      </c>
      <c r="AJ76" s="1612">
        <v>4419891.1500000013</v>
      </c>
      <c r="AK76" s="1612">
        <v>491938.46000000049</v>
      </c>
      <c r="AL76" s="1612">
        <v>42795.190000000039</v>
      </c>
      <c r="AM76" s="1612">
        <v>625113.52000000025</v>
      </c>
      <c r="AN76" s="1612">
        <v>5973787.7000000011</v>
      </c>
      <c r="AO76" s="1612">
        <v>825267.67000000016</v>
      </c>
      <c r="AP76" s="1612">
        <v>81437.870000000024</v>
      </c>
      <c r="AQ76" s="1612">
        <v>112112.79999999996</v>
      </c>
      <c r="AR76" s="1612">
        <v>45558.250000000036</v>
      </c>
      <c r="AS76" s="1612">
        <v>1719121.0699999989</v>
      </c>
      <c r="AT76" s="1612">
        <v>3262040.4799999986</v>
      </c>
      <c r="AU76" s="1612">
        <v>160626.6</v>
      </c>
      <c r="AV76" s="1612">
        <v>619345.18000000005</v>
      </c>
      <c r="AW76" s="1612">
        <v>105956.78999999991</v>
      </c>
      <c r="AX76" s="1612">
        <v>43207.819999999971</v>
      </c>
      <c r="AY76" s="1612">
        <v>1518351.32</v>
      </c>
      <c r="AZ76" s="1612">
        <v>173569.84999999986</v>
      </c>
      <c r="BA76" s="1612">
        <v>2784761.4800000014</v>
      </c>
      <c r="BB76" s="1612">
        <v>1430226.25</v>
      </c>
      <c r="BC76" s="1612">
        <v>80660.190000000061</v>
      </c>
      <c r="BD76" s="1612">
        <v>64873.109999999986</v>
      </c>
      <c r="BE76" s="1612">
        <v>4556529.99</v>
      </c>
      <c r="BF76" s="1612">
        <v>2439973.4399999995</v>
      </c>
      <c r="BG76" s="1612">
        <v>3921344.9200000004</v>
      </c>
      <c r="BH76" s="1612">
        <v>2316090.7400000002</v>
      </c>
      <c r="BI76" s="1612">
        <v>4348298.879999999</v>
      </c>
      <c r="BJ76" s="1938">
        <v>48189.389999999985</v>
      </c>
      <c r="BK76" s="1938">
        <v>904021.84</v>
      </c>
      <c r="BL76" s="1938">
        <v>185802.73</v>
      </c>
      <c r="BM76" s="1818">
        <f t="shared" si="5"/>
        <v>267330967.79999995</v>
      </c>
    </row>
    <row r="77" spans="1:86" s="679" customFormat="1">
      <c r="A77" s="1066"/>
      <c r="B77" s="1169"/>
      <c r="C77" s="1066" t="s">
        <v>295</v>
      </c>
      <c r="D77" s="437" t="s">
        <v>1025</v>
      </c>
      <c r="E77" s="437" t="s">
        <v>1326</v>
      </c>
      <c r="F77" s="1728">
        <f t="shared" si="4"/>
        <v>270974935.56999999</v>
      </c>
      <c r="G77" s="1065"/>
      <c r="H77" s="1821">
        <v>15400220.679999972</v>
      </c>
      <c r="I77" s="1612">
        <v>-125795.1300000003</v>
      </c>
      <c r="J77" s="1612">
        <v>172663674.24000004</v>
      </c>
      <c r="K77" s="1612">
        <v>219519.78999999992</v>
      </c>
      <c r="L77" s="1612">
        <v>3330215.3600000008</v>
      </c>
      <c r="M77" s="1612">
        <v>1786957.7400000016</v>
      </c>
      <c r="N77" s="1612">
        <v>335839.50000000105</v>
      </c>
      <c r="O77" s="1612">
        <v>1652546.1199999971</v>
      </c>
      <c r="P77" s="1612">
        <v>1358762.4099999992</v>
      </c>
      <c r="Q77" s="1612">
        <v>7936334.4500000002</v>
      </c>
      <c r="R77" s="1612">
        <v>824985.79000000085</v>
      </c>
      <c r="S77" s="1612">
        <v>678221.40999999945</v>
      </c>
      <c r="T77" s="1612">
        <v>1242574.5800000005</v>
      </c>
      <c r="U77" s="1612">
        <v>1041182.1100000001</v>
      </c>
      <c r="V77" s="1612">
        <v>1617054.9100000001</v>
      </c>
      <c r="W77" s="1612">
        <v>104171.80999999998</v>
      </c>
      <c r="X77" s="1612">
        <v>89564.490000000049</v>
      </c>
      <c r="Y77" s="1612">
        <v>532123.27000000083</v>
      </c>
      <c r="Z77" s="1612">
        <v>6202642.939999992</v>
      </c>
      <c r="AA77" s="1612">
        <v>77282.739999999976</v>
      </c>
      <c r="AB77" s="1612">
        <v>793058.70000000158</v>
      </c>
      <c r="AC77" s="1612">
        <v>2954080.0099999993</v>
      </c>
      <c r="AD77" s="1612">
        <v>117292.05000000012</v>
      </c>
      <c r="AE77" s="1612">
        <v>182130.47999999984</v>
      </c>
      <c r="AF77" s="1612">
        <v>1380298.63</v>
      </c>
      <c r="AG77" s="1612">
        <v>3672059.8400000026</v>
      </c>
      <c r="AH77" s="1612">
        <v>338810.35000000003</v>
      </c>
      <c r="AI77" s="1612">
        <v>56537.799999999959</v>
      </c>
      <c r="AJ77" s="1612">
        <v>4496879.290000001</v>
      </c>
      <c r="AK77" s="1612">
        <v>500588.1600000005</v>
      </c>
      <c r="AL77" s="1612">
        <v>43563.16000000004</v>
      </c>
      <c r="AM77" s="1612">
        <v>638181.5700000003</v>
      </c>
      <c r="AN77" s="1612">
        <v>6098441.5700000012</v>
      </c>
      <c r="AO77" s="1612">
        <v>841160.63000000012</v>
      </c>
      <c r="AP77" s="1612">
        <v>82997.61000000003</v>
      </c>
      <c r="AQ77" s="1612">
        <v>114735.85999999996</v>
      </c>
      <c r="AR77" s="1612">
        <v>46769.73000000004</v>
      </c>
      <c r="AS77" s="1612">
        <v>1759310.2299999988</v>
      </c>
      <c r="AT77" s="1612">
        <v>3338884.0299999984</v>
      </c>
      <c r="AU77" s="1612">
        <v>164304.08000000002</v>
      </c>
      <c r="AV77" s="1612">
        <v>632944.69000000006</v>
      </c>
      <c r="AW77" s="1612">
        <v>108352.3299999999</v>
      </c>
      <c r="AX77" s="1612">
        <v>44150.02999999997</v>
      </c>
      <c r="AY77" s="1612">
        <v>1559464.72</v>
      </c>
      <c r="AZ77" s="1612">
        <v>177487.46999999986</v>
      </c>
      <c r="BA77" s="1612">
        <v>2851579.4300000016</v>
      </c>
      <c r="BB77" s="1612">
        <v>1465440.94</v>
      </c>
      <c r="BC77" s="1612">
        <v>82646.490000000063</v>
      </c>
      <c r="BD77" s="1612">
        <v>66512.229999999981</v>
      </c>
      <c r="BE77" s="1612">
        <v>4729629.76</v>
      </c>
      <c r="BF77" s="1612">
        <v>2544060.2599999993</v>
      </c>
      <c r="BG77" s="1612">
        <v>4036041.6300000004</v>
      </c>
      <c r="BH77" s="1612">
        <v>2385481.7800000003</v>
      </c>
      <c r="BI77" s="1612">
        <v>4502839.3999999985</v>
      </c>
      <c r="BJ77" s="1938">
        <v>50392.589999999982</v>
      </c>
      <c r="BK77" s="1938">
        <v>945999.82</v>
      </c>
      <c r="BL77" s="1938">
        <v>203749.01</v>
      </c>
      <c r="BM77" s="1818">
        <f t="shared" si="5"/>
        <v>270974935.56999999</v>
      </c>
    </row>
    <row r="78" spans="1:86" s="679" customFormat="1">
      <c r="A78" s="1065"/>
      <c r="B78" s="437"/>
      <c r="C78" s="1065" t="s">
        <v>296</v>
      </c>
      <c r="D78" s="437" t="s">
        <v>1025</v>
      </c>
      <c r="E78" s="437" t="s">
        <v>1326</v>
      </c>
      <c r="F78" s="1728">
        <f t="shared" si="4"/>
        <v>274603060.88000005</v>
      </c>
      <c r="G78" s="1065"/>
      <c r="H78" s="1821">
        <v>15518053.699999971</v>
      </c>
      <c r="I78" s="1612">
        <v>-77672.310000000289</v>
      </c>
      <c r="J78" s="1612">
        <v>174392307.33000007</v>
      </c>
      <c r="K78" s="1612">
        <v>222385.06999999992</v>
      </c>
      <c r="L78" s="1612">
        <v>3377968.6100000008</v>
      </c>
      <c r="M78" s="1612">
        <v>1801109.5000000016</v>
      </c>
      <c r="N78" s="1612">
        <v>339206.33000000106</v>
      </c>
      <c r="O78" s="1612">
        <v>1666062.309999997</v>
      </c>
      <c r="P78" s="1612">
        <v>1370852.5799999991</v>
      </c>
      <c r="Q78" s="1612">
        <v>8005618.0800000001</v>
      </c>
      <c r="R78" s="1612">
        <v>832893.33000000089</v>
      </c>
      <c r="S78" s="1612">
        <v>685140.77999999945</v>
      </c>
      <c r="T78" s="1612">
        <v>1255038.7500000005</v>
      </c>
      <c r="U78" s="1612">
        <v>1053641.76</v>
      </c>
      <c r="V78" s="1612">
        <v>1644766.4200000002</v>
      </c>
      <c r="W78" s="1612">
        <v>105812.69999999998</v>
      </c>
      <c r="X78" s="1612">
        <v>91020.840000000055</v>
      </c>
      <c r="Y78" s="1612">
        <v>540808.30000000086</v>
      </c>
      <c r="Z78" s="1612">
        <v>6308886.2099999916</v>
      </c>
      <c r="AA78" s="1612">
        <v>78433.879999999976</v>
      </c>
      <c r="AB78" s="1612">
        <v>803436.38000000163</v>
      </c>
      <c r="AC78" s="1612">
        <v>3008234.6299999994</v>
      </c>
      <c r="AD78" s="1612">
        <v>119404.15000000013</v>
      </c>
      <c r="AE78" s="1612">
        <v>185236.34999999983</v>
      </c>
      <c r="AF78" s="1612">
        <v>1403346.97</v>
      </c>
      <c r="AG78" s="1612">
        <v>3735511.9200000027</v>
      </c>
      <c r="AH78" s="1612">
        <v>344633.77</v>
      </c>
      <c r="AI78" s="1612">
        <v>57534.259999999958</v>
      </c>
      <c r="AJ78" s="1612">
        <v>4573867.4300000006</v>
      </c>
      <c r="AK78" s="1612">
        <v>509237.86000000051</v>
      </c>
      <c r="AL78" s="1612">
        <v>44331.130000000041</v>
      </c>
      <c r="AM78" s="1612">
        <v>651249.62000000034</v>
      </c>
      <c r="AN78" s="1612">
        <v>6223096.2600000016</v>
      </c>
      <c r="AO78" s="1612">
        <v>857053.59000000008</v>
      </c>
      <c r="AP78" s="1612">
        <v>84557.350000000035</v>
      </c>
      <c r="AQ78" s="1612">
        <v>117358.91999999995</v>
      </c>
      <c r="AR78" s="1612">
        <v>47981.210000000043</v>
      </c>
      <c r="AS78" s="1612">
        <v>1799499.3899999987</v>
      </c>
      <c r="AT78" s="1612">
        <v>3415727.5799999982</v>
      </c>
      <c r="AU78" s="1612">
        <v>167981.56000000003</v>
      </c>
      <c r="AV78" s="1612">
        <v>646544.20000000007</v>
      </c>
      <c r="AW78" s="1612">
        <v>110747.86999999989</v>
      </c>
      <c r="AX78" s="1612">
        <v>45092.239999999969</v>
      </c>
      <c r="AY78" s="1612">
        <v>1600586.46</v>
      </c>
      <c r="AZ78" s="1612">
        <v>181405.08999999985</v>
      </c>
      <c r="BA78" s="1612">
        <v>2918397.3800000018</v>
      </c>
      <c r="BB78" s="1612">
        <v>1509204.5699999998</v>
      </c>
      <c r="BC78" s="1612">
        <v>84632.790000000066</v>
      </c>
      <c r="BD78" s="1612">
        <v>68151.349999999977</v>
      </c>
      <c r="BE78" s="1612">
        <v>4903216.88</v>
      </c>
      <c r="BF78" s="1612">
        <v>2648148.0199999991</v>
      </c>
      <c r="BG78" s="1612">
        <v>4150740.6700000004</v>
      </c>
      <c r="BH78" s="1612">
        <v>2454871.7700000005</v>
      </c>
      <c r="BI78" s="1612">
        <v>4657381.4599999981</v>
      </c>
      <c r="BJ78" s="1612">
        <v>52595.789999999979</v>
      </c>
      <c r="BK78" s="1938">
        <v>987977.79999999993</v>
      </c>
      <c r="BL78" s="1938">
        <v>221752.04</v>
      </c>
      <c r="BM78" s="1818">
        <f t="shared" si="5"/>
        <v>274603060.88000005</v>
      </c>
    </row>
    <row r="79" spans="1:86" s="679" customFormat="1">
      <c r="A79" s="1065"/>
      <c r="B79" s="1169"/>
      <c r="C79" s="1065" t="s">
        <v>1027</v>
      </c>
      <c r="D79" s="437" t="s">
        <v>1025</v>
      </c>
      <c r="E79" s="437" t="s">
        <v>1326</v>
      </c>
      <c r="F79" s="1728">
        <f t="shared" si="4"/>
        <v>278574030.80999994</v>
      </c>
      <c r="G79" s="1065"/>
      <c r="H79" s="1821">
        <v>15635953.609999971</v>
      </c>
      <c r="I79" s="1612">
        <v>-29515.190000000293</v>
      </c>
      <c r="J79" s="1612">
        <v>176454091.35999995</v>
      </c>
      <c r="K79" s="1612">
        <v>225250.34999999992</v>
      </c>
      <c r="L79" s="1612">
        <v>3425729.6900000009</v>
      </c>
      <c r="M79" s="1612">
        <v>1815261.2600000016</v>
      </c>
      <c r="N79" s="1612">
        <v>342573.16000000108</v>
      </c>
      <c r="O79" s="1612">
        <v>1679578.499999997</v>
      </c>
      <c r="P79" s="1612">
        <v>1382942.7499999991</v>
      </c>
      <c r="Q79" s="1612">
        <v>8074901.71</v>
      </c>
      <c r="R79" s="1612">
        <v>840800.87000000093</v>
      </c>
      <c r="S79" s="1612">
        <v>692060.14999999944</v>
      </c>
      <c r="T79" s="1612">
        <v>1267502.9200000004</v>
      </c>
      <c r="U79" s="1612">
        <v>1066250.74</v>
      </c>
      <c r="V79" s="1612">
        <v>1672477.9300000002</v>
      </c>
      <c r="W79" s="1612">
        <v>107453.58999999998</v>
      </c>
      <c r="X79" s="1612">
        <v>92477.190000000061</v>
      </c>
      <c r="Y79" s="1612">
        <v>549493.33000000089</v>
      </c>
      <c r="Z79" s="1612">
        <v>6415129.4799999911</v>
      </c>
      <c r="AA79" s="1612">
        <v>79585.019999999975</v>
      </c>
      <c r="AB79" s="1612">
        <v>813814.06000000169</v>
      </c>
      <c r="AC79" s="1612">
        <v>3062389.2499999995</v>
      </c>
      <c r="AD79" s="1612">
        <v>121516.25000000013</v>
      </c>
      <c r="AE79" s="1612">
        <v>188342.21999999983</v>
      </c>
      <c r="AF79" s="1612">
        <v>1426395.33</v>
      </c>
      <c r="AG79" s="1612">
        <v>3798964.0000000028</v>
      </c>
      <c r="AH79" s="1612">
        <v>350457.19</v>
      </c>
      <c r="AI79" s="1612">
        <v>58530.719999999958</v>
      </c>
      <c r="AJ79" s="1612">
        <v>4650855.57</v>
      </c>
      <c r="AK79" s="1612">
        <v>517887.56000000052</v>
      </c>
      <c r="AL79" s="1612">
        <v>45099.100000000042</v>
      </c>
      <c r="AM79" s="1612">
        <v>664423.02000000037</v>
      </c>
      <c r="AN79" s="1612">
        <v>6347755.0400000019</v>
      </c>
      <c r="AO79" s="1612">
        <v>872946.55</v>
      </c>
      <c r="AP79" s="1612">
        <v>86117.09000000004</v>
      </c>
      <c r="AQ79" s="1612">
        <v>119981.97999999995</v>
      </c>
      <c r="AR79" s="1612">
        <v>49192.690000000046</v>
      </c>
      <c r="AS79" s="1612">
        <v>1839688.5499999986</v>
      </c>
      <c r="AT79" s="1612">
        <v>3492571.129999998</v>
      </c>
      <c r="AU79" s="1612">
        <v>171659.04000000004</v>
      </c>
      <c r="AV79" s="1612">
        <v>660143.71000000008</v>
      </c>
      <c r="AW79" s="1612">
        <v>113143.40999999989</v>
      </c>
      <c r="AX79" s="1612">
        <v>46034.449999999968</v>
      </c>
      <c r="AY79" s="1612">
        <v>1641714.69</v>
      </c>
      <c r="AZ79" s="1612">
        <v>185322.70999999985</v>
      </c>
      <c r="BA79" s="1612">
        <v>2985215.3300000019</v>
      </c>
      <c r="BB79" s="1612">
        <v>1561565.17</v>
      </c>
      <c r="BC79" s="1612">
        <v>86619.090000000069</v>
      </c>
      <c r="BD79" s="1612">
        <v>69790.469999999972</v>
      </c>
      <c r="BE79" s="1612">
        <v>5077377.97</v>
      </c>
      <c r="BF79" s="1612">
        <v>2752243.7999999989</v>
      </c>
      <c r="BG79" s="1612">
        <v>4265439.99</v>
      </c>
      <c r="BH79" s="1612">
        <v>2524261.6900000004</v>
      </c>
      <c r="BI79" s="1612">
        <v>4811925.0599999977</v>
      </c>
      <c r="BJ79" s="1612">
        <v>54798.989999999976</v>
      </c>
      <c r="BK79" s="1612">
        <v>1029955.7799999999</v>
      </c>
      <c r="BL79" s="1612">
        <v>239893.74000000002</v>
      </c>
      <c r="BM79" s="1818">
        <f t="shared" si="5"/>
        <v>278574030.80999994</v>
      </c>
    </row>
    <row r="80" spans="1:86" s="679" customFormat="1">
      <c r="A80" s="1066"/>
      <c r="B80" s="437"/>
      <c r="C80" s="1066" t="s">
        <v>1028</v>
      </c>
      <c r="D80" s="437" t="s">
        <v>1025</v>
      </c>
      <c r="E80" s="437" t="s">
        <v>1326</v>
      </c>
      <c r="F80" s="1728">
        <f t="shared" si="4"/>
        <v>276333057.52000004</v>
      </c>
      <c r="G80" s="1065"/>
      <c r="H80" s="1821">
        <v>15742362.959999973</v>
      </c>
      <c r="I80" s="1612">
        <v>18644.389999999708</v>
      </c>
      <c r="J80" s="1612">
        <v>172543670.45000005</v>
      </c>
      <c r="K80" s="1612">
        <v>228115.62999999992</v>
      </c>
      <c r="L80" s="1612">
        <v>3473501.0200000009</v>
      </c>
      <c r="M80" s="1612">
        <v>1829413.0200000016</v>
      </c>
      <c r="N80" s="1612">
        <v>345939.9900000011</v>
      </c>
      <c r="O80" s="1612">
        <v>1693094.6899999969</v>
      </c>
      <c r="P80" s="1612">
        <v>1395032.919999999</v>
      </c>
      <c r="Q80" s="1612">
        <v>8144185.3399999999</v>
      </c>
      <c r="R80" s="1612">
        <v>848708.41000000096</v>
      </c>
      <c r="S80" s="1612">
        <v>698979.51999999944</v>
      </c>
      <c r="T80" s="1612">
        <v>1279967.0900000003</v>
      </c>
      <c r="U80" s="1612">
        <v>1079011.8500000001</v>
      </c>
      <c r="V80" s="1612">
        <v>1700189.4400000002</v>
      </c>
      <c r="W80" s="1612">
        <v>109094.47999999998</v>
      </c>
      <c r="X80" s="1612">
        <v>93933.540000000066</v>
      </c>
      <c r="Y80" s="1612">
        <v>558178.36000000092</v>
      </c>
      <c r="Z80" s="1612">
        <v>6521372.7499999907</v>
      </c>
      <c r="AA80" s="1612">
        <v>80736.159999999974</v>
      </c>
      <c r="AB80" s="1612">
        <v>824191.74000000174</v>
      </c>
      <c r="AC80" s="1612">
        <v>3116543.8699999996</v>
      </c>
      <c r="AD80" s="1612">
        <v>123628.35000000014</v>
      </c>
      <c r="AE80" s="1612">
        <v>191448.08999999982</v>
      </c>
      <c r="AF80" s="1612">
        <v>1449443.6900000002</v>
      </c>
      <c r="AG80" s="1612">
        <v>3862416.0800000029</v>
      </c>
      <c r="AH80" s="1612">
        <v>356280.61</v>
      </c>
      <c r="AI80" s="1612">
        <v>59527.179999999957</v>
      </c>
      <c r="AJ80" s="1612">
        <v>4727843.71</v>
      </c>
      <c r="AK80" s="1612">
        <v>526537.26000000047</v>
      </c>
      <c r="AL80" s="1612">
        <v>45867.070000000043</v>
      </c>
      <c r="AM80" s="1612">
        <v>677596.42000000039</v>
      </c>
      <c r="AN80" s="1612">
        <v>6473433.5600000015</v>
      </c>
      <c r="AO80" s="1612">
        <v>888839.51</v>
      </c>
      <c r="AP80" s="1612">
        <v>87676.830000000045</v>
      </c>
      <c r="AQ80" s="1612">
        <v>122605.03999999995</v>
      </c>
      <c r="AR80" s="1612">
        <v>50404.170000000049</v>
      </c>
      <c r="AS80" s="1612">
        <v>1879877.7099999986</v>
      </c>
      <c r="AT80" s="1612">
        <v>3569414.6799999978</v>
      </c>
      <c r="AU80" s="1612">
        <v>175336.52000000005</v>
      </c>
      <c r="AV80" s="1612">
        <v>673743.22000000009</v>
      </c>
      <c r="AW80" s="1612">
        <v>115538.94999999988</v>
      </c>
      <c r="AX80" s="1612">
        <v>46976.659999999967</v>
      </c>
      <c r="AY80" s="1612">
        <v>1682843.52</v>
      </c>
      <c r="AZ80" s="1612">
        <v>189240.32999999984</v>
      </c>
      <c r="BA80" s="1612">
        <v>3052033.2800000021</v>
      </c>
      <c r="BB80" s="1612">
        <v>1614192.6099999999</v>
      </c>
      <c r="BC80" s="1612">
        <v>88605.390000000072</v>
      </c>
      <c r="BD80" s="1612">
        <v>71429.589999999967</v>
      </c>
      <c r="BE80" s="1612">
        <v>5252219.71</v>
      </c>
      <c r="BF80" s="1612">
        <v>2856347.459999999</v>
      </c>
      <c r="BG80" s="1612">
        <v>4380138</v>
      </c>
      <c r="BH80" s="1612">
        <v>2593651.9300000006</v>
      </c>
      <c r="BI80" s="1612">
        <v>4966470.1899999976</v>
      </c>
      <c r="BJ80" s="1612">
        <v>57002.189999999973</v>
      </c>
      <c r="BK80" s="1612">
        <v>1071932.5599999998</v>
      </c>
      <c r="BL80" s="1612">
        <v>27647.830000000031</v>
      </c>
      <c r="BM80" s="1818">
        <f t="shared" si="5"/>
        <v>276333057.52000004</v>
      </c>
    </row>
    <row r="81" spans="1:65" s="679" customFormat="1">
      <c r="A81" s="1065"/>
      <c r="B81" s="1169"/>
      <c r="C81" s="1065" t="s">
        <v>1029</v>
      </c>
      <c r="D81" s="437" t="s">
        <v>1025</v>
      </c>
      <c r="E81" s="437" t="s">
        <v>1326</v>
      </c>
      <c r="F81" s="1728">
        <f t="shared" si="4"/>
        <v>280158177.86999971</v>
      </c>
      <c r="G81" s="1065"/>
      <c r="H81" s="1821">
        <v>15860274.439999973</v>
      </c>
      <c r="I81" s="1612">
        <v>66805.129999999714</v>
      </c>
      <c r="J81" s="1612">
        <v>174333344.64999995</v>
      </c>
      <c r="K81" s="1612">
        <v>230980.90999999992</v>
      </c>
      <c r="L81" s="1612">
        <v>3521287.1500000008</v>
      </c>
      <c r="M81" s="1612">
        <v>1843264.8300000017</v>
      </c>
      <c r="N81" s="1612">
        <v>349306.82000000111</v>
      </c>
      <c r="O81" s="1612">
        <v>1706610.8799999969</v>
      </c>
      <c r="P81" s="1612">
        <v>1407123.0899999989</v>
      </c>
      <c r="Q81" s="1612">
        <v>8213468.9699999997</v>
      </c>
      <c r="R81" s="1612">
        <v>856615.950000001</v>
      </c>
      <c r="S81" s="1612">
        <v>705898.88999999943</v>
      </c>
      <c r="T81" s="1612">
        <v>1292431.2600000002</v>
      </c>
      <c r="U81" s="1612">
        <v>1091776.4200000002</v>
      </c>
      <c r="V81" s="1612">
        <v>1727900.9500000002</v>
      </c>
      <c r="W81" s="1612">
        <v>110735.36999999998</v>
      </c>
      <c r="X81" s="1612">
        <v>95389.890000000072</v>
      </c>
      <c r="Y81" s="1612">
        <v>566863.39000000095</v>
      </c>
      <c r="Z81" s="1612">
        <v>6627616.0199999902</v>
      </c>
      <c r="AA81" s="1612">
        <v>81887.299999999974</v>
      </c>
      <c r="AB81" s="1612">
        <v>834569.42000000179</v>
      </c>
      <c r="AC81" s="1612">
        <v>3170698.4899999998</v>
      </c>
      <c r="AD81" s="1612">
        <v>125740.45000000014</v>
      </c>
      <c r="AE81" s="1612">
        <v>194553.95999999982</v>
      </c>
      <c r="AF81" s="1612">
        <v>1472492.07</v>
      </c>
      <c r="AG81" s="1612">
        <v>3925868.1600000029</v>
      </c>
      <c r="AH81" s="1612">
        <v>362104.02999999997</v>
      </c>
      <c r="AI81" s="1612">
        <v>60523.639999999956</v>
      </c>
      <c r="AJ81" s="1612">
        <v>4804831.8499999996</v>
      </c>
      <c r="AK81" s="1612">
        <v>535186.96000000043</v>
      </c>
      <c r="AL81" s="1612">
        <v>46635.040000000045</v>
      </c>
      <c r="AM81" s="1612">
        <v>690769.82000000041</v>
      </c>
      <c r="AN81" s="1612">
        <v>6600367.0100000016</v>
      </c>
      <c r="AO81" s="1612">
        <v>904732.47</v>
      </c>
      <c r="AP81" s="1612">
        <v>89236.570000000051</v>
      </c>
      <c r="AQ81" s="1612">
        <v>125228.09999999995</v>
      </c>
      <c r="AR81" s="1612">
        <v>51615.650000000052</v>
      </c>
      <c r="AS81" s="1612">
        <v>1920066.8699999985</v>
      </c>
      <c r="AT81" s="1612">
        <v>3646258.2299999977</v>
      </c>
      <c r="AU81" s="1612">
        <v>179014.00000000006</v>
      </c>
      <c r="AV81" s="1612">
        <v>687342.7300000001</v>
      </c>
      <c r="AW81" s="1612">
        <v>117934.48999999987</v>
      </c>
      <c r="AX81" s="1612">
        <v>47918.869999999966</v>
      </c>
      <c r="AY81" s="1612">
        <v>1725094.68</v>
      </c>
      <c r="AZ81" s="1612">
        <v>193157.94999999984</v>
      </c>
      <c r="BA81" s="1612">
        <v>3118851.2300000023</v>
      </c>
      <c r="BB81" s="1612">
        <v>1667168.2999999998</v>
      </c>
      <c r="BC81" s="1612">
        <v>90591.690000000075</v>
      </c>
      <c r="BD81" s="1612">
        <v>73068.709999999963</v>
      </c>
      <c r="BE81" s="1612">
        <v>5427935.9500000002</v>
      </c>
      <c r="BF81" s="1612">
        <v>2960451.189999999</v>
      </c>
      <c r="BG81" s="1612">
        <v>4494839.1100000003</v>
      </c>
      <c r="BH81" s="1612">
        <v>2662656.8300000005</v>
      </c>
      <c r="BI81" s="1612">
        <v>5121016.8699999973</v>
      </c>
      <c r="BJ81" s="1612">
        <v>179939.74999999997</v>
      </c>
      <c r="BK81" s="1612">
        <v>1113908.1499999999</v>
      </c>
      <c r="BL81" s="1612">
        <v>46226.270000000033</v>
      </c>
      <c r="BM81" s="1818">
        <f t="shared" si="5"/>
        <v>280158177.86999971</v>
      </c>
    </row>
    <row r="82" spans="1:65" s="679" customFormat="1">
      <c r="A82" s="1065"/>
      <c r="B82" s="1169"/>
      <c r="C82" s="1065" t="s">
        <v>1030</v>
      </c>
      <c r="D82" s="437" t="s">
        <v>1025</v>
      </c>
      <c r="E82" s="437" t="s">
        <v>1326</v>
      </c>
      <c r="F82" s="1728">
        <f t="shared" si="4"/>
        <v>283755358.87</v>
      </c>
      <c r="G82" s="1065"/>
      <c r="H82" s="1821">
        <v>15976960.989999972</v>
      </c>
      <c r="I82" s="1612">
        <v>114965.00999999972</v>
      </c>
      <c r="J82" s="1612">
        <v>176126286.42000005</v>
      </c>
      <c r="K82" s="1612">
        <v>233846.18999999992</v>
      </c>
      <c r="L82" s="1612">
        <v>3569084.6500000008</v>
      </c>
      <c r="M82" s="1612">
        <v>1856816.7000000018</v>
      </c>
      <c r="N82" s="1612">
        <v>352673.65000000113</v>
      </c>
      <c r="O82" s="1612">
        <v>1720127.0699999968</v>
      </c>
      <c r="P82" s="1612">
        <v>1419213.2599999988</v>
      </c>
      <c r="Q82" s="1612">
        <v>8282752.5999999996</v>
      </c>
      <c r="R82" s="1612">
        <v>864523.49000000104</v>
      </c>
      <c r="S82" s="1612">
        <v>697676.90999999945</v>
      </c>
      <c r="T82" s="1612">
        <v>1304895.4300000002</v>
      </c>
      <c r="U82" s="1612">
        <v>1104541.6300000001</v>
      </c>
      <c r="V82" s="1612">
        <v>1755612.4600000002</v>
      </c>
      <c r="W82" s="1612">
        <v>112376.25999999998</v>
      </c>
      <c r="X82" s="1612">
        <v>96846.240000000078</v>
      </c>
      <c r="Y82" s="1612">
        <v>575548.42000000097</v>
      </c>
      <c r="Z82" s="1612">
        <v>6694473.3899999904</v>
      </c>
      <c r="AA82" s="1612">
        <v>83038.439999999973</v>
      </c>
      <c r="AB82" s="1612">
        <v>844947.10000000184</v>
      </c>
      <c r="AC82" s="1612">
        <v>3224853.11</v>
      </c>
      <c r="AD82" s="1612">
        <v>127852.55000000015</v>
      </c>
      <c r="AE82" s="1612">
        <v>197659.82999999981</v>
      </c>
      <c r="AF82" s="1612">
        <v>1495540.45</v>
      </c>
      <c r="AG82" s="1612">
        <v>3989320.240000003</v>
      </c>
      <c r="AH82" s="1612">
        <v>367927.44999999995</v>
      </c>
      <c r="AI82" s="1612">
        <v>61520.099999999955</v>
      </c>
      <c r="AJ82" s="1612">
        <v>4881810.67</v>
      </c>
      <c r="AK82" s="1612">
        <v>543836.66000000038</v>
      </c>
      <c r="AL82" s="1612">
        <v>47403.010000000046</v>
      </c>
      <c r="AM82" s="1612">
        <v>703943.22000000044</v>
      </c>
      <c r="AN82" s="1612">
        <v>6727712.3200000012</v>
      </c>
      <c r="AO82" s="1612">
        <v>920625.42999999993</v>
      </c>
      <c r="AP82" s="1612">
        <v>90796.310000000056</v>
      </c>
      <c r="AQ82" s="1612">
        <v>127851.15999999995</v>
      </c>
      <c r="AR82" s="1612">
        <v>52827.130000000056</v>
      </c>
      <c r="AS82" s="1612">
        <v>1960256.0299999984</v>
      </c>
      <c r="AT82" s="1612">
        <v>3723101.7799999975</v>
      </c>
      <c r="AU82" s="1612">
        <v>182691.48000000007</v>
      </c>
      <c r="AV82" s="1612">
        <v>700942.24000000011</v>
      </c>
      <c r="AW82" s="1612">
        <v>120330.02999999987</v>
      </c>
      <c r="AX82" s="1612">
        <v>48861.079999999965</v>
      </c>
      <c r="AY82" s="1612">
        <v>1768560.8099999998</v>
      </c>
      <c r="AZ82" s="1612">
        <v>197075.56999999983</v>
      </c>
      <c r="BA82" s="1612">
        <v>3185669.1800000025</v>
      </c>
      <c r="BB82" s="1612">
        <v>1662227.3099999998</v>
      </c>
      <c r="BC82" s="1612">
        <v>92577.990000000078</v>
      </c>
      <c r="BD82" s="1612">
        <v>74707.829999999958</v>
      </c>
      <c r="BE82" s="1612">
        <v>5604325.4700000007</v>
      </c>
      <c r="BF82" s="1612">
        <v>3064554.9699999988</v>
      </c>
      <c r="BG82" s="1612">
        <v>4609539.5600000005</v>
      </c>
      <c r="BH82" s="1612">
        <v>2731661.7300000004</v>
      </c>
      <c r="BI82" s="1612">
        <v>5275565.0899999971</v>
      </c>
      <c r="BJ82" s="1612">
        <v>183582.07999999996</v>
      </c>
      <c r="BK82" s="1612">
        <v>1155883.75</v>
      </c>
      <c r="BL82" s="1612">
        <v>64558.940000000031</v>
      </c>
      <c r="BM82" s="1818">
        <f t="shared" si="5"/>
        <v>283755358.87</v>
      </c>
    </row>
    <row r="83" spans="1:65" s="679" customFormat="1">
      <c r="A83" s="1066"/>
      <c r="B83" s="1169"/>
      <c r="C83" s="1066" t="s">
        <v>1035</v>
      </c>
      <c r="D83" s="437" t="s">
        <v>1025</v>
      </c>
      <c r="E83" s="437" t="s">
        <v>1326</v>
      </c>
      <c r="F83" s="1728">
        <f t="shared" si="4"/>
        <v>287408099.9000001</v>
      </c>
      <c r="G83" s="1065"/>
      <c r="H83" s="1821">
        <v>16094874.219999973</v>
      </c>
      <c r="I83" s="1612">
        <v>163215.9299999997</v>
      </c>
      <c r="J83" s="1612">
        <v>177875771.02000004</v>
      </c>
      <c r="K83" s="1612">
        <v>236711.46999999991</v>
      </c>
      <c r="L83" s="1612">
        <v>3616887.6900000009</v>
      </c>
      <c r="M83" s="1612">
        <v>1870368.5700000019</v>
      </c>
      <c r="N83" s="1612">
        <v>356040.48000000115</v>
      </c>
      <c r="O83" s="1612">
        <v>1733643.2599999967</v>
      </c>
      <c r="P83" s="1612">
        <v>1431303.4299999988</v>
      </c>
      <c r="Q83" s="1612">
        <v>8352036.2299999995</v>
      </c>
      <c r="R83" s="1612">
        <v>872431.03000000108</v>
      </c>
      <c r="S83" s="1612">
        <v>704588.92999999947</v>
      </c>
      <c r="T83" s="1612">
        <v>1317359.6000000001</v>
      </c>
      <c r="U83" s="1612">
        <v>1117306.8600000001</v>
      </c>
      <c r="V83" s="1612">
        <v>1783323.9700000002</v>
      </c>
      <c r="W83" s="1612">
        <v>114017.14999999998</v>
      </c>
      <c r="X83" s="1612">
        <v>98302.590000000084</v>
      </c>
      <c r="Y83" s="1612">
        <v>584217.79000000097</v>
      </c>
      <c r="Z83" s="1612">
        <v>6800716.6599999899</v>
      </c>
      <c r="AA83" s="1612">
        <v>84189.579999999973</v>
      </c>
      <c r="AB83" s="1612">
        <v>855324.78000000189</v>
      </c>
      <c r="AC83" s="1612">
        <v>3279007.73</v>
      </c>
      <c r="AD83" s="1612">
        <v>129964.65000000015</v>
      </c>
      <c r="AE83" s="1612">
        <v>200765.69999999981</v>
      </c>
      <c r="AF83" s="1612">
        <v>1518588.8499999999</v>
      </c>
      <c r="AG83" s="1612">
        <v>4052772.3200000031</v>
      </c>
      <c r="AH83" s="1612">
        <v>373750.86999999994</v>
      </c>
      <c r="AI83" s="1612">
        <v>62516.559999999954</v>
      </c>
      <c r="AJ83" s="1612">
        <v>4958780.18</v>
      </c>
      <c r="AK83" s="1612">
        <v>552486.36000000034</v>
      </c>
      <c r="AL83" s="1612">
        <v>48170.980000000047</v>
      </c>
      <c r="AM83" s="1612">
        <v>717116.62000000046</v>
      </c>
      <c r="AN83" s="1612">
        <v>6855528.5900000008</v>
      </c>
      <c r="AO83" s="1612">
        <v>936518.3899999999</v>
      </c>
      <c r="AP83" s="1612">
        <v>92356.050000000061</v>
      </c>
      <c r="AQ83" s="1612">
        <v>130474.21999999994</v>
      </c>
      <c r="AR83" s="1612">
        <v>54038.610000000059</v>
      </c>
      <c r="AS83" s="1612">
        <v>2000445.1899999983</v>
      </c>
      <c r="AT83" s="1612">
        <v>3787918.0599999973</v>
      </c>
      <c r="AU83" s="1612">
        <v>186368.96000000008</v>
      </c>
      <c r="AV83" s="1612">
        <v>714541.75000000012</v>
      </c>
      <c r="AW83" s="1612">
        <v>122725.56999999986</v>
      </c>
      <c r="AX83" s="1612">
        <v>49803.289999999964</v>
      </c>
      <c r="AY83" s="1612">
        <v>1812250.4799999997</v>
      </c>
      <c r="AZ83" s="1612">
        <v>200993.18999999983</v>
      </c>
      <c r="BA83" s="1612">
        <v>3252487.1300000027</v>
      </c>
      <c r="BB83" s="1612">
        <v>1711504.2499999998</v>
      </c>
      <c r="BC83" s="1612">
        <v>94564.290000000081</v>
      </c>
      <c r="BD83" s="1612">
        <v>76346.949999999953</v>
      </c>
      <c r="BE83" s="1612">
        <v>5781100.1600000011</v>
      </c>
      <c r="BF83" s="1612">
        <v>3168658.7999999989</v>
      </c>
      <c r="BG83" s="1612">
        <v>4724239.37</v>
      </c>
      <c r="BH83" s="1612">
        <v>2800666.6400000006</v>
      </c>
      <c r="BI83" s="1612">
        <v>5430114.7899999972</v>
      </c>
      <c r="BJ83" s="1612">
        <v>187224.40999999995</v>
      </c>
      <c r="BK83" s="1612">
        <v>1197859.3500000001</v>
      </c>
      <c r="BL83" s="1612">
        <v>82819.350000000035</v>
      </c>
      <c r="BM83" s="1818">
        <f t="shared" si="5"/>
        <v>287408099.9000001</v>
      </c>
    </row>
    <row r="84" spans="1:65" s="679" customFormat="1">
      <c r="A84" s="1066"/>
      <c r="B84" s="1169"/>
      <c r="C84" s="1066" t="s">
        <v>1032</v>
      </c>
      <c r="D84" s="437" t="s">
        <v>1025</v>
      </c>
      <c r="E84" s="437" t="s">
        <v>1326</v>
      </c>
      <c r="F84" s="1728">
        <f t="shared" si="4"/>
        <v>291088830.22999996</v>
      </c>
      <c r="G84" s="1065"/>
      <c r="H84" s="1821">
        <v>16212790.569999972</v>
      </c>
      <c r="I84" s="1612">
        <v>211559.03999999969</v>
      </c>
      <c r="J84" s="1612">
        <v>179639438.97000003</v>
      </c>
      <c r="K84" s="1612">
        <v>239576.74999999991</v>
      </c>
      <c r="L84" s="1612">
        <v>3664702.0200000009</v>
      </c>
      <c r="M84" s="1612">
        <v>1883920.440000002</v>
      </c>
      <c r="N84" s="1612">
        <v>359407.31000000116</v>
      </c>
      <c r="O84" s="1612">
        <v>1747159.4499999967</v>
      </c>
      <c r="P84" s="1612">
        <v>1443393.5999999987</v>
      </c>
      <c r="Q84" s="1612">
        <v>8421319.8599999994</v>
      </c>
      <c r="R84" s="1612">
        <v>880338.57000000111</v>
      </c>
      <c r="S84" s="1612">
        <v>711500.94999999949</v>
      </c>
      <c r="T84" s="1612">
        <v>1329823.77</v>
      </c>
      <c r="U84" s="1612">
        <v>1130072.0900000001</v>
      </c>
      <c r="V84" s="1612">
        <v>1811035.4800000002</v>
      </c>
      <c r="W84" s="1612">
        <v>115658.03999999998</v>
      </c>
      <c r="X84" s="1612">
        <v>99758.94000000009</v>
      </c>
      <c r="Y84" s="1612">
        <v>592887.16000000096</v>
      </c>
      <c r="Z84" s="1612">
        <v>6906959.9299999895</v>
      </c>
      <c r="AA84" s="1612">
        <v>85340.719999999972</v>
      </c>
      <c r="AB84" s="1612">
        <v>865702.46000000194</v>
      </c>
      <c r="AC84" s="1612">
        <v>3333541.24</v>
      </c>
      <c r="AD84" s="1612">
        <v>132076.75000000015</v>
      </c>
      <c r="AE84" s="1612">
        <v>203871.5699999998</v>
      </c>
      <c r="AF84" s="1612">
        <v>1541637.2499999998</v>
      </c>
      <c r="AG84" s="1612">
        <v>4116224.4000000032</v>
      </c>
      <c r="AH84" s="1612">
        <v>379574.28999999992</v>
      </c>
      <c r="AI84" s="1612">
        <v>63513.019999999953</v>
      </c>
      <c r="AJ84" s="1612">
        <v>5035749.6899999995</v>
      </c>
      <c r="AK84" s="1612">
        <v>561136.06000000029</v>
      </c>
      <c r="AL84" s="1612">
        <v>48938.950000000048</v>
      </c>
      <c r="AM84" s="1612">
        <v>730290.02000000048</v>
      </c>
      <c r="AN84" s="1612">
        <v>6984004.0100000007</v>
      </c>
      <c r="AO84" s="1612">
        <v>952411.34999999986</v>
      </c>
      <c r="AP84" s="1612">
        <v>93915.790000000066</v>
      </c>
      <c r="AQ84" s="1612">
        <v>133097.27999999994</v>
      </c>
      <c r="AR84" s="1612">
        <v>55250.090000000062</v>
      </c>
      <c r="AS84" s="1612">
        <v>2040634.3499999982</v>
      </c>
      <c r="AT84" s="1612">
        <v>3864761.6099999971</v>
      </c>
      <c r="AU84" s="1612">
        <v>190046.44000000009</v>
      </c>
      <c r="AV84" s="1612">
        <v>728141.26000000013</v>
      </c>
      <c r="AW84" s="1612">
        <v>125121.10999999986</v>
      </c>
      <c r="AX84" s="1612">
        <v>50745.499999999964</v>
      </c>
      <c r="AY84" s="1612">
        <v>1856083.7699999998</v>
      </c>
      <c r="AZ84" s="1612">
        <v>204910.80999999982</v>
      </c>
      <c r="BA84" s="1612">
        <v>3319305.0800000029</v>
      </c>
      <c r="BB84" s="1612">
        <v>1760910.4799999997</v>
      </c>
      <c r="BC84" s="1612">
        <v>96550.590000000084</v>
      </c>
      <c r="BD84" s="1612">
        <v>77986.069999999949</v>
      </c>
      <c r="BE84" s="1612">
        <v>5958234.5200000014</v>
      </c>
      <c r="BF84" s="1612">
        <v>3272762.6799999988</v>
      </c>
      <c r="BG84" s="1612">
        <v>4838939.1900000004</v>
      </c>
      <c r="BH84" s="1612">
        <v>2869672.0400000005</v>
      </c>
      <c r="BI84" s="1612">
        <v>5584666.2299999977</v>
      </c>
      <c r="BJ84" s="1612">
        <v>190866.73999999993</v>
      </c>
      <c r="BK84" s="1612">
        <v>1239834.0900000001</v>
      </c>
      <c r="BL84" s="1612">
        <v>101079.79000000004</v>
      </c>
      <c r="BM84" s="1818">
        <f t="shared" si="5"/>
        <v>291088830.22999996</v>
      </c>
    </row>
    <row r="85" spans="1:65" s="679" customFormat="1" ht="15">
      <c r="A85" s="1065"/>
      <c r="B85" s="437"/>
      <c r="C85" s="1190" t="s">
        <v>1023</v>
      </c>
      <c r="D85" s="1177" t="s">
        <v>215</v>
      </c>
      <c r="E85" s="1170" t="s">
        <v>1326</v>
      </c>
      <c r="F85" s="1728">
        <f>SUM(H85:BL85)</f>
        <v>294797493.99999994</v>
      </c>
      <c r="G85" s="1065">
        <f>+F85</f>
        <v>294797493.99999994</v>
      </c>
      <c r="H85" s="1822">
        <v>16330708.769999972</v>
      </c>
      <c r="I85" s="1609">
        <v>259904.9899999997</v>
      </c>
      <c r="J85" s="1609">
        <v>181429776.17000005</v>
      </c>
      <c r="K85" s="1609">
        <v>242442.02999999991</v>
      </c>
      <c r="L85" s="1609">
        <v>3712541.330000001</v>
      </c>
      <c r="M85" s="1609">
        <v>1897472.3100000022</v>
      </c>
      <c r="N85" s="1609">
        <v>362774.14000000118</v>
      </c>
      <c r="O85" s="1609">
        <v>1760675.6399999966</v>
      </c>
      <c r="P85" s="1609">
        <v>1455483.7699999986</v>
      </c>
      <c r="Q85" s="1609">
        <v>8490623.75</v>
      </c>
      <c r="R85" s="1609">
        <v>888246.11000000115</v>
      </c>
      <c r="S85" s="1609">
        <v>718412.96999999951</v>
      </c>
      <c r="T85" s="1609">
        <v>1342287.94</v>
      </c>
      <c r="U85" s="1609">
        <v>1142837.4300000002</v>
      </c>
      <c r="V85" s="1609">
        <v>1838746.9900000002</v>
      </c>
      <c r="W85" s="1609">
        <v>117298.92999999998</v>
      </c>
      <c r="X85" s="1609">
        <v>101215.2900000001</v>
      </c>
      <c r="Y85" s="1609">
        <v>601556.53000000096</v>
      </c>
      <c r="Z85" s="1609">
        <v>7013203.199999989</v>
      </c>
      <c r="AA85" s="1609">
        <v>86491.859999999971</v>
      </c>
      <c r="AB85" s="1609">
        <v>876080.14000000199</v>
      </c>
      <c r="AC85" s="1609">
        <v>3388561.16</v>
      </c>
      <c r="AD85" s="1609">
        <v>134188.85000000015</v>
      </c>
      <c r="AE85" s="1609">
        <v>206977.4399999998</v>
      </c>
      <c r="AF85" s="1609">
        <v>1564685.6699999997</v>
      </c>
      <c r="AG85" s="1609">
        <v>4179676.4800000032</v>
      </c>
      <c r="AH85" s="1609">
        <v>385397.7099999999</v>
      </c>
      <c r="AI85" s="1609">
        <v>64509.479999999952</v>
      </c>
      <c r="AJ85" s="1609">
        <v>5112719.1999999993</v>
      </c>
      <c r="AK85" s="1609">
        <v>569785.76000000024</v>
      </c>
      <c r="AL85" s="1609">
        <v>49706.920000000049</v>
      </c>
      <c r="AM85" s="1609">
        <v>743463.42000000051</v>
      </c>
      <c r="AN85" s="1609">
        <v>7112911.5500000007</v>
      </c>
      <c r="AO85" s="1609">
        <v>968304.30999999982</v>
      </c>
      <c r="AP85" s="1609">
        <v>95475.530000000072</v>
      </c>
      <c r="AQ85" s="1612">
        <v>135720.33999999994</v>
      </c>
      <c r="AR85" s="1612">
        <v>56461.570000000065</v>
      </c>
      <c r="AS85" s="1612">
        <v>2080823.5099999981</v>
      </c>
      <c r="AT85" s="1612">
        <v>3941605.1599999969</v>
      </c>
      <c r="AU85" s="1612">
        <v>193723.9200000001</v>
      </c>
      <c r="AV85" s="1612">
        <v>741740.77000000014</v>
      </c>
      <c r="AW85" s="1612">
        <v>127516.64999999985</v>
      </c>
      <c r="AX85" s="1612">
        <v>51687.709999999963</v>
      </c>
      <c r="AY85" s="1612">
        <v>1899936.4799999997</v>
      </c>
      <c r="AZ85" s="1612">
        <v>208828.42999999982</v>
      </c>
      <c r="BA85" s="1612">
        <v>3386123.0300000031</v>
      </c>
      <c r="BB85" s="1612">
        <v>1810401.9699999997</v>
      </c>
      <c r="BC85" s="1612">
        <v>98536.890000000087</v>
      </c>
      <c r="BD85" s="1612">
        <v>79625.189999999944</v>
      </c>
      <c r="BE85" s="1609">
        <v>6135540.1900000013</v>
      </c>
      <c r="BF85" s="1609">
        <v>3376866.7599999988</v>
      </c>
      <c r="BG85" s="1609">
        <v>4953641.5600000005</v>
      </c>
      <c r="BH85" s="1609">
        <v>2938677.9200000004</v>
      </c>
      <c r="BI85" s="1609">
        <v>5739219.3999999976</v>
      </c>
      <c r="BJ85" s="1609">
        <v>194509.06999999992</v>
      </c>
      <c r="BK85" s="1609">
        <v>1281819.75</v>
      </c>
      <c r="BL85" s="1609">
        <v>119343.96000000004</v>
      </c>
      <c r="BM85" s="1819">
        <f>SUM(H85:BL85)</f>
        <v>294797493.99999994</v>
      </c>
    </row>
    <row r="86" spans="1:65" s="679" customFormat="1" ht="14.4" thickBot="1">
      <c r="A86" s="1065">
        <v>23</v>
      </c>
      <c r="B86" s="1169"/>
      <c r="C86" s="1188" t="s">
        <v>607</v>
      </c>
      <c r="D86" s="437"/>
      <c r="E86" s="437"/>
      <c r="F86" s="1186">
        <f>AVERAGE(F73:F85)</f>
        <v>275769422.90692306</v>
      </c>
      <c r="G86" s="1187">
        <f>+G85</f>
        <v>294797493.99999994</v>
      </c>
      <c r="H86" s="1841">
        <f>AVERAGE(H73:H85)</f>
        <v>15631043.315384587</v>
      </c>
      <c r="I86" s="1842">
        <f>AVERAGE(I73:I85)</f>
        <v>-29381.389230769535</v>
      </c>
      <c r="J86" s="1842">
        <f>AVERAGE(J73:J85)</f>
        <v>173724064.04153851</v>
      </c>
      <c r="K86" s="1842">
        <f t="shared" ref="K86:S86" si="6">AVERAGE(K73:K85)</f>
        <v>225250.34999999989</v>
      </c>
      <c r="L86" s="1842">
        <f t="shared" si="6"/>
        <v>3425896.9000000008</v>
      </c>
      <c r="M86" s="1838">
        <f t="shared" si="6"/>
        <v>1814684.4407692323</v>
      </c>
      <c r="N86" s="1838">
        <f t="shared" si="6"/>
        <v>342573.16000000108</v>
      </c>
      <c r="O86" s="1838">
        <f t="shared" si="6"/>
        <v>1679578.4999999967</v>
      </c>
      <c r="P86" s="1838">
        <f t="shared" si="6"/>
        <v>1382942.7499999991</v>
      </c>
      <c r="Q86" s="1838">
        <f t="shared" si="6"/>
        <v>8074903.2684615385</v>
      </c>
      <c r="R86" s="1838">
        <f t="shared" si="6"/>
        <v>840800.87000000093</v>
      </c>
      <c r="S86" s="1838">
        <f t="shared" si="6"/>
        <v>687397.88076923031</v>
      </c>
      <c r="T86" s="1839">
        <f>AVERAGE(T73:T85)</f>
        <v>1267502.9200000002</v>
      </c>
      <c r="U86" s="1839">
        <f t="shared" ref="U86:BK86" si="7">AVERAGE(U73:U85)</f>
        <v>1066673.2946153847</v>
      </c>
      <c r="V86" s="1839">
        <f t="shared" si="7"/>
        <v>1672477.9300000002</v>
      </c>
      <c r="W86" s="1839">
        <f t="shared" si="7"/>
        <v>107453.58999999998</v>
      </c>
      <c r="X86" s="1839">
        <f t="shared" si="7"/>
        <v>92477.190000000046</v>
      </c>
      <c r="Y86" s="1839">
        <f t="shared" si="7"/>
        <v>549486.10230769322</v>
      </c>
      <c r="Z86" s="1839">
        <f t="shared" si="7"/>
        <v>6403010.7415384538</v>
      </c>
      <c r="AA86" s="1839">
        <f t="shared" si="7"/>
        <v>79585.019999999975</v>
      </c>
      <c r="AB86" s="1839">
        <f t="shared" si="7"/>
        <v>813814.06000000169</v>
      </c>
      <c r="AC86" s="1839">
        <f t="shared" si="7"/>
        <v>3062515.8823076924</v>
      </c>
      <c r="AD86" s="1839">
        <f t="shared" si="7"/>
        <v>121516.25000000013</v>
      </c>
      <c r="AE86" s="1839">
        <f t="shared" si="7"/>
        <v>188342.2199999998</v>
      </c>
      <c r="AF86" s="1839">
        <f t="shared" si="7"/>
        <v>1426395.442307692</v>
      </c>
      <c r="AG86" s="1839">
        <f t="shared" si="7"/>
        <v>3798964.0000000028</v>
      </c>
      <c r="AH86" s="1839">
        <f t="shared" si="7"/>
        <v>350457.19</v>
      </c>
      <c r="AI86" s="1839">
        <f t="shared" si="7"/>
        <v>58530.719999999958</v>
      </c>
      <c r="AJ86" s="1839">
        <f t="shared" si="7"/>
        <v>4650844.1038461542</v>
      </c>
      <c r="AK86" s="1839">
        <f t="shared" si="7"/>
        <v>517887.56000000041</v>
      </c>
      <c r="AL86" s="1839">
        <f t="shared" si="7"/>
        <v>45099.100000000042</v>
      </c>
      <c r="AM86" s="1839">
        <f t="shared" si="7"/>
        <v>664495.95461538492</v>
      </c>
      <c r="AN86" s="1839">
        <f t="shared" si="7"/>
        <v>6351593.0092307692</v>
      </c>
      <c r="AO86" s="1839">
        <f t="shared" si="7"/>
        <v>872946.55</v>
      </c>
      <c r="AP86" s="1839">
        <f t="shared" si="7"/>
        <v>86117.090000000055</v>
      </c>
      <c r="AQ86" s="1839">
        <f t="shared" si="7"/>
        <v>119981.97999999997</v>
      </c>
      <c r="AR86" s="1839">
        <f t="shared" si="7"/>
        <v>49192.690000000053</v>
      </c>
      <c r="AS86" s="1839">
        <f t="shared" si="7"/>
        <v>1839688.5499999986</v>
      </c>
      <c r="AT86" s="1839">
        <f t="shared" si="7"/>
        <v>3489795.6061538439</v>
      </c>
      <c r="AU86" s="1839">
        <f t="shared" si="7"/>
        <v>171659.04000000004</v>
      </c>
      <c r="AV86" s="1839">
        <f t="shared" si="7"/>
        <v>660143.71000000008</v>
      </c>
      <c r="AW86" s="1839">
        <f t="shared" si="7"/>
        <v>113143.4099999999</v>
      </c>
      <c r="AX86" s="1839">
        <f t="shared" si="7"/>
        <v>46034.449999999961</v>
      </c>
      <c r="AY86" s="1839">
        <f t="shared" si="7"/>
        <v>1644101.4507692307</v>
      </c>
      <c r="AZ86" s="1839">
        <f t="shared" si="7"/>
        <v>185322.70999999982</v>
      </c>
      <c r="BA86" s="1839">
        <f t="shared" si="7"/>
        <v>2985215.3300000015</v>
      </c>
      <c r="BB86" s="1839">
        <f t="shared" si="7"/>
        <v>1559452.5146153844</v>
      </c>
      <c r="BC86" s="1839">
        <f t="shared" si="7"/>
        <v>86619.090000000069</v>
      </c>
      <c r="BD86" s="1839">
        <f t="shared" si="7"/>
        <v>69790.469999999972</v>
      </c>
      <c r="BE86" s="1839">
        <f t="shared" si="7"/>
        <v>5081532.2069230778</v>
      </c>
      <c r="BF86" s="1839">
        <f t="shared" si="7"/>
        <v>2752267.9638461526</v>
      </c>
      <c r="BG86" s="1839">
        <f t="shared" si="7"/>
        <v>4265443.6853846153</v>
      </c>
      <c r="BH86" s="1839">
        <f t="shared" si="7"/>
        <v>2523818.3353846157</v>
      </c>
      <c r="BI86" s="1839">
        <f t="shared" si="7"/>
        <v>4811935.8661538446</v>
      </c>
      <c r="BJ86" s="1839">
        <f t="shared" si="7"/>
        <v>102342.30538461535</v>
      </c>
      <c r="BK86" s="1839">
        <f t="shared" si="7"/>
        <v>1029953.1184615383</v>
      </c>
      <c r="BL86" s="1838">
        <f>AVERAGE(BL73:BL85)</f>
        <v>134048.41538461539</v>
      </c>
      <c r="BM86" s="1817">
        <f>AVERAGE(BM73:BM85)</f>
        <v>275769422.90692306</v>
      </c>
    </row>
    <row r="87" spans="1:65" s="679" customFormat="1" ht="27" thickTop="1">
      <c r="A87" s="1065"/>
      <c r="B87" s="1169"/>
      <c r="C87" s="1065"/>
      <c r="D87" s="437"/>
      <c r="E87" s="437"/>
      <c r="F87" s="1178" t="s">
        <v>476</v>
      </c>
      <c r="G87" s="1189" t="s">
        <v>476</v>
      </c>
      <c r="H87" s="1369"/>
      <c r="I87" s="1372"/>
      <c r="J87" s="1372"/>
      <c r="K87" s="1372"/>
      <c r="L87" s="1372"/>
      <c r="M87" s="1372"/>
      <c r="N87" s="1248"/>
      <c r="O87" s="1372"/>
      <c r="P87" s="1370"/>
      <c r="Q87" s="1371"/>
      <c r="R87" s="684"/>
      <c r="S87" s="684"/>
      <c r="T87" s="1212"/>
      <c r="U87" s="1217"/>
      <c r="V87" s="1212"/>
      <c r="W87" s="1212"/>
      <c r="X87" s="1212"/>
      <c r="Y87" s="1212"/>
      <c r="Z87" s="1212"/>
      <c r="AA87" s="1212"/>
      <c r="AB87" s="1212"/>
      <c r="AC87" s="1212"/>
      <c r="AD87" s="1212"/>
      <c r="AE87" s="1212"/>
      <c r="AF87" s="1212"/>
      <c r="AG87" s="1212"/>
      <c r="AH87" s="1212"/>
      <c r="AI87" s="1212"/>
      <c r="AJ87" s="1212"/>
      <c r="AK87" s="1212"/>
      <c r="AL87" s="1212"/>
      <c r="AM87" s="1212"/>
      <c r="AN87" s="1212"/>
      <c r="AO87" s="1212"/>
      <c r="AP87" s="1212"/>
      <c r="AQ87" s="1212"/>
      <c r="AR87" s="1212"/>
      <c r="AS87" s="1212"/>
      <c r="AT87" s="1212"/>
      <c r="AU87" s="1212"/>
      <c r="AV87" s="1213"/>
      <c r="AW87" s="1212"/>
      <c r="AX87" s="1212"/>
      <c r="AY87" s="1212"/>
      <c r="AZ87" s="1212"/>
      <c r="BA87" s="1212"/>
      <c r="BB87" s="1212"/>
      <c r="BC87" s="1212"/>
      <c r="BD87" s="1212"/>
      <c r="BE87" s="1212"/>
      <c r="BF87" s="1212"/>
      <c r="BG87" s="1212"/>
      <c r="BH87" s="1212"/>
      <c r="BI87" s="1212"/>
      <c r="BJ87" s="1212"/>
      <c r="BK87" s="1212"/>
      <c r="BL87" s="1212"/>
    </row>
    <row r="88" spans="1:65" s="679" customFormat="1">
      <c r="A88" s="1066"/>
      <c r="B88" s="437"/>
      <c r="C88" s="1231" t="s">
        <v>2</v>
      </c>
      <c r="D88" s="437" t="s">
        <v>1022</v>
      </c>
      <c r="E88" s="1169"/>
      <c r="F88" s="1169"/>
      <c r="G88" s="1065"/>
      <c r="H88" s="1741"/>
      <c r="I88" s="1390"/>
      <c r="J88" s="1390"/>
      <c r="K88" s="1390"/>
      <c r="L88" s="1390"/>
      <c r="M88" s="1390"/>
      <c r="N88" s="1390"/>
      <c r="O88" s="1390"/>
      <c r="P88" s="1390"/>
      <c r="Q88" s="1390"/>
      <c r="R88" s="1390"/>
      <c r="S88" s="1389" t="s">
        <v>525</v>
      </c>
      <c r="T88" s="1301" t="s">
        <v>525</v>
      </c>
      <c r="U88" s="1212"/>
      <c r="V88" s="1212"/>
      <c r="W88" s="1212"/>
      <c r="X88" s="1212"/>
      <c r="Y88" s="1212"/>
      <c r="Z88" s="1212"/>
      <c r="AA88" s="1212"/>
      <c r="AB88" s="1212"/>
      <c r="AC88" s="1212"/>
      <c r="AD88" s="1212"/>
      <c r="AE88" s="1212"/>
      <c r="AF88" s="1212"/>
      <c r="AG88" s="1212"/>
      <c r="AH88" s="1212"/>
      <c r="AI88" s="1212"/>
      <c r="AJ88" s="1212"/>
      <c r="AK88" s="1212"/>
      <c r="AL88" s="1212"/>
      <c r="AM88" s="1212"/>
      <c r="AN88" s="1212"/>
      <c r="AO88" s="1212"/>
      <c r="AP88" s="1212"/>
      <c r="AQ88" s="1212"/>
      <c r="AR88" s="1212"/>
      <c r="AS88" s="1212"/>
      <c r="AT88" s="1212"/>
      <c r="AU88" s="1212"/>
      <c r="AV88" s="1213"/>
      <c r="AW88" s="1212"/>
      <c r="AX88" s="1212"/>
      <c r="AY88" s="1212"/>
      <c r="AZ88" s="1212"/>
      <c r="BA88" s="1212"/>
      <c r="BB88" s="1212"/>
      <c r="BC88" s="1212"/>
      <c r="BD88" s="1212"/>
      <c r="BE88" s="1212"/>
      <c r="BF88" s="1212"/>
      <c r="BG88" s="1212"/>
      <c r="BH88" s="1212"/>
      <c r="BI88" s="1212"/>
      <c r="BJ88" s="1212"/>
      <c r="BK88" s="1212"/>
      <c r="BL88" s="1212"/>
    </row>
    <row r="89" spans="1:65" s="679" customFormat="1">
      <c r="A89" s="1066"/>
      <c r="B89" s="1169"/>
      <c r="C89" s="1066" t="s">
        <v>1023</v>
      </c>
      <c r="D89" s="437" t="s">
        <v>216</v>
      </c>
      <c r="E89" s="1991" t="s">
        <v>1278</v>
      </c>
      <c r="F89" s="545">
        <v>0</v>
      </c>
      <c r="G89" s="1065"/>
      <c r="H89" s="1218"/>
      <c r="I89" s="1209"/>
      <c r="J89" s="1209"/>
      <c r="K89" s="1209"/>
      <c r="L89" s="1209"/>
      <c r="M89" s="1209"/>
      <c r="N89" s="1209"/>
      <c r="O89" s="1209"/>
      <c r="P89" s="1209"/>
      <c r="Q89" s="1209"/>
      <c r="R89" s="1209"/>
      <c r="S89" s="1316"/>
      <c r="T89" s="1316"/>
      <c r="U89" s="1217"/>
      <c r="V89" s="1212"/>
      <c r="W89" s="1212"/>
      <c r="X89" s="1212"/>
      <c r="Y89" s="1212"/>
      <c r="Z89" s="1212"/>
      <c r="AA89" s="1212"/>
      <c r="AB89" s="1212"/>
      <c r="AC89" s="1212"/>
      <c r="AD89" s="1212"/>
      <c r="AE89" s="1212"/>
      <c r="AF89" s="1212"/>
      <c r="AG89" s="1212"/>
      <c r="AH89" s="1212"/>
      <c r="AI89" s="1212"/>
      <c r="AJ89" s="1212"/>
      <c r="AK89" s="1212"/>
      <c r="AL89" s="1212"/>
      <c r="AM89" s="1212"/>
      <c r="AN89" s="1212"/>
      <c r="AO89" s="1212"/>
      <c r="AP89" s="1212"/>
      <c r="AQ89" s="1212"/>
      <c r="AR89" s="1212"/>
      <c r="AS89" s="1212"/>
      <c r="AT89" s="1212"/>
      <c r="AU89" s="1212"/>
      <c r="AV89" s="1213"/>
      <c r="AW89" s="1212"/>
      <c r="AX89" s="1212"/>
      <c r="AY89" s="1212"/>
      <c r="AZ89" s="1212"/>
      <c r="BA89" s="1212"/>
      <c r="BB89" s="1212"/>
      <c r="BC89" s="1212"/>
      <c r="BD89" s="1212"/>
      <c r="BE89" s="1212"/>
      <c r="BF89" s="1212"/>
      <c r="BG89" s="1212"/>
      <c r="BH89" s="1212"/>
      <c r="BI89" s="1212"/>
      <c r="BJ89" s="1212"/>
      <c r="BK89" s="1212"/>
      <c r="BL89" s="1212"/>
    </row>
    <row r="90" spans="1:65" s="679" customFormat="1" ht="20.399999999999999">
      <c r="A90" s="1066"/>
      <c r="B90" s="437"/>
      <c r="C90" s="1066" t="s">
        <v>1024</v>
      </c>
      <c r="D90" s="437" t="s">
        <v>1025</v>
      </c>
      <c r="E90" s="1991" t="s">
        <v>1326</v>
      </c>
      <c r="F90" s="545">
        <v>0</v>
      </c>
      <c r="G90" s="1065"/>
      <c r="H90" s="1373"/>
      <c r="I90" s="1742"/>
      <c r="J90" s="1209"/>
      <c r="K90" s="1173"/>
      <c r="L90" s="1173"/>
      <c r="M90" s="1173"/>
      <c r="N90" s="1173"/>
      <c r="O90" s="1173"/>
      <c r="P90" s="1185"/>
      <c r="Q90" s="1212"/>
      <c r="R90" s="1212"/>
      <c r="S90" s="1212"/>
      <c r="T90" s="1217"/>
      <c r="U90" s="1212"/>
      <c r="V90" s="1212"/>
      <c r="W90" s="1212"/>
      <c r="X90" s="1212"/>
      <c r="Y90" s="1212"/>
      <c r="Z90" s="1212"/>
      <c r="AA90" s="1212"/>
      <c r="AB90" s="1212"/>
      <c r="AC90" s="1212"/>
      <c r="AD90" s="1212"/>
      <c r="AE90" s="1212"/>
      <c r="AF90" s="1212"/>
      <c r="AG90" s="1212"/>
      <c r="AH90" s="1212"/>
      <c r="AI90" s="1212"/>
      <c r="AJ90" s="1212"/>
      <c r="AK90" s="1212"/>
      <c r="AL90" s="1212"/>
      <c r="AM90" s="1212"/>
      <c r="AN90" s="1212"/>
      <c r="AO90" s="1212"/>
      <c r="AP90" s="1212"/>
      <c r="AQ90" s="1212"/>
      <c r="AR90" s="1212"/>
      <c r="AS90" s="1212"/>
      <c r="AT90" s="1212"/>
      <c r="AU90" s="1212"/>
      <c r="AV90" s="1213"/>
      <c r="AW90" s="1212"/>
      <c r="AX90" s="1212"/>
      <c r="AY90" s="1212"/>
      <c r="AZ90" s="1212"/>
      <c r="BA90" s="1212"/>
      <c r="BB90" s="1212"/>
      <c r="BC90" s="1212"/>
      <c r="BD90" s="1212"/>
      <c r="BE90" s="1212"/>
      <c r="BF90" s="1212"/>
      <c r="BG90" s="1212"/>
      <c r="BH90" s="1212"/>
      <c r="BI90" s="1212"/>
      <c r="BJ90" s="1212"/>
      <c r="BK90" s="1212"/>
      <c r="BL90" s="1212"/>
    </row>
    <row r="91" spans="1:65" s="679" customFormat="1" ht="20.399999999999999">
      <c r="A91" s="1065"/>
      <c r="B91" s="1169"/>
      <c r="C91" s="1065" t="s">
        <v>1026</v>
      </c>
      <c r="D91" s="437" t="s">
        <v>1025</v>
      </c>
      <c r="E91" s="437" t="s">
        <v>1326</v>
      </c>
      <c r="F91" s="545">
        <v>0</v>
      </c>
      <c r="G91" s="1065"/>
      <c r="H91" s="1373"/>
      <c r="I91" s="1742"/>
      <c r="J91" s="1169"/>
      <c r="K91" s="1173"/>
      <c r="L91" s="1173"/>
      <c r="M91" s="1173"/>
      <c r="N91" s="1173"/>
      <c r="O91" s="1173"/>
      <c r="P91" s="1185"/>
      <c r="Q91" s="1212"/>
      <c r="R91" s="1212"/>
      <c r="S91" s="1212"/>
      <c r="T91" s="1212"/>
      <c r="U91" s="1217"/>
      <c r="V91" s="1212"/>
      <c r="W91" s="1212"/>
      <c r="X91" s="1212"/>
      <c r="Y91" s="1212"/>
      <c r="Z91" s="1212"/>
      <c r="AA91" s="1212"/>
      <c r="AB91" s="1212"/>
      <c r="AC91" s="1212"/>
      <c r="AD91" s="1212"/>
      <c r="AE91" s="1212"/>
      <c r="AF91" s="1212"/>
      <c r="AG91" s="1212"/>
      <c r="AH91" s="1212"/>
      <c r="AI91" s="1212"/>
      <c r="AJ91" s="1212"/>
      <c r="AK91" s="1212"/>
      <c r="AL91" s="1212"/>
      <c r="AM91" s="1212"/>
      <c r="AN91" s="1212"/>
      <c r="AO91" s="1212"/>
      <c r="AP91" s="1212"/>
      <c r="AQ91" s="1212"/>
      <c r="AR91" s="1212"/>
      <c r="AS91" s="1212"/>
      <c r="AT91" s="1212"/>
      <c r="AU91" s="1212"/>
      <c r="AV91" s="1213"/>
      <c r="AW91" s="1212"/>
      <c r="AX91" s="1212"/>
      <c r="AY91" s="1212"/>
      <c r="AZ91" s="1212"/>
      <c r="BA91" s="1212"/>
      <c r="BB91" s="1212"/>
      <c r="BC91" s="1212"/>
      <c r="BD91" s="1212"/>
      <c r="BE91" s="1212"/>
      <c r="BF91" s="1212"/>
      <c r="BG91" s="1212"/>
      <c r="BH91" s="1212"/>
      <c r="BI91" s="1212"/>
      <c r="BJ91" s="1212"/>
      <c r="BK91" s="1212"/>
      <c r="BL91" s="1212"/>
    </row>
    <row r="92" spans="1:65" s="679" customFormat="1" ht="20.399999999999999">
      <c r="A92" s="1065"/>
      <c r="B92" s="1169"/>
      <c r="C92" s="1065" t="s">
        <v>426</v>
      </c>
      <c r="D92" s="437" t="s">
        <v>1025</v>
      </c>
      <c r="E92" s="437" t="s">
        <v>1326</v>
      </c>
      <c r="F92" s="545">
        <v>0</v>
      </c>
      <c r="G92" s="1065"/>
      <c r="H92" s="1373"/>
      <c r="I92" s="1742"/>
      <c r="J92" s="1169"/>
      <c r="K92" s="1173"/>
      <c r="L92" s="1173"/>
      <c r="M92" s="1173"/>
      <c r="N92" s="1173"/>
      <c r="O92" s="1173"/>
      <c r="P92" s="1185"/>
      <c r="Q92" s="1212"/>
      <c r="R92" s="1212"/>
      <c r="S92" s="1212"/>
      <c r="T92" s="1212"/>
      <c r="U92" s="1212"/>
      <c r="V92" s="1212"/>
      <c r="W92" s="1212"/>
      <c r="X92" s="1212"/>
      <c r="Y92" s="1212"/>
      <c r="Z92" s="1212"/>
      <c r="AA92" s="1212"/>
      <c r="AB92" s="1212"/>
      <c r="AC92" s="1212"/>
      <c r="AD92" s="1212"/>
      <c r="AE92" s="1212"/>
      <c r="AF92" s="1212"/>
      <c r="AG92" s="1212"/>
      <c r="AH92" s="1212"/>
      <c r="AI92" s="1212"/>
      <c r="AJ92" s="1212"/>
      <c r="AK92" s="1212"/>
      <c r="AL92" s="1212"/>
      <c r="AM92" s="1212"/>
      <c r="AN92" s="1212"/>
      <c r="AO92" s="1212"/>
      <c r="AP92" s="1212"/>
      <c r="AQ92" s="1212"/>
      <c r="AR92" s="1212"/>
      <c r="AS92" s="1212"/>
      <c r="AT92" s="1212"/>
      <c r="AU92" s="1212"/>
      <c r="AV92" s="1213"/>
      <c r="AW92" s="1212"/>
      <c r="AX92" s="1212"/>
      <c r="AY92" s="1212"/>
      <c r="AZ92" s="1212"/>
      <c r="BA92" s="1212"/>
      <c r="BB92" s="1212"/>
      <c r="BC92" s="1212"/>
      <c r="BD92" s="1212"/>
      <c r="BE92" s="1212"/>
      <c r="BF92" s="1212"/>
      <c r="BG92" s="1212"/>
      <c r="BH92" s="1212"/>
      <c r="BI92" s="1212"/>
      <c r="BJ92" s="1212"/>
      <c r="BK92" s="1212"/>
      <c r="BL92" s="1212"/>
    </row>
    <row r="93" spans="1:65" s="679" customFormat="1" ht="20.399999999999999">
      <c r="A93" s="1066"/>
      <c r="B93" s="1169"/>
      <c r="C93" s="1066" t="s">
        <v>295</v>
      </c>
      <c r="D93" s="437" t="s">
        <v>1025</v>
      </c>
      <c r="E93" s="437" t="s">
        <v>1326</v>
      </c>
      <c r="F93" s="545">
        <v>0</v>
      </c>
      <c r="G93" s="1065"/>
      <c r="H93" s="1373"/>
      <c r="I93" s="1742"/>
      <c r="J93" s="1169"/>
      <c r="K93" s="1173"/>
      <c r="L93" s="1173"/>
      <c r="M93" s="1173"/>
      <c r="N93" s="1173"/>
      <c r="O93" s="1173"/>
      <c r="P93" s="1185"/>
      <c r="Q93" s="1212"/>
      <c r="R93" s="1212"/>
      <c r="S93" s="1212"/>
      <c r="T93" s="1212"/>
      <c r="U93" s="1212"/>
      <c r="V93" s="1212"/>
      <c r="W93" s="1212"/>
      <c r="X93" s="1212"/>
      <c r="Y93" s="1212"/>
      <c r="Z93" s="1212"/>
      <c r="AA93" s="1212"/>
      <c r="AB93" s="1212"/>
      <c r="AC93" s="1212"/>
      <c r="AD93" s="1212"/>
      <c r="AE93" s="1212"/>
      <c r="AF93" s="1212"/>
      <c r="AG93" s="1212"/>
      <c r="AH93" s="1212"/>
      <c r="AI93" s="1212"/>
      <c r="AJ93" s="1212"/>
      <c r="AK93" s="1212"/>
      <c r="AL93" s="1212"/>
      <c r="AM93" s="1212"/>
      <c r="AN93" s="1212"/>
      <c r="AO93" s="1212"/>
      <c r="AP93" s="1212"/>
      <c r="AQ93" s="1212"/>
      <c r="AR93" s="1212"/>
      <c r="AS93" s="1212"/>
      <c r="AT93" s="1212"/>
      <c r="AU93" s="1212"/>
      <c r="AV93" s="1213"/>
      <c r="AW93" s="1212"/>
      <c r="AX93" s="1212"/>
      <c r="AY93" s="1212"/>
      <c r="AZ93" s="1212"/>
      <c r="BA93" s="1212"/>
      <c r="BB93" s="1212"/>
      <c r="BC93" s="1212"/>
      <c r="BD93" s="1212"/>
      <c r="BE93" s="1212"/>
      <c r="BF93" s="1212"/>
      <c r="BG93" s="1212"/>
      <c r="BH93" s="1212"/>
      <c r="BI93" s="1212"/>
      <c r="BJ93" s="1212"/>
      <c r="BK93" s="1212"/>
      <c r="BL93" s="1212"/>
    </row>
    <row r="94" spans="1:65" s="679" customFormat="1" ht="20.399999999999999">
      <c r="A94" s="1065"/>
      <c r="B94" s="437"/>
      <c r="C94" s="1065" t="s">
        <v>296</v>
      </c>
      <c r="D94" s="437" t="s">
        <v>1025</v>
      </c>
      <c r="E94" s="437" t="s">
        <v>1326</v>
      </c>
      <c r="F94" s="545">
        <v>0</v>
      </c>
      <c r="G94" s="1065"/>
      <c r="H94" s="1373"/>
      <c r="I94" s="1742"/>
      <c r="J94" s="1169"/>
      <c r="K94" s="1169"/>
      <c r="L94" s="1169"/>
      <c r="M94" s="1169"/>
      <c r="N94" s="1169"/>
      <c r="O94" s="1169"/>
      <c r="P94" s="1185"/>
      <c r="Q94" s="1212"/>
      <c r="R94" s="1212"/>
      <c r="S94" s="1212"/>
      <c r="T94" s="1212"/>
      <c r="U94" s="1212"/>
      <c r="V94" s="1212"/>
      <c r="W94" s="1212"/>
      <c r="X94" s="1212"/>
      <c r="Y94" s="1212"/>
      <c r="Z94" s="1212"/>
      <c r="AA94" s="1212"/>
      <c r="AB94" s="1212"/>
      <c r="AC94" s="1212"/>
      <c r="AD94" s="1212"/>
      <c r="AE94" s="1212"/>
      <c r="AF94" s="1212"/>
      <c r="AG94" s="1212"/>
      <c r="AH94" s="1212"/>
      <c r="AI94" s="1212"/>
      <c r="AJ94" s="1212"/>
      <c r="AK94" s="1212"/>
      <c r="AL94" s="1212"/>
      <c r="AM94" s="1212"/>
      <c r="AN94" s="1212"/>
      <c r="AO94" s="1212"/>
      <c r="AP94" s="1212"/>
      <c r="AQ94" s="1212"/>
      <c r="AR94" s="1212"/>
      <c r="AS94" s="1212"/>
      <c r="AT94" s="1212"/>
      <c r="AU94" s="1212"/>
      <c r="AV94" s="1213"/>
      <c r="AW94" s="1212"/>
      <c r="AX94" s="1212"/>
      <c r="AY94" s="1212"/>
      <c r="AZ94" s="1212"/>
      <c r="BA94" s="1212"/>
      <c r="BB94" s="1212"/>
      <c r="BC94" s="1212"/>
      <c r="BD94" s="1212"/>
      <c r="BE94" s="1212"/>
      <c r="BF94" s="1212"/>
      <c r="BG94" s="1212"/>
      <c r="BH94" s="1212"/>
      <c r="BI94" s="1212"/>
      <c r="BJ94" s="1212"/>
      <c r="BK94" s="1212"/>
      <c r="BL94" s="1212"/>
    </row>
    <row r="95" spans="1:65" s="679" customFormat="1" ht="20.399999999999999">
      <c r="A95" s="1065"/>
      <c r="B95" s="1169"/>
      <c r="C95" s="1065" t="s">
        <v>1027</v>
      </c>
      <c r="D95" s="437" t="s">
        <v>1025</v>
      </c>
      <c r="E95" s="437" t="s">
        <v>1326</v>
      </c>
      <c r="F95" s="545">
        <v>0</v>
      </c>
      <c r="G95" s="1065"/>
      <c r="H95" s="1373"/>
      <c r="I95" s="1742"/>
      <c r="J95" s="1169"/>
      <c r="K95" s="1173"/>
      <c r="L95" s="1173"/>
      <c r="M95" s="1173"/>
      <c r="N95" s="1173"/>
      <c r="O95" s="1173"/>
      <c r="P95" s="1185"/>
      <c r="Q95" s="1212"/>
      <c r="R95" s="1212"/>
      <c r="S95" s="1212"/>
      <c r="T95" s="1212"/>
      <c r="U95" s="1212"/>
      <c r="V95" s="1212"/>
      <c r="W95" s="1212"/>
      <c r="X95" s="1212"/>
      <c r="Y95" s="1212"/>
      <c r="Z95" s="1212"/>
      <c r="AA95" s="1212"/>
      <c r="AB95" s="1212"/>
      <c r="AC95" s="1212"/>
      <c r="AD95" s="1212"/>
      <c r="AE95" s="1212"/>
      <c r="AF95" s="1212"/>
      <c r="AG95" s="1212"/>
      <c r="AH95" s="1212"/>
      <c r="AI95" s="1212"/>
      <c r="AJ95" s="1212"/>
      <c r="AK95" s="1212"/>
      <c r="AL95" s="1212"/>
      <c r="AM95" s="1212"/>
      <c r="AN95" s="1212"/>
      <c r="AO95" s="1212"/>
      <c r="AP95" s="1212"/>
      <c r="AQ95" s="1212"/>
      <c r="AR95" s="1212"/>
      <c r="AS95" s="1212"/>
      <c r="AT95" s="1212"/>
      <c r="AU95" s="1212"/>
      <c r="AV95" s="1213"/>
      <c r="AW95" s="1212"/>
      <c r="AX95" s="1212"/>
      <c r="AY95" s="1212"/>
      <c r="AZ95" s="1212"/>
      <c r="BA95" s="1212"/>
      <c r="BB95" s="1212"/>
      <c r="BC95" s="1212"/>
      <c r="BD95" s="1212"/>
      <c r="BE95" s="1212"/>
      <c r="BF95" s="1212"/>
      <c r="BG95" s="1212"/>
      <c r="BH95" s="1212"/>
      <c r="BI95" s="1212"/>
      <c r="BJ95" s="1212"/>
      <c r="BK95" s="1212"/>
      <c r="BL95" s="1212"/>
    </row>
    <row r="96" spans="1:65" s="679" customFormat="1" ht="20.399999999999999">
      <c r="A96" s="1066"/>
      <c r="B96" s="437"/>
      <c r="C96" s="1066" t="s">
        <v>1028</v>
      </c>
      <c r="D96" s="437" t="s">
        <v>1025</v>
      </c>
      <c r="E96" s="437" t="s">
        <v>1326</v>
      </c>
      <c r="F96" s="545">
        <v>0</v>
      </c>
      <c r="G96" s="1065"/>
      <c r="H96" s="1373"/>
      <c r="I96" s="1742"/>
      <c r="J96" s="1169"/>
      <c r="K96" s="1173"/>
      <c r="L96" s="1173"/>
      <c r="M96" s="1173"/>
      <c r="N96" s="1173"/>
      <c r="O96" s="1173"/>
      <c r="P96" s="1185"/>
      <c r="Q96" s="1212"/>
      <c r="R96" s="1212"/>
      <c r="S96" s="1212"/>
      <c r="T96" s="1212"/>
      <c r="U96" s="1212"/>
      <c r="V96" s="1212"/>
      <c r="W96" s="1212"/>
      <c r="X96" s="1212"/>
      <c r="Y96" s="1212"/>
      <c r="Z96" s="1212"/>
      <c r="AA96" s="1212"/>
      <c r="AB96" s="1212"/>
      <c r="AC96" s="1212"/>
      <c r="AD96" s="1212"/>
      <c r="AE96" s="1212"/>
      <c r="AF96" s="1212"/>
      <c r="AG96" s="1212"/>
      <c r="AH96" s="1212"/>
      <c r="AI96" s="1212"/>
      <c r="AJ96" s="1212"/>
      <c r="AK96" s="1212"/>
      <c r="AL96" s="1212"/>
      <c r="AM96" s="1212"/>
      <c r="AN96" s="1212"/>
      <c r="AO96" s="1212"/>
      <c r="AP96" s="1212"/>
      <c r="AQ96" s="1212"/>
      <c r="AR96" s="1212"/>
      <c r="AS96" s="1212"/>
      <c r="AT96" s="1212"/>
      <c r="AU96" s="1212"/>
      <c r="AV96" s="1213"/>
      <c r="AW96" s="1212"/>
      <c r="AX96" s="1212"/>
      <c r="AY96" s="1212"/>
      <c r="AZ96" s="1212"/>
      <c r="BA96" s="1212"/>
      <c r="BB96" s="1212"/>
      <c r="BC96" s="1212"/>
      <c r="BD96" s="1212"/>
      <c r="BE96" s="1212"/>
      <c r="BF96" s="1212"/>
      <c r="BG96" s="1212"/>
      <c r="BH96" s="1212"/>
      <c r="BI96" s="1212"/>
      <c r="BJ96" s="1212"/>
      <c r="BK96" s="1212"/>
      <c r="BL96" s="1212"/>
    </row>
    <row r="97" spans="1:64" s="679" customFormat="1" ht="20.399999999999999">
      <c r="A97" s="1065"/>
      <c r="B97" s="1169"/>
      <c r="C97" s="1065" t="s">
        <v>1029</v>
      </c>
      <c r="D97" s="437" t="s">
        <v>1025</v>
      </c>
      <c r="E97" s="437" t="s">
        <v>1326</v>
      </c>
      <c r="F97" s="545">
        <v>0</v>
      </c>
      <c r="G97" s="1065"/>
      <c r="H97" s="1373"/>
      <c r="I97" s="1742"/>
      <c r="J97" s="1169"/>
      <c r="K97" s="1173"/>
      <c r="L97" s="1173"/>
      <c r="M97" s="1173"/>
      <c r="N97" s="1173"/>
      <c r="O97" s="1173"/>
      <c r="P97" s="1185"/>
      <c r="Q97" s="1212"/>
      <c r="R97" s="1212"/>
      <c r="S97" s="1212"/>
      <c r="T97" s="1212"/>
      <c r="U97" s="1212"/>
      <c r="V97" s="1212"/>
      <c r="W97" s="1212"/>
      <c r="X97" s="1212"/>
      <c r="Y97" s="1212"/>
      <c r="Z97" s="1212"/>
      <c r="AA97" s="1212"/>
      <c r="AB97" s="1212"/>
      <c r="AC97" s="1212"/>
      <c r="AD97" s="1212"/>
      <c r="AE97" s="1212"/>
      <c r="AF97" s="1212"/>
      <c r="AG97" s="1212"/>
      <c r="AH97" s="1212"/>
      <c r="AI97" s="1212"/>
      <c r="AJ97" s="1212"/>
      <c r="AK97" s="1212"/>
      <c r="AL97" s="1212"/>
      <c r="AM97" s="1212"/>
      <c r="AN97" s="1212"/>
      <c r="AO97" s="1212"/>
      <c r="AP97" s="1212"/>
      <c r="AQ97" s="1212"/>
      <c r="AR97" s="1212"/>
      <c r="AS97" s="1212"/>
      <c r="AT97" s="1212"/>
      <c r="AU97" s="1212"/>
      <c r="AV97" s="1213"/>
      <c r="AW97" s="1212"/>
      <c r="AX97" s="1212"/>
      <c r="AY97" s="1212"/>
      <c r="AZ97" s="1212"/>
      <c r="BA97" s="1212"/>
      <c r="BB97" s="1212"/>
      <c r="BC97" s="1212"/>
      <c r="BD97" s="1212"/>
      <c r="BE97" s="1212"/>
      <c r="BF97" s="1212"/>
      <c r="BG97" s="1212"/>
      <c r="BH97" s="1212"/>
      <c r="BI97" s="1212"/>
      <c r="BJ97" s="1212"/>
      <c r="BK97" s="1212"/>
      <c r="BL97" s="1212"/>
    </row>
    <row r="98" spans="1:64" s="679" customFormat="1" ht="20.399999999999999">
      <c r="A98" s="1065"/>
      <c r="B98" s="1169"/>
      <c r="C98" s="1065" t="s">
        <v>1030</v>
      </c>
      <c r="D98" s="437" t="s">
        <v>1025</v>
      </c>
      <c r="E98" s="437" t="s">
        <v>1326</v>
      </c>
      <c r="F98" s="545">
        <v>0</v>
      </c>
      <c r="G98" s="1065"/>
      <c r="H98" s="1373"/>
      <c r="I98" s="1742"/>
      <c r="J98" s="1169"/>
      <c r="K98" s="1173"/>
      <c r="L98" s="1173"/>
      <c r="M98" s="1173"/>
      <c r="N98" s="1173"/>
      <c r="O98" s="1173"/>
      <c r="P98" s="1185"/>
      <c r="Q98" s="1212"/>
      <c r="R98" s="1212"/>
      <c r="S98" s="1212"/>
      <c r="T98" s="1212"/>
      <c r="U98" s="1212"/>
      <c r="V98" s="1212"/>
      <c r="W98" s="1212"/>
      <c r="X98" s="1212"/>
      <c r="Y98" s="1212"/>
      <c r="Z98" s="1212"/>
      <c r="AA98" s="1212"/>
      <c r="AB98" s="1212"/>
      <c r="AC98" s="1212"/>
      <c r="AD98" s="1212"/>
      <c r="AE98" s="1212"/>
      <c r="AF98" s="1212"/>
      <c r="AG98" s="1212"/>
      <c r="AH98" s="1212"/>
      <c r="AI98" s="1212"/>
      <c r="AJ98" s="1212"/>
      <c r="AK98" s="1212"/>
      <c r="AL98" s="1212"/>
      <c r="AM98" s="1212"/>
      <c r="AN98" s="1212"/>
      <c r="AO98" s="1212"/>
      <c r="AP98" s="1212"/>
      <c r="AQ98" s="1212"/>
      <c r="AR98" s="1212"/>
      <c r="AS98" s="1212"/>
      <c r="AT98" s="1212"/>
      <c r="AU98" s="1212"/>
      <c r="AV98" s="1213"/>
      <c r="AW98" s="1212"/>
      <c r="AX98" s="1212"/>
      <c r="AY98" s="1212"/>
      <c r="AZ98" s="1212"/>
      <c r="BA98" s="1212"/>
      <c r="BB98" s="1212"/>
      <c r="BC98" s="1212"/>
      <c r="BD98" s="1212"/>
      <c r="BE98" s="1212"/>
      <c r="BF98" s="1212"/>
      <c r="BG98" s="1212"/>
      <c r="BH98" s="1212"/>
      <c r="BI98" s="1212"/>
      <c r="BJ98" s="1212"/>
      <c r="BK98" s="1212"/>
      <c r="BL98" s="1212"/>
    </row>
    <row r="99" spans="1:64" s="679" customFormat="1" ht="20.399999999999999">
      <c r="A99" s="1066"/>
      <c r="B99" s="1169"/>
      <c r="C99" s="1066" t="s">
        <v>1031</v>
      </c>
      <c r="D99" s="437" t="s">
        <v>1025</v>
      </c>
      <c r="E99" s="437" t="s">
        <v>1326</v>
      </c>
      <c r="F99" s="545">
        <v>0</v>
      </c>
      <c r="G99" s="1065"/>
      <c r="H99" s="1373"/>
      <c r="I99" s="1742"/>
      <c r="J99" s="1169"/>
      <c r="K99" s="1173"/>
      <c r="L99" s="1173"/>
      <c r="M99" s="1173"/>
      <c r="N99" s="1173"/>
      <c r="O99" s="1173"/>
      <c r="P99" s="1185"/>
      <c r="Q99" s="1212"/>
      <c r="R99" s="1212"/>
      <c r="S99" s="1212"/>
      <c r="T99" s="1212"/>
      <c r="U99" s="1212"/>
      <c r="V99" s="1212"/>
      <c r="W99" s="1212"/>
      <c r="X99" s="1212"/>
      <c r="Y99" s="1212"/>
      <c r="Z99" s="1212"/>
      <c r="AA99" s="1212"/>
      <c r="AB99" s="1212"/>
      <c r="AC99" s="1212"/>
      <c r="AD99" s="1212"/>
      <c r="AE99" s="1212"/>
      <c r="AF99" s="1212"/>
      <c r="AG99" s="1212"/>
      <c r="AH99" s="1212"/>
      <c r="AI99" s="1212"/>
      <c r="AJ99" s="1212"/>
      <c r="AK99" s="1212"/>
      <c r="AL99" s="1212"/>
      <c r="AM99" s="1212"/>
      <c r="AN99" s="1212"/>
      <c r="AO99" s="1212"/>
      <c r="AP99" s="1212"/>
      <c r="AQ99" s="1212"/>
      <c r="AR99" s="1212"/>
      <c r="AS99" s="1212"/>
      <c r="AT99" s="1212"/>
      <c r="AU99" s="1212"/>
      <c r="AV99" s="1213"/>
      <c r="AW99" s="1212"/>
      <c r="AX99" s="1212"/>
      <c r="AY99" s="1212"/>
      <c r="AZ99" s="1212"/>
      <c r="BA99" s="1212"/>
      <c r="BB99" s="1212"/>
      <c r="BC99" s="1212"/>
      <c r="BD99" s="1212"/>
      <c r="BE99" s="1212"/>
      <c r="BF99" s="1212"/>
      <c r="BG99" s="1212"/>
      <c r="BH99" s="1212"/>
      <c r="BI99" s="1212"/>
      <c r="BJ99" s="1212"/>
      <c r="BK99" s="1212"/>
      <c r="BL99" s="1212"/>
    </row>
    <row r="100" spans="1:64" s="679" customFormat="1" ht="20.399999999999999">
      <c r="A100" s="1066"/>
      <c r="B100" s="1169"/>
      <c r="C100" s="1066" t="s">
        <v>1032</v>
      </c>
      <c r="D100" s="437" t="s">
        <v>1025</v>
      </c>
      <c r="E100" s="437" t="s">
        <v>1326</v>
      </c>
      <c r="F100" s="545">
        <v>0</v>
      </c>
      <c r="G100" s="1065"/>
      <c r="H100" s="1373"/>
      <c r="I100" s="1742"/>
      <c r="J100" s="1169"/>
      <c r="K100" s="1173"/>
      <c r="L100" s="1173"/>
      <c r="M100" s="1173"/>
      <c r="N100" s="1173"/>
      <c r="O100" s="1173"/>
      <c r="P100" s="1185"/>
      <c r="Q100" s="1212"/>
      <c r="R100" s="1212"/>
      <c r="S100" s="1212"/>
      <c r="T100" s="1212"/>
      <c r="U100" s="1212"/>
      <c r="V100" s="1212"/>
      <c r="W100" s="1212"/>
      <c r="X100" s="1212"/>
      <c r="Y100" s="1212"/>
      <c r="Z100" s="1212"/>
      <c r="AA100" s="1212"/>
      <c r="AB100" s="1212"/>
      <c r="AC100" s="1212"/>
      <c r="AD100" s="1212"/>
      <c r="AE100" s="1212"/>
      <c r="AF100" s="1212"/>
      <c r="AG100" s="1212"/>
      <c r="AH100" s="1212"/>
      <c r="AI100" s="1212"/>
      <c r="AJ100" s="1212"/>
      <c r="AK100" s="1212"/>
      <c r="AL100" s="1212"/>
      <c r="AM100" s="1212"/>
      <c r="AN100" s="1212"/>
      <c r="AO100" s="1212"/>
      <c r="AP100" s="1212"/>
      <c r="AQ100" s="1212"/>
      <c r="AR100" s="1212"/>
      <c r="AS100" s="1212"/>
      <c r="AT100" s="1212"/>
      <c r="AU100" s="1212"/>
      <c r="AV100" s="1213"/>
      <c r="AW100" s="1212"/>
      <c r="AX100" s="1212"/>
      <c r="AY100" s="1212"/>
      <c r="AZ100" s="1212"/>
      <c r="BA100" s="1212"/>
      <c r="BB100" s="1212"/>
      <c r="BC100" s="1212"/>
      <c r="BD100" s="1212"/>
      <c r="BE100" s="1212"/>
      <c r="BF100" s="1212"/>
      <c r="BG100" s="1212"/>
      <c r="BH100" s="1212"/>
      <c r="BI100" s="1212"/>
      <c r="BJ100" s="1212"/>
      <c r="BK100" s="1212"/>
      <c r="BL100" s="1212"/>
    </row>
    <row r="101" spans="1:64" s="679" customFormat="1" ht="20.399999999999999">
      <c r="A101" s="1065"/>
      <c r="B101" s="437"/>
      <c r="C101" s="1190" t="s">
        <v>1023</v>
      </c>
      <c r="D101" s="1177" t="s">
        <v>217</v>
      </c>
      <c r="E101" s="1170" t="s">
        <v>1326</v>
      </c>
      <c r="F101" s="1737">
        <v>0</v>
      </c>
      <c r="G101" s="1190">
        <f>+F101</f>
        <v>0</v>
      </c>
      <c r="H101" s="1373"/>
      <c r="I101" s="1742"/>
      <c r="J101" s="1169"/>
      <c r="K101" s="1169"/>
      <c r="L101" s="1169"/>
      <c r="M101" s="1169"/>
      <c r="N101" s="1169"/>
      <c r="O101" s="1169"/>
      <c r="P101" s="1185" t="s">
        <v>525</v>
      </c>
      <c r="Q101" s="1212"/>
      <c r="R101" s="1212"/>
      <c r="S101" s="1212"/>
      <c r="T101" s="1212"/>
      <c r="U101" s="1212"/>
      <c r="V101" s="1212"/>
      <c r="W101" s="1212"/>
      <c r="X101" s="1212"/>
      <c r="Y101" s="1212"/>
      <c r="Z101" s="1212"/>
      <c r="AA101" s="1212"/>
      <c r="AB101" s="1212"/>
      <c r="AC101" s="1212"/>
      <c r="AD101" s="1212"/>
      <c r="AE101" s="1212"/>
      <c r="AF101" s="1212"/>
      <c r="AG101" s="1212"/>
      <c r="AH101" s="1212"/>
      <c r="AI101" s="1212"/>
      <c r="AJ101" s="1212"/>
      <c r="AK101" s="1212"/>
      <c r="AL101" s="1212"/>
      <c r="AM101" s="1212"/>
      <c r="AN101" s="1212"/>
      <c r="AO101" s="1212"/>
      <c r="AP101" s="1212"/>
      <c r="AQ101" s="1212"/>
      <c r="AR101" s="1212"/>
      <c r="AS101" s="1212"/>
      <c r="AT101" s="1212"/>
      <c r="AU101" s="1212"/>
      <c r="AV101" s="1213"/>
      <c r="AW101" s="1212"/>
      <c r="AX101" s="1212"/>
      <c r="AY101" s="1212"/>
      <c r="AZ101" s="1212"/>
      <c r="BA101" s="1212"/>
      <c r="BB101" s="1212"/>
      <c r="BC101" s="1212"/>
      <c r="BD101" s="1212"/>
      <c r="BE101" s="1212"/>
      <c r="BF101" s="1212"/>
      <c r="BG101" s="1212"/>
      <c r="BH101" s="1212"/>
      <c r="BI101" s="1212"/>
      <c r="BJ101" s="1212"/>
      <c r="BK101" s="1212"/>
      <c r="BL101" s="1212"/>
    </row>
    <row r="102" spans="1:64" s="679" customFormat="1" ht="13.8" thickBot="1">
      <c r="A102" s="1065"/>
      <c r="B102" s="1169"/>
      <c r="C102" s="1188" t="s">
        <v>3</v>
      </c>
      <c r="D102" s="437"/>
      <c r="E102" s="437"/>
      <c r="F102" s="1175">
        <f>AVERAGE(F89:F101)</f>
        <v>0</v>
      </c>
      <c r="G102" s="1191">
        <f>+G101</f>
        <v>0</v>
      </c>
      <c r="H102" s="1066"/>
      <c r="I102" s="1169"/>
      <c r="J102" s="1169"/>
      <c r="K102" s="1173"/>
      <c r="L102" s="1173"/>
      <c r="M102" s="1173"/>
      <c r="N102" s="1173"/>
      <c r="O102" s="1173"/>
      <c r="P102" s="1185" t="s">
        <v>525</v>
      </c>
      <c r="Q102" s="1212"/>
      <c r="R102" s="1212"/>
      <c r="S102" s="1212"/>
      <c r="T102" s="1212"/>
      <c r="U102" s="1212"/>
      <c r="V102" s="1212"/>
      <c r="W102" s="1212"/>
      <c r="X102" s="1212"/>
      <c r="Y102" s="1212"/>
      <c r="Z102" s="1212"/>
      <c r="AA102" s="1212"/>
      <c r="AB102" s="1212"/>
      <c r="AC102" s="1212"/>
      <c r="AD102" s="1212"/>
      <c r="AE102" s="1212"/>
      <c r="AF102" s="1212"/>
      <c r="AG102" s="1212"/>
      <c r="AH102" s="1212"/>
      <c r="AI102" s="1212"/>
      <c r="AJ102" s="1212"/>
      <c r="AK102" s="1212"/>
      <c r="AL102" s="1212"/>
      <c r="AM102" s="1212"/>
      <c r="AN102" s="1212"/>
      <c r="AO102" s="1212"/>
      <c r="AP102" s="1212"/>
      <c r="AQ102" s="1212"/>
      <c r="AR102" s="1212"/>
      <c r="AS102" s="1212"/>
      <c r="AT102" s="1212"/>
      <c r="AU102" s="1212"/>
      <c r="AV102" s="1213"/>
      <c r="AW102" s="1212"/>
      <c r="AX102" s="1212"/>
      <c r="AY102" s="1212"/>
      <c r="AZ102" s="1212"/>
      <c r="BA102" s="1212"/>
      <c r="BB102" s="1212"/>
      <c r="BC102" s="1212"/>
      <c r="BD102" s="1212"/>
      <c r="BE102" s="1212"/>
      <c r="BF102" s="1212"/>
      <c r="BG102" s="1212"/>
      <c r="BH102" s="1212"/>
      <c r="BI102" s="1212"/>
      <c r="BJ102" s="1212"/>
      <c r="BK102" s="1212"/>
      <c r="BL102" s="1212"/>
    </row>
    <row r="103" spans="1:64" s="679" customFormat="1" ht="13.8" thickTop="1">
      <c r="A103" s="1065"/>
      <c r="B103" s="1169"/>
      <c r="C103" s="1065"/>
      <c r="D103" s="437"/>
      <c r="E103" s="437"/>
      <c r="F103" s="437"/>
      <c r="G103" s="1065"/>
      <c r="H103" s="1066"/>
      <c r="I103" s="1169"/>
      <c r="J103" s="1169"/>
      <c r="K103" s="1173"/>
      <c r="L103" s="1173"/>
      <c r="M103" s="1173"/>
      <c r="N103" s="1173"/>
      <c r="O103" s="1173"/>
      <c r="P103" s="1185"/>
      <c r="Q103" s="1212"/>
      <c r="R103" s="1212"/>
      <c r="S103" s="1212"/>
      <c r="T103" s="1212"/>
      <c r="U103" s="1212"/>
      <c r="V103" s="1212"/>
      <c r="W103" s="1212"/>
      <c r="X103" s="1212"/>
      <c r="Y103" s="1212"/>
      <c r="Z103" s="1212"/>
      <c r="AA103" s="1212"/>
      <c r="AB103" s="1212"/>
      <c r="AC103" s="1212"/>
      <c r="AD103" s="1212"/>
      <c r="AE103" s="1212"/>
      <c r="AF103" s="1212"/>
      <c r="AG103" s="1212"/>
      <c r="AH103" s="1212"/>
      <c r="AI103" s="1212"/>
      <c r="AJ103" s="1212"/>
      <c r="AK103" s="1212"/>
      <c r="AL103" s="1212"/>
      <c r="AM103" s="1212"/>
      <c r="AN103" s="1212"/>
      <c r="AO103" s="1212"/>
      <c r="AP103" s="1212"/>
      <c r="AQ103" s="1212"/>
      <c r="AR103" s="1212"/>
      <c r="AS103" s="1212"/>
      <c r="AT103" s="1212"/>
      <c r="AU103" s="1212"/>
      <c r="AV103" s="1213"/>
      <c r="AW103" s="1212"/>
      <c r="AX103" s="1212"/>
      <c r="AY103" s="1212"/>
      <c r="AZ103" s="1212"/>
      <c r="BA103" s="1212"/>
      <c r="BB103" s="1212"/>
      <c r="BC103" s="1212"/>
      <c r="BD103" s="1212"/>
      <c r="BE103" s="1212"/>
      <c r="BF103" s="1212"/>
      <c r="BG103" s="1212"/>
      <c r="BH103" s="1212"/>
      <c r="BI103" s="1212"/>
      <c r="BJ103" s="1212"/>
      <c r="BK103" s="1212"/>
      <c r="BL103" s="1212"/>
    </row>
    <row r="104" spans="1:64" s="679" customFormat="1">
      <c r="A104" s="1066"/>
      <c r="B104" s="437"/>
      <c r="C104" s="1231" t="s">
        <v>4</v>
      </c>
      <c r="D104" s="437" t="s">
        <v>1022</v>
      </c>
      <c r="E104" s="1169"/>
      <c r="F104" s="1169"/>
      <c r="G104" s="1065"/>
      <c r="H104" s="1066"/>
      <c r="I104" s="1169"/>
      <c r="J104" s="1169"/>
      <c r="K104" s="1173"/>
      <c r="L104" s="1173"/>
      <c r="M104" s="1173"/>
      <c r="N104" s="1173"/>
      <c r="O104" s="1173"/>
      <c r="P104" s="1185"/>
      <c r="Q104" s="1212"/>
      <c r="R104" s="1212"/>
      <c r="S104" s="1212"/>
      <c r="T104" s="1212"/>
      <c r="U104" s="1212"/>
      <c r="V104" s="1212"/>
      <c r="W104" s="1212"/>
      <c r="X104" s="1212"/>
      <c r="Y104" s="1212"/>
      <c r="Z104" s="1212"/>
      <c r="AA104" s="1212"/>
      <c r="AB104" s="1212"/>
      <c r="AC104" s="1212"/>
      <c r="AD104" s="1212"/>
      <c r="AE104" s="1212"/>
      <c r="AF104" s="1212"/>
      <c r="AG104" s="1212"/>
      <c r="AH104" s="1212"/>
      <c r="AI104" s="1212"/>
      <c r="AJ104" s="1212"/>
      <c r="AK104" s="1212"/>
      <c r="AL104" s="1212"/>
      <c r="AM104" s="1212"/>
      <c r="AN104" s="1212"/>
      <c r="AO104" s="1212"/>
      <c r="AP104" s="1212"/>
      <c r="AQ104" s="1212"/>
      <c r="AR104" s="1212"/>
      <c r="AS104" s="1212"/>
      <c r="AT104" s="1212"/>
      <c r="AU104" s="1212"/>
      <c r="AV104" s="1213"/>
      <c r="AW104" s="1212"/>
      <c r="AX104" s="1212"/>
      <c r="AY104" s="1212"/>
      <c r="AZ104" s="1212"/>
      <c r="BA104" s="1212"/>
      <c r="BB104" s="1212"/>
      <c r="BC104" s="1212"/>
      <c r="BD104" s="1212"/>
      <c r="BE104" s="1212"/>
      <c r="BF104" s="1212"/>
      <c r="BG104" s="1212"/>
      <c r="BH104" s="1212"/>
      <c r="BI104" s="1212"/>
      <c r="BJ104" s="1212"/>
      <c r="BK104" s="1212"/>
      <c r="BL104" s="1212"/>
    </row>
    <row r="105" spans="1:64" s="679" customFormat="1">
      <c r="A105" s="1066"/>
      <c r="B105" s="1169"/>
      <c r="C105" s="1066" t="s">
        <v>1023</v>
      </c>
      <c r="D105" s="437" t="s">
        <v>218</v>
      </c>
      <c r="E105" s="1991" t="s">
        <v>1278</v>
      </c>
      <c r="F105" s="1375">
        <v>14250801</v>
      </c>
      <c r="G105" s="437"/>
      <c r="H105" s="1066"/>
      <c r="I105" s="1169"/>
      <c r="J105" s="1169"/>
      <c r="K105" s="1173"/>
      <c r="L105" s="1173"/>
      <c r="M105" s="1173"/>
      <c r="N105" s="1173"/>
      <c r="O105" s="1173"/>
      <c r="P105" s="1185"/>
      <c r="Q105" s="1212"/>
      <c r="R105" s="1212"/>
      <c r="S105" s="1212"/>
      <c r="T105" s="1212"/>
      <c r="U105" s="1212"/>
      <c r="V105" s="1212"/>
      <c r="W105" s="1212"/>
      <c r="X105" s="1212"/>
      <c r="Y105" s="1212"/>
      <c r="Z105" s="1212"/>
      <c r="AA105" s="1212"/>
      <c r="AB105" s="1212"/>
      <c r="AC105" s="1212"/>
      <c r="AD105" s="1212"/>
      <c r="AE105" s="1212"/>
      <c r="AF105" s="1212"/>
      <c r="AG105" s="1212"/>
      <c r="AH105" s="1212"/>
      <c r="AI105" s="1212"/>
      <c r="AJ105" s="1212"/>
      <c r="AK105" s="1212"/>
      <c r="AL105" s="1212"/>
      <c r="AM105" s="1212"/>
      <c r="AN105" s="1212"/>
      <c r="AO105" s="1212"/>
      <c r="AP105" s="1212"/>
      <c r="AQ105" s="1212"/>
      <c r="AR105" s="1212"/>
      <c r="AS105" s="1212"/>
      <c r="AT105" s="1212"/>
      <c r="AU105" s="1212"/>
      <c r="AV105" s="1213"/>
      <c r="AW105" s="1212"/>
      <c r="AX105" s="1212"/>
      <c r="AY105" s="1212"/>
      <c r="AZ105" s="1212"/>
      <c r="BA105" s="1212"/>
      <c r="BB105" s="1212"/>
      <c r="BC105" s="1212"/>
      <c r="BD105" s="1212"/>
      <c r="BE105" s="1212"/>
      <c r="BF105" s="1212"/>
      <c r="BG105" s="1212"/>
      <c r="BH105" s="1212"/>
      <c r="BI105" s="1212"/>
      <c r="BJ105" s="1212"/>
      <c r="BK105" s="1212"/>
      <c r="BL105" s="1212"/>
    </row>
    <row r="106" spans="1:64" s="679" customFormat="1" ht="15">
      <c r="A106" s="1065"/>
      <c r="B106" s="437"/>
      <c r="C106" s="1190" t="s">
        <v>1023</v>
      </c>
      <c r="D106" s="1177" t="s">
        <v>219</v>
      </c>
      <c r="E106" s="1992" t="s">
        <v>1326</v>
      </c>
      <c r="F106" s="1737">
        <v>17444436</v>
      </c>
      <c r="G106" s="1190">
        <f>+F106</f>
        <v>17444436</v>
      </c>
      <c r="H106" s="1066"/>
      <c r="I106" s="1169"/>
      <c r="J106" s="1169"/>
      <c r="K106" s="1169"/>
      <c r="L106" s="1169"/>
      <c r="M106" s="1169"/>
      <c r="N106" s="1169"/>
      <c r="O106" s="1169"/>
      <c r="P106" s="1185"/>
      <c r="Q106" s="1212"/>
      <c r="R106" s="1212"/>
      <c r="S106" s="1212"/>
      <c r="T106" s="1212"/>
      <c r="U106" s="1212"/>
      <c r="V106" s="1212"/>
      <c r="W106" s="1212"/>
      <c r="X106" s="1212"/>
      <c r="Y106" s="1212"/>
      <c r="Z106" s="1212"/>
      <c r="AA106" s="1212"/>
      <c r="AB106" s="1212"/>
      <c r="AC106" s="1212"/>
      <c r="AD106" s="1212"/>
      <c r="AE106" s="1212"/>
      <c r="AF106" s="1212"/>
      <c r="AG106" s="1212"/>
      <c r="AH106" s="1212"/>
      <c r="AI106" s="1212"/>
      <c r="AJ106" s="1212"/>
      <c r="AK106" s="1212"/>
      <c r="AL106" s="1212"/>
      <c r="AM106" s="1212"/>
      <c r="AN106" s="1212"/>
      <c r="AO106" s="1212"/>
      <c r="AP106" s="1212"/>
      <c r="AQ106" s="1212"/>
      <c r="AR106" s="1212"/>
      <c r="AS106" s="1212"/>
      <c r="AT106" s="1212"/>
      <c r="AU106" s="1212"/>
      <c r="AV106" s="1213"/>
      <c r="AW106" s="1212"/>
      <c r="AX106" s="1212"/>
      <c r="AY106" s="1212"/>
      <c r="AZ106" s="1212"/>
      <c r="BA106" s="1212"/>
      <c r="BB106" s="1212"/>
      <c r="BC106" s="1212"/>
      <c r="BD106" s="1212"/>
      <c r="BE106" s="1212"/>
      <c r="BF106" s="1212"/>
      <c r="BG106" s="1212"/>
      <c r="BH106" s="1212"/>
      <c r="BI106" s="1212"/>
      <c r="BJ106" s="1212"/>
      <c r="BK106" s="1212"/>
      <c r="BL106" s="1212"/>
    </row>
    <row r="107" spans="1:64" s="679" customFormat="1" ht="13.8" thickBot="1">
      <c r="A107" s="1065">
        <v>25</v>
      </c>
      <c r="B107" s="1169"/>
      <c r="C107" s="1188" t="s">
        <v>5</v>
      </c>
      <c r="D107" s="437"/>
      <c r="E107" s="437"/>
      <c r="F107" s="1186">
        <f>AVERAGE(F105:F106)</f>
        <v>15847618.5</v>
      </c>
      <c r="G107" s="1187">
        <f>+G106</f>
        <v>17444436</v>
      </c>
      <c r="H107" s="1066"/>
      <c r="I107" s="1171"/>
      <c r="J107" s="1169"/>
      <c r="K107" s="1173"/>
      <c r="L107" s="1173"/>
      <c r="M107" s="1173"/>
      <c r="N107" s="1173"/>
      <c r="O107" s="1173"/>
      <c r="P107" s="1185"/>
      <c r="Q107" s="1212"/>
      <c r="R107" s="1212"/>
      <c r="S107" s="1212"/>
      <c r="T107" s="1212"/>
      <c r="U107" s="1212"/>
      <c r="V107" s="1212"/>
      <c r="W107" s="1212"/>
      <c r="X107" s="1212"/>
      <c r="Y107" s="1212"/>
      <c r="Z107" s="1212"/>
      <c r="AA107" s="1212"/>
      <c r="AB107" s="1212"/>
      <c r="AC107" s="1212"/>
      <c r="AD107" s="1212"/>
      <c r="AE107" s="1212"/>
      <c r="AF107" s="1212"/>
      <c r="AG107" s="1212"/>
      <c r="AH107" s="1212"/>
      <c r="AI107" s="1212"/>
      <c r="AJ107" s="1212"/>
      <c r="AK107" s="1212"/>
      <c r="AL107" s="1212"/>
      <c r="AM107" s="1212"/>
      <c r="AN107" s="1212"/>
      <c r="AO107" s="1212"/>
      <c r="AP107" s="1212"/>
      <c r="AQ107" s="1212"/>
      <c r="AR107" s="1212"/>
      <c r="AS107" s="1212"/>
      <c r="AT107" s="1212"/>
      <c r="AU107" s="1212"/>
      <c r="AV107" s="1213"/>
      <c r="AW107" s="1212"/>
      <c r="AX107" s="1212"/>
      <c r="AY107" s="1212"/>
      <c r="AZ107" s="1212"/>
      <c r="BA107" s="1212"/>
      <c r="BB107" s="1212"/>
      <c r="BC107" s="1212"/>
      <c r="BD107" s="1212"/>
      <c r="BE107" s="1212"/>
      <c r="BF107" s="1212"/>
      <c r="BG107" s="1212"/>
      <c r="BH107" s="1212"/>
      <c r="BI107" s="1212"/>
      <c r="BJ107" s="1212"/>
      <c r="BK107" s="1212"/>
      <c r="BL107" s="1212"/>
    </row>
    <row r="108" spans="1:64" s="679" customFormat="1" ht="27" thickTop="1">
      <c r="A108" s="1065"/>
      <c r="B108" s="1169"/>
      <c r="C108" s="1066"/>
      <c r="D108" s="437"/>
      <c r="E108" s="1169"/>
      <c r="F108" s="1178" t="s">
        <v>927</v>
      </c>
      <c r="G108" s="1189" t="s">
        <v>927</v>
      </c>
      <c r="H108" s="1065"/>
      <c r="I108" s="437"/>
      <c r="J108" s="1169"/>
      <c r="K108" s="1173"/>
      <c r="L108" s="1173"/>
      <c r="M108" s="1173"/>
      <c r="N108" s="1173"/>
      <c r="O108" s="1173"/>
      <c r="P108" s="1185"/>
      <c r="Q108" s="1212"/>
      <c r="R108" s="1212"/>
      <c r="S108" s="1212"/>
      <c r="T108" s="1212"/>
      <c r="U108" s="1212"/>
      <c r="V108" s="1212"/>
      <c r="W108" s="1212"/>
      <c r="X108" s="1212"/>
      <c r="Y108" s="1212"/>
      <c r="Z108" s="1212"/>
      <c r="AA108" s="1212"/>
      <c r="AB108" s="1212"/>
      <c r="AC108" s="1212"/>
      <c r="AD108" s="1212"/>
      <c r="AE108" s="1212"/>
      <c r="AF108" s="1212"/>
      <c r="AG108" s="1212"/>
      <c r="AH108" s="1212"/>
      <c r="AI108" s="1212"/>
      <c r="AJ108" s="1212"/>
      <c r="AK108" s="1212"/>
      <c r="AL108" s="1212"/>
      <c r="AM108" s="1212"/>
      <c r="AN108" s="1212"/>
      <c r="AO108" s="1212"/>
      <c r="AP108" s="1212"/>
      <c r="AQ108" s="1212"/>
      <c r="AR108" s="1212"/>
      <c r="AS108" s="1212"/>
      <c r="AT108" s="1212"/>
      <c r="AU108" s="1212"/>
      <c r="AV108" s="1213"/>
      <c r="AW108" s="1212"/>
      <c r="AX108" s="1212"/>
      <c r="AY108" s="1212"/>
      <c r="AZ108" s="1212"/>
      <c r="BA108" s="1212"/>
      <c r="BB108" s="1212"/>
      <c r="BC108" s="1212"/>
      <c r="BD108" s="1212"/>
      <c r="BE108" s="1212"/>
      <c r="BF108" s="1212"/>
      <c r="BG108" s="1212"/>
      <c r="BH108" s="1212"/>
      <c r="BI108" s="1212"/>
      <c r="BJ108" s="1212"/>
      <c r="BK108" s="1212"/>
      <c r="BL108" s="1212"/>
    </row>
    <row r="109" spans="1:64" s="679" customFormat="1">
      <c r="A109" s="1065"/>
      <c r="B109" s="437"/>
      <c r="C109" s="1231" t="s">
        <v>6</v>
      </c>
      <c r="D109" s="437" t="s">
        <v>1022</v>
      </c>
      <c r="E109" s="1169"/>
      <c r="F109" s="1169"/>
      <c r="G109" s="1065"/>
      <c r="H109" s="1066"/>
      <c r="I109" s="1169"/>
      <c r="J109" s="1169"/>
      <c r="K109" s="1173"/>
      <c r="L109" s="1173"/>
      <c r="M109" s="1173"/>
      <c r="N109" s="1173"/>
      <c r="O109" s="1173"/>
      <c r="P109" s="1185"/>
      <c r="Q109" s="1212"/>
      <c r="R109" s="1212"/>
      <c r="S109" s="1212"/>
      <c r="T109" s="1212"/>
      <c r="U109" s="1212"/>
      <c r="V109" s="1212"/>
      <c r="W109" s="1212"/>
      <c r="X109" s="1212"/>
      <c r="Y109" s="1212"/>
      <c r="Z109" s="1212"/>
      <c r="AA109" s="1212"/>
      <c r="AB109" s="1212"/>
      <c r="AC109" s="1212"/>
      <c r="AD109" s="1212"/>
      <c r="AE109" s="1212"/>
      <c r="AF109" s="1212"/>
      <c r="AG109" s="1212"/>
      <c r="AH109" s="1212"/>
      <c r="AI109" s="1212"/>
      <c r="AJ109" s="1212"/>
      <c r="AK109" s="1212"/>
      <c r="AL109" s="1212"/>
      <c r="AM109" s="1212"/>
      <c r="AN109" s="1212"/>
      <c r="AO109" s="1212"/>
      <c r="AP109" s="1212"/>
      <c r="AQ109" s="1212"/>
      <c r="AR109" s="1212"/>
      <c r="AS109" s="1212"/>
      <c r="AT109" s="1212"/>
      <c r="AU109" s="1212"/>
      <c r="AV109" s="1213"/>
      <c r="AW109" s="1212"/>
      <c r="AX109" s="1212"/>
      <c r="AY109" s="1212"/>
      <c r="AZ109" s="1212"/>
      <c r="BA109" s="1212"/>
      <c r="BB109" s="1212"/>
      <c r="BC109" s="1212"/>
      <c r="BD109" s="1212"/>
      <c r="BE109" s="1212"/>
      <c r="BF109" s="1212"/>
      <c r="BG109" s="1212"/>
      <c r="BH109" s="1212"/>
      <c r="BI109" s="1212"/>
      <c r="BJ109" s="1212"/>
      <c r="BK109" s="1212"/>
      <c r="BL109" s="1212"/>
    </row>
    <row r="110" spans="1:64" s="679" customFormat="1">
      <c r="A110" s="1065"/>
      <c r="B110" s="1169"/>
      <c r="C110" s="1066" t="s">
        <v>1023</v>
      </c>
      <c r="D110" s="437" t="s">
        <v>220</v>
      </c>
      <c r="E110" s="1991" t="s">
        <v>1278</v>
      </c>
      <c r="F110" s="1375">
        <v>9882707</v>
      </c>
      <c r="G110" s="437"/>
      <c r="H110" s="1743"/>
      <c r="I110" s="1169"/>
      <c r="J110" s="1169"/>
      <c r="K110" s="1173"/>
      <c r="L110" s="1173"/>
      <c r="M110" s="1173"/>
      <c r="N110" s="1173"/>
      <c r="O110" s="1173"/>
      <c r="P110" s="1185"/>
      <c r="Q110" s="1212"/>
      <c r="R110" s="1212"/>
      <c r="S110" s="1212"/>
      <c r="T110" s="1212"/>
      <c r="U110" s="1212"/>
      <c r="V110" s="1212"/>
      <c r="W110" s="1212"/>
      <c r="X110" s="1212"/>
      <c r="Y110" s="1212"/>
      <c r="Z110" s="1212"/>
      <c r="AA110" s="1212"/>
      <c r="AB110" s="1212"/>
      <c r="AC110" s="1212"/>
      <c r="AD110" s="1212"/>
      <c r="AE110" s="1212"/>
      <c r="AF110" s="1212"/>
      <c r="AG110" s="1212"/>
      <c r="AH110" s="1212"/>
      <c r="AI110" s="1212"/>
      <c r="AJ110" s="1212"/>
      <c r="AK110" s="1212"/>
      <c r="AL110" s="1212"/>
      <c r="AM110" s="1212"/>
      <c r="AN110" s="1212"/>
      <c r="AO110" s="1212"/>
      <c r="AP110" s="1212"/>
      <c r="AQ110" s="1212"/>
      <c r="AR110" s="1212"/>
      <c r="AS110" s="1212"/>
      <c r="AT110" s="1212"/>
      <c r="AU110" s="1212"/>
      <c r="AV110" s="1213"/>
      <c r="AW110" s="1212"/>
      <c r="AX110" s="1212"/>
      <c r="AY110" s="1212"/>
      <c r="AZ110" s="1212"/>
      <c r="BA110" s="1212"/>
      <c r="BB110" s="1212"/>
      <c r="BC110" s="1212"/>
      <c r="BD110" s="1212"/>
      <c r="BE110" s="1212"/>
      <c r="BF110" s="1212"/>
      <c r="BG110" s="1212"/>
      <c r="BH110" s="1212"/>
      <c r="BI110" s="1212"/>
      <c r="BJ110" s="1212"/>
      <c r="BK110" s="1212"/>
      <c r="BL110" s="1212"/>
    </row>
    <row r="111" spans="1:64" s="679" customFormat="1" ht="15">
      <c r="A111" s="1065"/>
      <c r="B111" s="437"/>
      <c r="C111" s="1190" t="s">
        <v>1023</v>
      </c>
      <c r="D111" s="1177" t="s">
        <v>221</v>
      </c>
      <c r="E111" s="1992" t="s">
        <v>1326</v>
      </c>
      <c r="F111" s="1737">
        <v>12119855</v>
      </c>
      <c r="G111" s="1190">
        <f>+F111</f>
        <v>12119855</v>
      </c>
      <c r="H111" s="1066"/>
      <c r="I111" s="1169"/>
      <c r="J111" s="1169"/>
      <c r="K111" s="1169"/>
      <c r="L111" s="1169"/>
      <c r="M111" s="1169"/>
      <c r="N111" s="1169"/>
      <c r="O111" s="1169"/>
      <c r="P111" s="1185"/>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2"/>
      <c r="AL111" s="1212"/>
      <c r="AM111" s="1212"/>
      <c r="AN111" s="1212"/>
      <c r="AO111" s="1212"/>
      <c r="AP111" s="1212"/>
      <c r="AQ111" s="1212"/>
      <c r="AR111" s="1212"/>
      <c r="AS111" s="1212"/>
      <c r="AT111" s="1212"/>
      <c r="AU111" s="1212"/>
      <c r="AV111" s="1213"/>
      <c r="AW111" s="1212"/>
      <c r="AX111" s="1212"/>
      <c r="AY111" s="1212"/>
      <c r="AZ111" s="1212"/>
      <c r="BA111" s="1212"/>
      <c r="BB111" s="1212"/>
      <c r="BC111" s="1212"/>
      <c r="BD111" s="1212"/>
      <c r="BE111" s="1212"/>
      <c r="BF111" s="1212"/>
      <c r="BG111" s="1212"/>
      <c r="BH111" s="1212"/>
      <c r="BI111" s="1212"/>
      <c r="BJ111" s="1212"/>
      <c r="BK111" s="1212"/>
      <c r="BL111" s="1212"/>
    </row>
    <row r="112" spans="1:64" s="679" customFormat="1" ht="13.8" thickBot="1">
      <c r="A112" s="1065">
        <v>24</v>
      </c>
      <c r="B112" s="1169"/>
      <c r="C112" s="1188" t="s">
        <v>649</v>
      </c>
      <c r="D112" s="437"/>
      <c r="E112" s="437"/>
      <c r="F112" s="1186">
        <f>AVERAGE(F110:F111)</f>
        <v>11001281</v>
      </c>
      <c r="G112" s="1187">
        <f>+G111</f>
        <v>12119855</v>
      </c>
      <c r="H112" s="1066"/>
      <c r="I112" s="1171"/>
      <c r="J112" s="1169"/>
      <c r="K112" s="1173"/>
      <c r="L112" s="1173"/>
      <c r="M112" s="1173"/>
      <c r="N112" s="1173"/>
      <c r="O112" s="1173"/>
      <c r="P112" s="1185"/>
      <c r="Q112" s="1212"/>
      <c r="R112" s="1212"/>
      <c r="S112" s="1212"/>
      <c r="T112" s="1212"/>
      <c r="U112" s="1212"/>
      <c r="V112" s="1212"/>
      <c r="W112" s="1212"/>
      <c r="X112" s="1212"/>
      <c r="Y112" s="1212"/>
      <c r="Z112" s="1212"/>
      <c r="AA112" s="1212"/>
      <c r="AB112" s="1212"/>
      <c r="AC112" s="1212"/>
      <c r="AD112" s="1212"/>
      <c r="AE112" s="1212"/>
      <c r="AF112" s="1212"/>
      <c r="AG112" s="1212"/>
      <c r="AH112" s="1212"/>
      <c r="AI112" s="1212"/>
      <c r="AJ112" s="1212"/>
      <c r="AK112" s="1212"/>
      <c r="AL112" s="1212"/>
      <c r="AM112" s="1212"/>
      <c r="AN112" s="1212"/>
      <c r="AO112" s="1212"/>
      <c r="AP112" s="1212"/>
      <c r="AQ112" s="1212"/>
      <c r="AR112" s="1212"/>
      <c r="AS112" s="1212"/>
      <c r="AT112" s="1212"/>
      <c r="AU112" s="1212"/>
      <c r="AV112" s="1213"/>
      <c r="AW112" s="1212"/>
      <c r="AX112" s="1212"/>
      <c r="AY112" s="1212"/>
      <c r="AZ112" s="1212"/>
      <c r="BA112" s="1212"/>
      <c r="BB112" s="1212"/>
      <c r="BC112" s="1212"/>
      <c r="BD112" s="1212"/>
      <c r="BE112" s="1212"/>
      <c r="BF112" s="1212"/>
      <c r="BG112" s="1212"/>
      <c r="BH112" s="1212"/>
      <c r="BI112" s="1212"/>
      <c r="BJ112" s="1212"/>
      <c r="BK112" s="1212"/>
      <c r="BL112" s="1212"/>
    </row>
    <row r="113" spans="1:64" s="679" customFormat="1" ht="27" thickTop="1">
      <c r="A113" s="1065"/>
      <c r="B113" s="437"/>
      <c r="C113" s="1065"/>
      <c r="D113" s="437"/>
      <c r="E113" s="1169"/>
      <c r="F113" s="1178" t="s">
        <v>232</v>
      </c>
      <c r="G113" s="1189" t="s">
        <v>232</v>
      </c>
      <c r="H113" s="1066"/>
      <c r="I113" s="1169"/>
      <c r="J113" s="1169"/>
      <c r="K113" s="1169"/>
      <c r="L113" s="1169"/>
      <c r="M113" s="1169"/>
      <c r="N113" s="1169"/>
      <c r="O113" s="1169"/>
      <c r="P113" s="1185"/>
      <c r="Q113" s="1212"/>
      <c r="R113" s="1212"/>
      <c r="S113" s="1212"/>
      <c r="T113" s="1212"/>
      <c r="U113" s="1212"/>
      <c r="V113" s="1212"/>
      <c r="W113" s="1212"/>
      <c r="X113" s="1212"/>
      <c r="Y113" s="1212"/>
      <c r="Z113" s="1212"/>
      <c r="AA113" s="1212"/>
      <c r="AB113" s="1212"/>
      <c r="AC113" s="1212"/>
      <c r="AD113" s="1212"/>
      <c r="AE113" s="1212"/>
      <c r="AF113" s="1212"/>
      <c r="AG113" s="1212"/>
      <c r="AH113" s="1212"/>
      <c r="AI113" s="1212"/>
      <c r="AJ113" s="1212"/>
      <c r="AK113" s="1212"/>
      <c r="AL113" s="1212"/>
      <c r="AM113" s="1212"/>
      <c r="AN113" s="1212"/>
      <c r="AO113" s="1212"/>
      <c r="AP113" s="1212"/>
      <c r="AQ113" s="1212"/>
      <c r="AR113" s="1212"/>
      <c r="AS113" s="1212"/>
      <c r="AT113" s="1212"/>
      <c r="AU113" s="1212"/>
      <c r="AV113" s="1213"/>
      <c r="AW113" s="1212"/>
      <c r="AX113" s="1212"/>
      <c r="AY113" s="1212"/>
      <c r="AZ113" s="1212"/>
      <c r="BA113" s="1212"/>
      <c r="BB113" s="1212"/>
      <c r="BC113" s="1212"/>
      <c r="BD113" s="1212"/>
      <c r="BE113" s="1212"/>
      <c r="BF113" s="1212"/>
      <c r="BG113" s="1212"/>
      <c r="BH113" s="1212"/>
      <c r="BI113" s="1212"/>
      <c r="BJ113" s="1212"/>
      <c r="BK113" s="1212"/>
      <c r="BL113" s="1212"/>
    </row>
    <row r="114" spans="1:64" s="679" customFormat="1">
      <c r="A114" s="1065"/>
      <c r="B114" s="437"/>
      <c r="C114" s="1231" t="s">
        <v>7</v>
      </c>
      <c r="D114" s="437" t="s">
        <v>1022</v>
      </c>
      <c r="E114" s="1169"/>
      <c r="F114" s="1169"/>
      <c r="G114" s="1065"/>
      <c r="H114" s="1066"/>
      <c r="I114" s="1169"/>
      <c r="J114" s="1169"/>
      <c r="K114" s="1173"/>
      <c r="L114" s="1173"/>
      <c r="M114" s="1173"/>
      <c r="N114" s="1173"/>
      <c r="O114" s="1173"/>
      <c r="P114" s="1185"/>
      <c r="Q114" s="1212"/>
      <c r="R114" s="1212"/>
      <c r="S114" s="1212"/>
      <c r="T114" s="1212"/>
      <c r="U114" s="1212"/>
      <c r="V114" s="1212"/>
      <c r="W114" s="1212"/>
      <c r="X114" s="1212"/>
      <c r="Y114" s="1212"/>
      <c r="Z114" s="1212"/>
      <c r="AA114" s="1212"/>
      <c r="AB114" s="1212"/>
      <c r="AC114" s="1212"/>
      <c r="AD114" s="1212"/>
      <c r="AE114" s="1212"/>
      <c r="AF114" s="1212"/>
      <c r="AG114" s="1212"/>
      <c r="AH114" s="1212"/>
      <c r="AI114" s="1212"/>
      <c r="AJ114" s="1212"/>
      <c r="AK114" s="1212"/>
      <c r="AL114" s="1212"/>
      <c r="AM114" s="1212"/>
      <c r="AN114" s="1212"/>
      <c r="AO114" s="1212"/>
      <c r="AP114" s="1212"/>
      <c r="AQ114" s="1212"/>
      <c r="AR114" s="1212"/>
      <c r="AS114" s="1212"/>
      <c r="AT114" s="1212"/>
      <c r="AU114" s="1212"/>
      <c r="AV114" s="1213"/>
      <c r="AW114" s="1212"/>
      <c r="AX114" s="1212"/>
      <c r="AY114" s="1212"/>
      <c r="AZ114" s="1212"/>
      <c r="BA114" s="1212"/>
      <c r="BB114" s="1212"/>
      <c r="BC114" s="1212"/>
      <c r="BD114" s="1212"/>
      <c r="BE114" s="1212"/>
      <c r="BF114" s="1212"/>
      <c r="BG114" s="1212"/>
      <c r="BH114" s="1212"/>
      <c r="BI114" s="1212"/>
      <c r="BJ114" s="1212"/>
      <c r="BK114" s="1212"/>
      <c r="BL114" s="1212"/>
    </row>
    <row r="115" spans="1:64" s="679" customFormat="1">
      <c r="A115" s="1065"/>
      <c r="B115" s="437"/>
      <c r="C115" s="1066" t="s">
        <v>1023</v>
      </c>
      <c r="D115" s="437" t="s">
        <v>222</v>
      </c>
      <c r="E115" s="1991" t="s">
        <v>1278</v>
      </c>
      <c r="F115" s="545">
        <v>0</v>
      </c>
      <c r="G115" s="1065"/>
      <c r="H115" s="1066"/>
      <c r="I115" s="1169"/>
      <c r="J115" s="1169"/>
      <c r="K115" s="1173"/>
      <c r="L115" s="1173"/>
      <c r="M115" s="1173"/>
      <c r="N115" s="1173"/>
      <c r="O115" s="1173"/>
      <c r="P115" s="1185"/>
      <c r="Q115" s="1212"/>
      <c r="R115" s="1212"/>
      <c r="S115" s="1212"/>
      <c r="T115" s="1212"/>
      <c r="U115" s="1212"/>
      <c r="V115" s="1212"/>
      <c r="W115" s="1212"/>
      <c r="X115" s="1212"/>
      <c r="Y115" s="1212"/>
      <c r="Z115" s="1212"/>
      <c r="AA115" s="1212"/>
      <c r="AB115" s="1212"/>
      <c r="AC115" s="1212"/>
      <c r="AD115" s="1212"/>
      <c r="AE115" s="1212"/>
      <c r="AF115" s="1212"/>
      <c r="AG115" s="1212"/>
      <c r="AH115" s="1212"/>
      <c r="AI115" s="1212"/>
      <c r="AJ115" s="1212"/>
      <c r="AK115" s="1212"/>
      <c r="AL115" s="1212"/>
      <c r="AM115" s="1212"/>
      <c r="AN115" s="1212"/>
      <c r="AO115" s="1212"/>
      <c r="AP115" s="1212"/>
      <c r="AQ115" s="1212"/>
      <c r="AR115" s="1212"/>
      <c r="AS115" s="1212"/>
      <c r="AT115" s="1212"/>
      <c r="AU115" s="1212"/>
      <c r="AV115" s="1213"/>
      <c r="AW115" s="1212"/>
      <c r="AX115" s="1212"/>
      <c r="AY115" s="1212"/>
      <c r="AZ115" s="1212"/>
      <c r="BA115" s="1212"/>
      <c r="BB115" s="1212"/>
      <c r="BC115" s="1212"/>
      <c r="BD115" s="1212"/>
      <c r="BE115" s="1212"/>
      <c r="BF115" s="1212"/>
      <c r="BG115" s="1212"/>
      <c r="BH115" s="1212"/>
      <c r="BI115" s="1212"/>
      <c r="BJ115" s="1212"/>
      <c r="BK115" s="1212"/>
      <c r="BL115" s="1212"/>
    </row>
    <row r="116" spans="1:64" s="679" customFormat="1">
      <c r="A116" s="1068"/>
      <c r="B116" s="437"/>
      <c r="C116" s="1232" t="s">
        <v>1024</v>
      </c>
      <c r="D116" s="437" t="s">
        <v>1025</v>
      </c>
      <c r="E116" s="1991" t="s">
        <v>1326</v>
      </c>
      <c r="F116" s="545">
        <v>0</v>
      </c>
      <c r="G116" s="1065"/>
      <c r="H116" s="1066"/>
      <c r="I116" s="1169"/>
      <c r="J116" s="1169"/>
      <c r="K116" s="1192"/>
      <c r="L116" s="1192"/>
      <c r="M116" s="1192"/>
      <c r="N116" s="1192"/>
      <c r="O116" s="1192"/>
      <c r="P116" s="1185"/>
      <c r="Q116" s="1212"/>
      <c r="R116" s="1212"/>
      <c r="S116" s="1212"/>
      <c r="T116" s="1212"/>
      <c r="U116" s="1212"/>
      <c r="V116" s="1212"/>
      <c r="W116" s="1212"/>
      <c r="X116" s="1212"/>
      <c r="Y116" s="1212"/>
      <c r="Z116" s="1212"/>
      <c r="AA116" s="1212"/>
      <c r="AB116" s="1212"/>
      <c r="AC116" s="1212"/>
      <c r="AD116" s="1212"/>
      <c r="AE116" s="1212"/>
      <c r="AF116" s="1212"/>
      <c r="AG116" s="1212"/>
      <c r="AH116" s="1212"/>
      <c r="AI116" s="1212"/>
      <c r="AJ116" s="1212"/>
      <c r="AK116" s="1212"/>
      <c r="AL116" s="1212"/>
      <c r="AM116" s="1212"/>
      <c r="AN116" s="1212"/>
      <c r="AO116" s="1212"/>
      <c r="AP116" s="1212"/>
      <c r="AQ116" s="1212"/>
      <c r="AR116" s="1212"/>
      <c r="AS116" s="1212"/>
      <c r="AT116" s="1212"/>
      <c r="AU116" s="1212"/>
      <c r="AV116" s="1213"/>
      <c r="AW116" s="1212"/>
      <c r="AX116" s="1212"/>
      <c r="AY116" s="1212"/>
      <c r="AZ116" s="1212"/>
      <c r="BA116" s="1212"/>
      <c r="BB116" s="1212"/>
      <c r="BC116" s="1212"/>
      <c r="BD116" s="1212"/>
      <c r="BE116" s="1212"/>
      <c r="BF116" s="1212"/>
      <c r="BG116" s="1212"/>
      <c r="BH116" s="1212"/>
      <c r="BI116" s="1212"/>
      <c r="BJ116" s="1212"/>
      <c r="BK116" s="1212"/>
      <c r="BL116" s="1212"/>
    </row>
    <row r="117" spans="1:64" s="679" customFormat="1">
      <c r="A117" s="1068"/>
      <c r="B117" s="437"/>
      <c r="C117" s="1232" t="s">
        <v>1026</v>
      </c>
      <c r="D117" s="437" t="s">
        <v>1025</v>
      </c>
      <c r="E117" s="437" t="s">
        <v>1326</v>
      </c>
      <c r="F117" s="545">
        <v>0</v>
      </c>
      <c r="G117" s="1065"/>
      <c r="H117" s="1066"/>
      <c r="I117" s="1169"/>
      <c r="J117" s="1169"/>
      <c r="K117" s="1192"/>
      <c r="L117" s="1192"/>
      <c r="M117" s="1192"/>
      <c r="N117" s="1192"/>
      <c r="O117" s="1192"/>
      <c r="P117" s="1185"/>
      <c r="Q117" s="1212"/>
      <c r="R117" s="1212"/>
      <c r="S117" s="1212"/>
      <c r="T117" s="1212"/>
      <c r="U117" s="1212"/>
      <c r="V117" s="1212"/>
      <c r="W117" s="1212"/>
      <c r="X117" s="1212"/>
      <c r="Y117" s="1212"/>
      <c r="Z117" s="1212"/>
      <c r="AA117" s="1212"/>
      <c r="AB117" s="1212"/>
      <c r="AC117" s="1212"/>
      <c r="AD117" s="1212"/>
      <c r="AE117" s="1212"/>
      <c r="AF117" s="1212"/>
      <c r="AG117" s="1212"/>
      <c r="AH117" s="1212"/>
      <c r="AI117" s="1212"/>
      <c r="AJ117" s="1212"/>
      <c r="AK117" s="1212"/>
      <c r="AL117" s="1212"/>
      <c r="AM117" s="1212"/>
      <c r="AN117" s="1212"/>
      <c r="AO117" s="1212"/>
      <c r="AP117" s="1212"/>
      <c r="AQ117" s="1212"/>
      <c r="AR117" s="1212"/>
      <c r="AS117" s="1212"/>
      <c r="AT117" s="1212"/>
      <c r="AU117" s="1212"/>
      <c r="AV117" s="1213"/>
      <c r="AW117" s="1212"/>
      <c r="AX117" s="1212"/>
      <c r="AY117" s="1212"/>
      <c r="AZ117" s="1212"/>
      <c r="BA117" s="1212"/>
      <c r="BB117" s="1212"/>
      <c r="BC117" s="1212"/>
      <c r="BD117" s="1212"/>
      <c r="BE117" s="1212"/>
      <c r="BF117" s="1212"/>
      <c r="BG117" s="1212"/>
      <c r="BH117" s="1212"/>
      <c r="BI117" s="1212"/>
      <c r="BJ117" s="1212"/>
      <c r="BK117" s="1212"/>
      <c r="BL117" s="1212"/>
    </row>
    <row r="118" spans="1:64" s="679" customFormat="1">
      <c r="A118" s="1068"/>
      <c r="B118" s="437"/>
      <c r="C118" s="1232" t="s">
        <v>426</v>
      </c>
      <c r="D118" s="437" t="s">
        <v>1025</v>
      </c>
      <c r="E118" s="437" t="s">
        <v>1326</v>
      </c>
      <c r="F118" s="545">
        <v>0</v>
      </c>
      <c r="G118" s="1065"/>
      <c r="H118" s="1066"/>
      <c r="I118" s="1169"/>
      <c r="J118" s="1169"/>
      <c r="K118" s="1192"/>
      <c r="L118" s="1192"/>
      <c r="M118" s="1192"/>
      <c r="N118" s="1192"/>
      <c r="O118" s="1192"/>
      <c r="P118" s="1185"/>
      <c r="Q118" s="1212"/>
      <c r="R118" s="1212"/>
      <c r="S118" s="1212"/>
      <c r="T118" s="1212"/>
      <c r="U118" s="1212"/>
      <c r="V118" s="1212"/>
      <c r="W118" s="1212"/>
      <c r="X118" s="1212"/>
      <c r="Y118" s="1212"/>
      <c r="Z118" s="1212"/>
      <c r="AA118" s="1212"/>
      <c r="AB118" s="1212"/>
      <c r="AC118" s="1212"/>
      <c r="AD118" s="1212"/>
      <c r="AE118" s="1212"/>
      <c r="AF118" s="1212"/>
      <c r="AG118" s="1212"/>
      <c r="AH118" s="1212"/>
      <c r="AI118" s="1212"/>
      <c r="AJ118" s="1212"/>
      <c r="AK118" s="1212"/>
      <c r="AL118" s="1212"/>
      <c r="AM118" s="1212"/>
      <c r="AN118" s="1212"/>
      <c r="AO118" s="1212"/>
      <c r="AP118" s="1212"/>
      <c r="AQ118" s="1212"/>
      <c r="AR118" s="1212"/>
      <c r="AS118" s="1212"/>
      <c r="AT118" s="1212"/>
      <c r="AU118" s="1212"/>
      <c r="AV118" s="1213"/>
      <c r="AW118" s="1212"/>
      <c r="AX118" s="1212"/>
      <c r="AY118" s="1212"/>
      <c r="AZ118" s="1212"/>
      <c r="BA118" s="1212"/>
      <c r="BB118" s="1212"/>
      <c r="BC118" s="1212"/>
      <c r="BD118" s="1212"/>
      <c r="BE118" s="1212"/>
      <c r="BF118" s="1212"/>
      <c r="BG118" s="1212"/>
      <c r="BH118" s="1212"/>
      <c r="BI118" s="1212"/>
      <c r="BJ118" s="1212"/>
      <c r="BK118" s="1212"/>
      <c r="BL118" s="1212"/>
    </row>
    <row r="119" spans="1:64" s="679" customFormat="1">
      <c r="A119" s="1068"/>
      <c r="B119" s="437"/>
      <c r="C119" s="1232" t="s">
        <v>295</v>
      </c>
      <c r="D119" s="437" t="s">
        <v>1025</v>
      </c>
      <c r="E119" s="437" t="s">
        <v>1326</v>
      </c>
      <c r="F119" s="545">
        <v>0</v>
      </c>
      <c r="G119" s="1065"/>
      <c r="H119" s="1066"/>
      <c r="I119" s="1169"/>
      <c r="J119" s="1169"/>
      <c r="K119" s="1192"/>
      <c r="L119" s="1192"/>
      <c r="M119" s="1192"/>
      <c r="N119" s="1192"/>
      <c r="O119" s="1192"/>
      <c r="P119" s="1185"/>
      <c r="Q119" s="1212"/>
      <c r="R119" s="1212"/>
      <c r="S119" s="1212"/>
      <c r="T119" s="1212"/>
      <c r="U119" s="1212"/>
      <c r="V119" s="1212"/>
      <c r="W119" s="1212"/>
      <c r="X119" s="1212"/>
      <c r="Y119" s="1212"/>
      <c r="Z119" s="1212"/>
      <c r="AA119" s="1212"/>
      <c r="AB119" s="1212"/>
      <c r="AC119" s="1212"/>
      <c r="AD119" s="1212"/>
      <c r="AE119" s="1212"/>
      <c r="AF119" s="1212"/>
      <c r="AG119" s="1212"/>
      <c r="AH119" s="1212"/>
      <c r="AI119" s="1212"/>
      <c r="AJ119" s="1212"/>
      <c r="AK119" s="1212"/>
      <c r="AL119" s="1212"/>
      <c r="AM119" s="1212"/>
      <c r="AN119" s="1212"/>
      <c r="AO119" s="1212"/>
      <c r="AP119" s="1212"/>
      <c r="AQ119" s="1212"/>
      <c r="AR119" s="1212"/>
      <c r="AS119" s="1212"/>
      <c r="AT119" s="1212"/>
      <c r="AU119" s="1212"/>
      <c r="AV119" s="1213"/>
      <c r="AW119" s="1212"/>
      <c r="AX119" s="1212"/>
      <c r="AY119" s="1212"/>
      <c r="AZ119" s="1212"/>
      <c r="BA119" s="1212"/>
      <c r="BB119" s="1212"/>
      <c r="BC119" s="1212"/>
      <c r="BD119" s="1212"/>
      <c r="BE119" s="1212"/>
      <c r="BF119" s="1212"/>
      <c r="BG119" s="1212"/>
      <c r="BH119" s="1212"/>
      <c r="BI119" s="1212"/>
      <c r="BJ119" s="1212"/>
      <c r="BK119" s="1212"/>
      <c r="BL119" s="1212"/>
    </row>
    <row r="120" spans="1:64" s="679" customFormat="1">
      <c r="A120" s="1068"/>
      <c r="B120" s="437"/>
      <c r="C120" s="1232" t="s">
        <v>296</v>
      </c>
      <c r="D120" s="437" t="s">
        <v>1025</v>
      </c>
      <c r="E120" s="437" t="s">
        <v>1326</v>
      </c>
      <c r="F120" s="545">
        <v>0</v>
      </c>
      <c r="G120" s="1065"/>
      <c r="H120" s="1066"/>
      <c r="I120" s="1169"/>
      <c r="J120" s="1169"/>
      <c r="K120" s="1192"/>
      <c r="L120" s="1192"/>
      <c r="M120" s="1192"/>
      <c r="N120" s="1192"/>
      <c r="O120" s="1192"/>
      <c r="P120" s="1185"/>
      <c r="Q120" s="1212"/>
      <c r="R120" s="1212"/>
      <c r="S120" s="1212"/>
      <c r="T120" s="1212"/>
      <c r="U120" s="1212"/>
      <c r="V120" s="1212"/>
      <c r="W120" s="1212"/>
      <c r="X120" s="1212"/>
      <c r="Y120" s="1212"/>
      <c r="Z120" s="1212"/>
      <c r="AA120" s="1212"/>
      <c r="AB120" s="1212"/>
      <c r="AC120" s="1212"/>
      <c r="AD120" s="1212"/>
      <c r="AE120" s="1212"/>
      <c r="AF120" s="1212"/>
      <c r="AG120" s="1212"/>
      <c r="AH120" s="1212"/>
      <c r="AI120" s="1212"/>
      <c r="AJ120" s="1212"/>
      <c r="AK120" s="1212"/>
      <c r="AL120" s="1212"/>
      <c r="AM120" s="1212"/>
      <c r="AN120" s="1212"/>
      <c r="AO120" s="1212"/>
      <c r="AP120" s="1212"/>
      <c r="AQ120" s="1212"/>
      <c r="AR120" s="1212"/>
      <c r="AS120" s="1212"/>
      <c r="AT120" s="1212"/>
      <c r="AU120" s="1212"/>
      <c r="AV120" s="1213"/>
      <c r="AW120" s="1212"/>
      <c r="AX120" s="1212"/>
      <c r="AY120" s="1212"/>
      <c r="AZ120" s="1212"/>
      <c r="BA120" s="1212"/>
      <c r="BB120" s="1212"/>
      <c r="BC120" s="1212"/>
      <c r="BD120" s="1212"/>
      <c r="BE120" s="1212"/>
      <c r="BF120" s="1212"/>
      <c r="BG120" s="1212"/>
      <c r="BH120" s="1212"/>
      <c r="BI120" s="1212"/>
      <c r="BJ120" s="1212"/>
      <c r="BK120" s="1212"/>
      <c r="BL120" s="1212"/>
    </row>
    <row r="121" spans="1:64" s="679" customFormat="1">
      <c r="A121" s="1068"/>
      <c r="B121" s="437"/>
      <c r="C121" s="1232" t="s">
        <v>1027</v>
      </c>
      <c r="D121" s="437" t="s">
        <v>1025</v>
      </c>
      <c r="E121" s="437" t="s">
        <v>1326</v>
      </c>
      <c r="F121" s="545">
        <v>0</v>
      </c>
      <c r="G121" s="1065"/>
      <c r="H121" s="1066"/>
      <c r="I121" s="1169"/>
      <c r="J121" s="1169"/>
      <c r="K121" s="1192"/>
      <c r="L121" s="1192"/>
      <c r="M121" s="1192"/>
      <c r="N121" s="1192"/>
      <c r="O121" s="1192"/>
      <c r="P121" s="1185"/>
      <c r="Q121" s="1212"/>
      <c r="R121" s="1212"/>
      <c r="S121" s="1212"/>
      <c r="T121" s="1212"/>
      <c r="U121" s="1212"/>
      <c r="V121" s="1212"/>
      <c r="W121" s="1212"/>
      <c r="X121" s="1212"/>
      <c r="Y121" s="1212"/>
      <c r="Z121" s="1212"/>
      <c r="AA121" s="1212"/>
      <c r="AB121" s="1212"/>
      <c r="AC121" s="1212"/>
      <c r="AD121" s="1212"/>
      <c r="AE121" s="1212"/>
      <c r="AF121" s="1212"/>
      <c r="AG121" s="1212"/>
      <c r="AH121" s="1212"/>
      <c r="AI121" s="1212"/>
      <c r="AJ121" s="1212"/>
      <c r="AK121" s="1212"/>
      <c r="AL121" s="1212"/>
      <c r="AM121" s="1212"/>
      <c r="AN121" s="1212"/>
      <c r="AO121" s="1212"/>
      <c r="AP121" s="1212"/>
      <c r="AQ121" s="1212"/>
      <c r="AR121" s="1212"/>
      <c r="AS121" s="1212"/>
      <c r="AT121" s="1212"/>
      <c r="AU121" s="1212"/>
      <c r="AV121" s="1213"/>
      <c r="AW121" s="1212"/>
      <c r="AX121" s="1212"/>
      <c r="AY121" s="1212"/>
      <c r="AZ121" s="1212"/>
      <c r="BA121" s="1212"/>
      <c r="BB121" s="1212"/>
      <c r="BC121" s="1212"/>
      <c r="BD121" s="1212"/>
      <c r="BE121" s="1212"/>
      <c r="BF121" s="1212"/>
      <c r="BG121" s="1212"/>
      <c r="BH121" s="1212"/>
      <c r="BI121" s="1212"/>
      <c r="BJ121" s="1212"/>
      <c r="BK121" s="1212"/>
      <c r="BL121" s="1212"/>
    </row>
    <row r="122" spans="1:64" s="679" customFormat="1">
      <c r="A122" s="1068"/>
      <c r="B122" s="437"/>
      <c r="C122" s="1232" t="s">
        <v>1028</v>
      </c>
      <c r="D122" s="437" t="s">
        <v>1025</v>
      </c>
      <c r="E122" s="437" t="s">
        <v>1326</v>
      </c>
      <c r="F122" s="545">
        <v>0</v>
      </c>
      <c r="G122" s="1065"/>
      <c r="H122" s="1066"/>
      <c r="I122" s="1169"/>
      <c r="J122" s="1169"/>
      <c r="K122" s="1192"/>
      <c r="L122" s="1192"/>
      <c r="M122" s="1192"/>
      <c r="N122" s="1192"/>
      <c r="O122" s="1192"/>
      <c r="P122" s="1185"/>
      <c r="Q122" s="1212"/>
      <c r="R122" s="1212"/>
      <c r="S122" s="1212"/>
      <c r="T122" s="1212"/>
      <c r="U122" s="1212"/>
      <c r="V122" s="1212"/>
      <c r="W122" s="1212"/>
      <c r="X122" s="1212"/>
      <c r="Y122" s="1212"/>
      <c r="Z122" s="1212"/>
      <c r="AA122" s="1212"/>
      <c r="AB122" s="1212"/>
      <c r="AC122" s="1212"/>
      <c r="AD122" s="1212"/>
      <c r="AE122" s="1212"/>
      <c r="AF122" s="1212"/>
      <c r="AG122" s="1212"/>
      <c r="AH122" s="1212"/>
      <c r="AI122" s="1212"/>
      <c r="AJ122" s="1212"/>
      <c r="AK122" s="1212"/>
      <c r="AL122" s="1212"/>
      <c r="AM122" s="1212"/>
      <c r="AN122" s="1212"/>
      <c r="AO122" s="1212"/>
      <c r="AP122" s="1212"/>
      <c r="AQ122" s="1212"/>
      <c r="AR122" s="1212"/>
      <c r="AS122" s="1212"/>
      <c r="AT122" s="1212"/>
      <c r="AU122" s="1212"/>
      <c r="AV122" s="1213"/>
      <c r="AW122" s="1212"/>
      <c r="AX122" s="1212"/>
      <c r="AY122" s="1212"/>
      <c r="AZ122" s="1212"/>
      <c r="BA122" s="1212"/>
      <c r="BB122" s="1212"/>
      <c r="BC122" s="1212"/>
      <c r="BD122" s="1212"/>
      <c r="BE122" s="1212"/>
      <c r="BF122" s="1212"/>
      <c r="BG122" s="1212"/>
      <c r="BH122" s="1212"/>
      <c r="BI122" s="1212"/>
      <c r="BJ122" s="1212"/>
      <c r="BK122" s="1212"/>
      <c r="BL122" s="1212"/>
    </row>
    <row r="123" spans="1:64" s="679" customFormat="1">
      <c r="A123" s="1068"/>
      <c r="B123" s="437"/>
      <c r="C123" s="1232" t="s">
        <v>1029</v>
      </c>
      <c r="D123" s="437" t="s">
        <v>1025</v>
      </c>
      <c r="E123" s="437" t="s">
        <v>1326</v>
      </c>
      <c r="F123" s="545">
        <v>0</v>
      </c>
      <c r="G123" s="1065"/>
      <c r="H123" s="1066"/>
      <c r="I123" s="1169"/>
      <c r="J123" s="1169"/>
      <c r="K123" s="1192"/>
      <c r="L123" s="1192"/>
      <c r="M123" s="1192"/>
      <c r="N123" s="1192"/>
      <c r="O123" s="1192"/>
      <c r="P123" s="1185"/>
      <c r="Q123" s="1212"/>
      <c r="R123" s="1212"/>
      <c r="S123" s="1212"/>
      <c r="T123" s="1212"/>
      <c r="U123" s="1212"/>
      <c r="V123" s="1212"/>
      <c r="W123" s="1212"/>
      <c r="X123" s="1212"/>
      <c r="Y123" s="1212"/>
      <c r="Z123" s="1212"/>
      <c r="AA123" s="1212"/>
      <c r="AB123" s="1212"/>
      <c r="AC123" s="1212"/>
      <c r="AD123" s="1212"/>
      <c r="AE123" s="1212"/>
      <c r="AF123" s="1212"/>
      <c r="AG123" s="1212"/>
      <c r="AH123" s="1212"/>
      <c r="AI123" s="1212"/>
      <c r="AJ123" s="1212"/>
      <c r="AK123" s="1212"/>
      <c r="AL123" s="1212"/>
      <c r="AM123" s="1212"/>
      <c r="AN123" s="1212"/>
      <c r="AO123" s="1212"/>
      <c r="AP123" s="1212"/>
      <c r="AQ123" s="1212"/>
      <c r="AR123" s="1212"/>
      <c r="AS123" s="1212"/>
      <c r="AT123" s="1212"/>
      <c r="AU123" s="1212"/>
      <c r="AV123" s="1213"/>
      <c r="AW123" s="1212"/>
      <c r="AX123" s="1212"/>
      <c r="AY123" s="1212"/>
      <c r="AZ123" s="1212"/>
      <c r="BA123" s="1212"/>
      <c r="BB123" s="1212"/>
      <c r="BC123" s="1212"/>
      <c r="BD123" s="1212"/>
      <c r="BE123" s="1212"/>
      <c r="BF123" s="1212"/>
      <c r="BG123" s="1212"/>
      <c r="BH123" s="1212"/>
      <c r="BI123" s="1212"/>
      <c r="BJ123" s="1212"/>
      <c r="BK123" s="1212"/>
      <c r="BL123" s="1212"/>
    </row>
    <row r="124" spans="1:64" s="679" customFormat="1">
      <c r="A124" s="1068"/>
      <c r="B124" s="437"/>
      <c r="C124" s="1232" t="s">
        <v>1030</v>
      </c>
      <c r="D124" s="437" t="s">
        <v>1025</v>
      </c>
      <c r="E124" s="437" t="s">
        <v>1326</v>
      </c>
      <c r="F124" s="545">
        <v>0</v>
      </c>
      <c r="G124" s="1065"/>
      <c r="H124" s="1066"/>
      <c r="I124" s="1169"/>
      <c r="J124" s="1169"/>
      <c r="K124" s="1192"/>
      <c r="L124" s="1192"/>
      <c r="M124" s="1192"/>
      <c r="N124" s="1192"/>
      <c r="O124" s="1192"/>
      <c r="P124" s="1185"/>
      <c r="Q124" s="1212"/>
      <c r="R124" s="1212"/>
      <c r="S124" s="1212"/>
      <c r="T124" s="1212"/>
      <c r="U124" s="1212"/>
      <c r="V124" s="1212"/>
      <c r="W124" s="1212"/>
      <c r="X124" s="1212"/>
      <c r="Y124" s="1212"/>
      <c r="Z124" s="1212"/>
      <c r="AA124" s="1212"/>
      <c r="AB124" s="1212"/>
      <c r="AC124" s="1212"/>
      <c r="AD124" s="1212"/>
      <c r="AE124" s="1212"/>
      <c r="AF124" s="1212"/>
      <c r="AG124" s="1212"/>
      <c r="AH124" s="1212"/>
      <c r="AI124" s="1212"/>
      <c r="AJ124" s="1212"/>
      <c r="AK124" s="1212"/>
      <c r="AL124" s="1212"/>
      <c r="AM124" s="1212"/>
      <c r="AN124" s="1212"/>
      <c r="AO124" s="1212"/>
      <c r="AP124" s="1212"/>
      <c r="AQ124" s="1212"/>
      <c r="AR124" s="1212"/>
      <c r="AS124" s="1212"/>
      <c r="AT124" s="1212"/>
      <c r="AU124" s="1212"/>
      <c r="AV124" s="1213"/>
      <c r="AW124" s="1212"/>
      <c r="AX124" s="1212"/>
      <c r="AY124" s="1212"/>
      <c r="AZ124" s="1212"/>
      <c r="BA124" s="1212"/>
      <c r="BB124" s="1212"/>
      <c r="BC124" s="1212"/>
      <c r="BD124" s="1212"/>
      <c r="BE124" s="1212"/>
      <c r="BF124" s="1212"/>
      <c r="BG124" s="1212"/>
      <c r="BH124" s="1212"/>
      <c r="BI124" s="1212"/>
      <c r="BJ124" s="1212"/>
      <c r="BK124" s="1212"/>
      <c r="BL124" s="1212"/>
    </row>
    <row r="125" spans="1:64" s="679" customFormat="1">
      <c r="A125" s="1068"/>
      <c r="B125" s="437"/>
      <c r="C125" s="1232" t="s">
        <v>1031</v>
      </c>
      <c r="D125" s="437" t="s">
        <v>1025</v>
      </c>
      <c r="E125" s="437" t="s">
        <v>1326</v>
      </c>
      <c r="F125" s="545">
        <v>0</v>
      </c>
      <c r="G125" s="1065"/>
      <c r="H125" s="1066"/>
      <c r="I125" s="1169"/>
      <c r="J125" s="1169"/>
      <c r="K125" s="1192"/>
      <c r="L125" s="1192"/>
      <c r="M125" s="1192"/>
      <c r="N125" s="1192"/>
      <c r="O125" s="1192"/>
      <c r="P125" s="1185"/>
      <c r="Q125" s="1212"/>
      <c r="R125" s="1212"/>
      <c r="S125" s="1212"/>
      <c r="T125" s="1212"/>
      <c r="U125" s="1212"/>
      <c r="V125" s="1212"/>
      <c r="W125" s="1212"/>
      <c r="X125" s="1212"/>
      <c r="Y125" s="1212"/>
      <c r="Z125" s="1212"/>
      <c r="AA125" s="1212"/>
      <c r="AB125" s="1212"/>
      <c r="AC125" s="1212"/>
      <c r="AD125" s="1212"/>
      <c r="AE125" s="1212"/>
      <c r="AF125" s="1212"/>
      <c r="AG125" s="1212"/>
      <c r="AH125" s="1212"/>
      <c r="AI125" s="1212"/>
      <c r="AJ125" s="1212"/>
      <c r="AK125" s="1212"/>
      <c r="AL125" s="1212"/>
      <c r="AM125" s="1212"/>
      <c r="AN125" s="1212"/>
      <c r="AO125" s="1212"/>
      <c r="AP125" s="1212"/>
      <c r="AQ125" s="1212"/>
      <c r="AR125" s="1212"/>
      <c r="AS125" s="1212"/>
      <c r="AT125" s="1212"/>
      <c r="AU125" s="1212"/>
      <c r="AV125" s="1213"/>
      <c r="AW125" s="1212"/>
      <c r="AX125" s="1212"/>
      <c r="AY125" s="1212"/>
      <c r="AZ125" s="1212"/>
      <c r="BA125" s="1212"/>
      <c r="BB125" s="1212"/>
      <c r="BC125" s="1212"/>
      <c r="BD125" s="1212"/>
      <c r="BE125" s="1212"/>
      <c r="BF125" s="1212"/>
      <c r="BG125" s="1212"/>
      <c r="BH125" s="1212"/>
      <c r="BI125" s="1212"/>
      <c r="BJ125" s="1212"/>
      <c r="BK125" s="1212"/>
      <c r="BL125" s="1212"/>
    </row>
    <row r="126" spans="1:64" s="679" customFormat="1">
      <c r="A126" s="1069"/>
      <c r="B126" s="1185"/>
      <c r="C126" s="1232" t="s">
        <v>1032</v>
      </c>
      <c r="D126" s="437" t="s">
        <v>1025</v>
      </c>
      <c r="E126" s="437" t="s">
        <v>1326</v>
      </c>
      <c r="F126" s="545">
        <v>0</v>
      </c>
      <c r="G126" s="1193"/>
      <c r="H126" s="1194"/>
      <c r="I126" s="1195"/>
      <c r="J126" s="1195"/>
      <c r="K126" s="1192"/>
      <c r="L126" s="1192"/>
      <c r="M126" s="1192"/>
      <c r="N126" s="1192"/>
      <c r="O126" s="1192"/>
      <c r="P126" s="1185"/>
      <c r="Q126" s="1212"/>
      <c r="R126" s="1212"/>
      <c r="S126" s="1212"/>
      <c r="T126" s="1212"/>
      <c r="U126" s="1212"/>
      <c r="V126" s="1212"/>
      <c r="W126" s="1212"/>
      <c r="X126" s="1212"/>
      <c r="Y126" s="1212"/>
      <c r="Z126" s="1212"/>
      <c r="AA126" s="1212"/>
      <c r="AB126" s="1212"/>
      <c r="AC126" s="1212"/>
      <c r="AD126" s="1212"/>
      <c r="AE126" s="1212"/>
      <c r="AF126" s="1212"/>
      <c r="AG126" s="1212"/>
      <c r="AH126" s="1212"/>
      <c r="AI126" s="1212"/>
      <c r="AJ126" s="1212"/>
      <c r="AK126" s="1212"/>
      <c r="AL126" s="1212"/>
      <c r="AM126" s="1212"/>
      <c r="AN126" s="1212"/>
      <c r="AO126" s="1212"/>
      <c r="AP126" s="1212"/>
      <c r="AQ126" s="1212"/>
      <c r="AR126" s="1212"/>
      <c r="AS126" s="1212"/>
      <c r="AT126" s="1212"/>
      <c r="AU126" s="1212"/>
      <c r="AV126" s="1213"/>
      <c r="AW126" s="1212"/>
      <c r="AX126" s="1212"/>
      <c r="AY126" s="1212"/>
      <c r="AZ126" s="1212"/>
      <c r="BA126" s="1212"/>
      <c r="BB126" s="1212"/>
      <c r="BC126" s="1212"/>
      <c r="BD126" s="1212"/>
      <c r="BE126" s="1212"/>
      <c r="BF126" s="1212"/>
      <c r="BG126" s="1212"/>
      <c r="BH126" s="1212"/>
      <c r="BI126" s="1212"/>
      <c r="BJ126" s="1212"/>
      <c r="BK126" s="1212"/>
      <c r="BL126" s="1212"/>
    </row>
    <row r="127" spans="1:64" s="679" customFormat="1" ht="15">
      <c r="A127" s="1068"/>
      <c r="B127" s="437"/>
      <c r="C127" s="1233" t="s">
        <v>1023</v>
      </c>
      <c r="D127" s="1177" t="s">
        <v>223</v>
      </c>
      <c r="E127" s="1170" t="s">
        <v>1326</v>
      </c>
      <c r="F127" s="1737">
        <v>0</v>
      </c>
      <c r="G127" s="1196">
        <f>+F127</f>
        <v>0</v>
      </c>
      <c r="H127" s="1066"/>
      <c r="I127" s="1169"/>
      <c r="J127" s="1169"/>
      <c r="K127" s="1169"/>
      <c r="L127" s="1169"/>
      <c r="M127" s="1169"/>
      <c r="N127" s="1169"/>
      <c r="O127" s="1169"/>
      <c r="P127" s="1185"/>
      <c r="Q127" s="1212"/>
      <c r="R127" s="1212"/>
      <c r="S127" s="1212"/>
      <c r="T127" s="1212"/>
      <c r="U127" s="1212"/>
      <c r="V127" s="1212"/>
      <c r="W127" s="1212"/>
      <c r="X127" s="1212"/>
      <c r="Y127" s="1212"/>
      <c r="Z127" s="1212"/>
      <c r="AA127" s="1212"/>
      <c r="AB127" s="1212"/>
      <c r="AC127" s="1212"/>
      <c r="AD127" s="1212"/>
      <c r="AE127" s="1212"/>
      <c r="AF127" s="1212"/>
      <c r="AG127" s="1212"/>
      <c r="AH127" s="1212"/>
      <c r="AI127" s="1212"/>
      <c r="AJ127" s="1212"/>
      <c r="AK127" s="1212"/>
      <c r="AL127" s="1212"/>
      <c r="AM127" s="1212"/>
      <c r="AN127" s="1212"/>
      <c r="AO127" s="1212"/>
      <c r="AP127" s="1212"/>
      <c r="AQ127" s="1212"/>
      <c r="AR127" s="1212"/>
      <c r="AS127" s="1212"/>
      <c r="AT127" s="1212"/>
      <c r="AU127" s="1212"/>
      <c r="AV127" s="1213"/>
      <c r="AW127" s="1212"/>
      <c r="AX127" s="1212"/>
      <c r="AY127" s="1212"/>
      <c r="AZ127" s="1212"/>
      <c r="BA127" s="1212"/>
      <c r="BB127" s="1212"/>
      <c r="BC127" s="1212"/>
      <c r="BD127" s="1212"/>
      <c r="BE127" s="1212"/>
      <c r="BF127" s="1212"/>
      <c r="BG127" s="1212"/>
      <c r="BH127" s="1212"/>
      <c r="BI127" s="1212"/>
      <c r="BJ127" s="1212"/>
      <c r="BK127" s="1212"/>
      <c r="BL127" s="1212"/>
    </row>
    <row r="128" spans="1:64" s="679" customFormat="1">
      <c r="A128" s="1068"/>
      <c r="B128" s="1169"/>
      <c r="C128" s="1234" t="s">
        <v>8</v>
      </c>
      <c r="D128" s="437"/>
      <c r="E128" s="1202"/>
      <c r="F128" s="1197">
        <f>AVERAGE(F126:F127)</f>
        <v>0</v>
      </c>
      <c r="G128" s="1069">
        <f>+G127</f>
        <v>0</v>
      </c>
      <c r="H128" s="1066"/>
      <c r="I128" s="1169"/>
      <c r="J128" s="1169"/>
      <c r="K128" s="1192"/>
      <c r="L128" s="1192"/>
      <c r="M128" s="1192"/>
      <c r="N128" s="1192"/>
      <c r="O128" s="1192"/>
      <c r="P128" s="1185"/>
      <c r="Q128" s="1212"/>
      <c r="R128" s="1212"/>
      <c r="S128" s="1212"/>
      <c r="T128" s="1212"/>
      <c r="U128" s="1212"/>
      <c r="V128" s="1212"/>
      <c r="W128" s="1212"/>
      <c r="X128" s="1212"/>
      <c r="Y128" s="1212"/>
      <c r="Z128" s="1212"/>
      <c r="AA128" s="1212"/>
      <c r="AB128" s="1212"/>
      <c r="AC128" s="1212"/>
      <c r="AD128" s="1212"/>
      <c r="AE128" s="1212"/>
      <c r="AF128" s="1212"/>
      <c r="AG128" s="1212"/>
      <c r="AH128" s="1212"/>
      <c r="AI128" s="1212"/>
      <c r="AJ128" s="1212"/>
      <c r="AK128" s="1212"/>
      <c r="AL128" s="1212"/>
      <c r="AM128" s="1212"/>
      <c r="AN128" s="1212"/>
      <c r="AO128" s="1212"/>
      <c r="AP128" s="1212"/>
      <c r="AQ128" s="1212"/>
      <c r="AR128" s="1212"/>
      <c r="AS128" s="1212"/>
      <c r="AT128" s="1212"/>
      <c r="AU128" s="1212"/>
      <c r="AV128" s="1213"/>
      <c r="AW128" s="1212"/>
      <c r="AX128" s="1212"/>
      <c r="AY128" s="1212"/>
      <c r="AZ128" s="1212"/>
      <c r="BA128" s="1212"/>
      <c r="BB128" s="1212"/>
      <c r="BC128" s="1212"/>
      <c r="BD128" s="1212"/>
      <c r="BE128" s="1212"/>
      <c r="BF128" s="1212"/>
      <c r="BG128" s="1212"/>
      <c r="BH128" s="1212"/>
      <c r="BI128" s="1212"/>
      <c r="BJ128" s="1212"/>
      <c r="BK128" s="1212"/>
      <c r="BL128" s="1212"/>
    </row>
    <row r="129" spans="1:64" s="679" customFormat="1">
      <c r="A129" s="1068"/>
      <c r="B129" s="1169"/>
      <c r="C129" s="1232"/>
      <c r="D129" s="437"/>
      <c r="E129" s="1202"/>
      <c r="F129" s="1167"/>
      <c r="G129" s="1193"/>
      <c r="H129" s="1194"/>
      <c r="I129" s="1195"/>
      <c r="J129" s="1195"/>
      <c r="K129" s="1192"/>
      <c r="L129" s="1192"/>
      <c r="M129" s="1192"/>
      <c r="N129" s="1192"/>
      <c r="O129" s="1192"/>
      <c r="P129" s="1185"/>
      <c r="Q129" s="1212"/>
      <c r="R129" s="1212"/>
      <c r="S129" s="1212"/>
      <c r="T129" s="1212"/>
      <c r="U129" s="1212"/>
      <c r="V129" s="1212"/>
      <c r="W129" s="1212"/>
      <c r="X129" s="1212"/>
      <c r="Y129" s="1212"/>
      <c r="Z129" s="1212"/>
      <c r="AA129" s="1212"/>
      <c r="AB129" s="1212"/>
      <c r="AC129" s="1212"/>
      <c r="AD129" s="1212"/>
      <c r="AE129" s="1212"/>
      <c r="AF129" s="1212"/>
      <c r="AG129" s="1212"/>
      <c r="AH129" s="1212"/>
      <c r="AI129" s="1212"/>
      <c r="AJ129" s="1212"/>
      <c r="AK129" s="1212"/>
      <c r="AL129" s="1212"/>
      <c r="AM129" s="1212"/>
      <c r="AN129" s="1212"/>
      <c r="AO129" s="1212"/>
      <c r="AP129" s="1212"/>
      <c r="AQ129" s="1212"/>
      <c r="AR129" s="1212"/>
      <c r="AS129" s="1212"/>
      <c r="AT129" s="1212"/>
      <c r="AU129" s="1212"/>
      <c r="AV129" s="1213"/>
      <c r="AW129" s="1212"/>
      <c r="AX129" s="1212"/>
      <c r="AY129" s="1212"/>
      <c r="AZ129" s="1212"/>
      <c r="BA129" s="1212"/>
      <c r="BB129" s="1212"/>
      <c r="BC129" s="1212"/>
      <c r="BD129" s="1212"/>
      <c r="BE129" s="1212"/>
      <c r="BF129" s="1212"/>
      <c r="BG129" s="1212"/>
      <c r="BH129" s="1212"/>
      <c r="BI129" s="1212"/>
      <c r="BJ129" s="1212"/>
      <c r="BK129" s="1212"/>
      <c r="BL129" s="1212"/>
    </row>
    <row r="130" spans="1:64" s="679" customFormat="1">
      <c r="A130" s="1068"/>
      <c r="B130" s="1169"/>
      <c r="C130" s="1234"/>
      <c r="D130" s="437"/>
      <c r="E130" s="1202"/>
      <c r="F130" s="1197"/>
      <c r="G130" s="1193"/>
      <c r="H130" s="1194"/>
      <c r="I130" s="1195"/>
      <c r="J130" s="1195"/>
      <c r="K130" s="1192"/>
      <c r="L130" s="1192"/>
      <c r="M130" s="1192"/>
      <c r="N130" s="1192"/>
      <c r="O130" s="1192"/>
      <c r="P130" s="1185"/>
      <c r="Q130" s="1212"/>
      <c r="R130" s="1212"/>
      <c r="S130" s="1212"/>
      <c r="T130" s="1212"/>
      <c r="U130" s="1212"/>
      <c r="V130" s="1212"/>
      <c r="W130" s="1212"/>
      <c r="X130" s="1212"/>
      <c r="Y130" s="1212"/>
      <c r="Z130" s="1212"/>
      <c r="AA130" s="1212"/>
      <c r="AB130" s="1212"/>
      <c r="AC130" s="1212"/>
      <c r="AD130" s="1212"/>
      <c r="AE130" s="1212"/>
      <c r="AF130" s="1212"/>
      <c r="AG130" s="1212"/>
      <c r="AH130" s="1212"/>
      <c r="AI130" s="1212"/>
      <c r="AJ130" s="1212"/>
      <c r="AK130" s="1212"/>
      <c r="AL130" s="1212"/>
      <c r="AM130" s="1212"/>
      <c r="AN130" s="1212"/>
      <c r="AO130" s="1212"/>
      <c r="AP130" s="1212"/>
      <c r="AQ130" s="1212"/>
      <c r="AR130" s="1212"/>
      <c r="AS130" s="1212"/>
      <c r="AT130" s="1212"/>
      <c r="AU130" s="1212"/>
      <c r="AV130" s="1213"/>
      <c r="AW130" s="1212"/>
      <c r="AX130" s="1212"/>
      <c r="AY130" s="1212"/>
      <c r="AZ130" s="1212"/>
      <c r="BA130" s="1212"/>
      <c r="BB130" s="1212"/>
      <c r="BC130" s="1212"/>
      <c r="BD130" s="1212"/>
      <c r="BE130" s="1212"/>
      <c r="BF130" s="1212"/>
      <c r="BG130" s="1212"/>
      <c r="BH130" s="1212"/>
      <c r="BI130" s="1212"/>
      <c r="BJ130" s="1212"/>
      <c r="BK130" s="1212"/>
      <c r="BL130" s="1212"/>
    </row>
    <row r="131" spans="1:64" s="679" customFormat="1" ht="16.2" thickBot="1">
      <c r="A131" s="1068">
        <v>8</v>
      </c>
      <c r="B131" s="437"/>
      <c r="C131" s="1235" t="s">
        <v>555</v>
      </c>
      <c r="D131" s="437" t="s">
        <v>1044</v>
      </c>
      <c r="E131" s="1195"/>
      <c r="F131" s="156">
        <f>+F128+F112+F107+F102+F86</f>
        <v>302618322.40692306</v>
      </c>
      <c r="G131" s="1198">
        <f>+G128+G112+G107+G102+G86</f>
        <v>324361784.99999994</v>
      </c>
      <c r="H131" s="1744" t="s">
        <v>525</v>
      </c>
      <c r="I131" s="1171"/>
      <c r="J131" s="1169"/>
      <c r="K131" s="1169"/>
      <c r="L131" s="1169"/>
      <c r="M131" s="1169"/>
      <c r="N131" s="1169"/>
      <c r="O131" s="1169"/>
      <c r="P131" s="1185"/>
      <c r="Q131" s="1212"/>
      <c r="R131" s="1212"/>
      <c r="S131" s="1212"/>
      <c r="T131" s="1212"/>
      <c r="U131" s="1212"/>
      <c r="V131" s="1212"/>
      <c r="W131" s="1212"/>
      <c r="X131" s="1212"/>
      <c r="Y131" s="1212"/>
      <c r="Z131" s="1212"/>
      <c r="AA131" s="1212"/>
      <c r="AB131" s="1212"/>
      <c r="AC131" s="1212"/>
      <c r="AD131" s="1212"/>
      <c r="AE131" s="1212"/>
      <c r="AF131" s="1212"/>
      <c r="AG131" s="1212"/>
      <c r="AH131" s="1212"/>
      <c r="AI131" s="1212"/>
      <c r="AJ131" s="1212"/>
      <c r="AK131" s="1212"/>
      <c r="AL131" s="1212"/>
      <c r="AM131" s="1212"/>
      <c r="AN131" s="1212"/>
      <c r="AO131" s="1212"/>
      <c r="AP131" s="1212"/>
      <c r="AQ131" s="1212"/>
      <c r="AR131" s="1212"/>
      <c r="AS131" s="1212"/>
      <c r="AT131" s="1212"/>
      <c r="AU131" s="1212"/>
      <c r="AV131" s="1213"/>
      <c r="AW131" s="1212"/>
      <c r="AX131" s="1212"/>
      <c r="AY131" s="1212"/>
      <c r="AZ131" s="1212"/>
      <c r="BA131" s="1212"/>
      <c r="BB131" s="1212"/>
      <c r="BC131" s="1212"/>
      <c r="BD131" s="1212"/>
      <c r="BE131" s="1212"/>
      <c r="BF131" s="1212"/>
      <c r="BG131" s="1212"/>
      <c r="BH131" s="1212"/>
      <c r="BI131" s="1212"/>
      <c r="BJ131" s="1212"/>
      <c r="BK131" s="1212"/>
      <c r="BL131" s="1212"/>
    </row>
    <row r="132" spans="1:64" s="679" customFormat="1" ht="27.6" thickTop="1" thickBot="1">
      <c r="A132" s="1070"/>
      <c r="B132" s="1199"/>
      <c r="C132" s="1236"/>
      <c r="D132" s="1181"/>
      <c r="E132" s="1745"/>
      <c r="F132" s="1182" t="s">
        <v>928</v>
      </c>
      <c r="G132" s="1182" t="s">
        <v>928</v>
      </c>
      <c r="H132" s="1200"/>
      <c r="I132" s="1199"/>
      <c r="J132" s="1199"/>
      <c r="K132" s="1201"/>
      <c r="L132" s="1201"/>
      <c r="M132" s="1201"/>
      <c r="N132" s="1201"/>
      <c r="O132" s="1201"/>
      <c r="P132" s="1214"/>
      <c r="Q132" s="1215"/>
      <c r="R132" s="1215"/>
      <c r="S132" s="1215"/>
      <c r="T132" s="1215"/>
      <c r="U132" s="1215"/>
      <c r="V132" s="1215"/>
      <c r="W132" s="1215"/>
      <c r="X132" s="1215"/>
      <c r="Y132" s="1215"/>
      <c r="Z132" s="1215"/>
      <c r="AA132" s="1215"/>
      <c r="AB132" s="1215"/>
      <c r="AC132" s="1215"/>
      <c r="AD132" s="1215"/>
      <c r="AE132" s="1215"/>
      <c r="AF132" s="1215"/>
      <c r="AG132" s="1215"/>
      <c r="AH132" s="1215"/>
      <c r="AI132" s="1215"/>
      <c r="AJ132" s="1215"/>
      <c r="AK132" s="1215"/>
      <c r="AL132" s="1215"/>
      <c r="AM132" s="1215"/>
      <c r="AN132" s="1215"/>
      <c r="AO132" s="1215"/>
      <c r="AP132" s="1215"/>
      <c r="AQ132" s="1215"/>
      <c r="AR132" s="1215"/>
      <c r="AS132" s="1215"/>
      <c r="AT132" s="1215"/>
      <c r="AU132" s="1215"/>
      <c r="AV132" s="1216"/>
      <c r="AW132" s="1212"/>
      <c r="AX132" s="1212"/>
      <c r="AY132" s="1212"/>
      <c r="AZ132" s="1212"/>
      <c r="BA132" s="1212"/>
      <c r="BB132" s="1212"/>
      <c r="BC132" s="1212"/>
      <c r="BD132" s="1212"/>
      <c r="BE132" s="1212"/>
      <c r="BF132" s="1212"/>
      <c r="BG132" s="1212"/>
      <c r="BH132" s="1212"/>
      <c r="BI132" s="1212"/>
      <c r="BJ132" s="1212"/>
      <c r="BK132" s="1212"/>
      <c r="BL132" s="1212"/>
    </row>
    <row r="133" spans="1:64" s="679" customFormat="1">
      <c r="A133" s="1202"/>
      <c r="B133" s="1195"/>
      <c r="C133" s="1167"/>
      <c r="D133" s="1169"/>
      <c r="E133" s="1202"/>
      <c r="F133" s="1178"/>
      <c r="G133" s="1178"/>
      <c r="H133" s="1195"/>
      <c r="I133" s="1195"/>
      <c r="J133" s="1195"/>
      <c r="K133" s="1192"/>
      <c r="L133" s="1192"/>
      <c r="M133" s="1192"/>
      <c r="N133" s="1192"/>
      <c r="O133" s="1192"/>
      <c r="P133" s="1027"/>
    </row>
    <row r="134" spans="1:64" ht="21.6" thickBot="1">
      <c r="A134" s="298" t="s">
        <v>374</v>
      </c>
      <c r="B134" s="263"/>
      <c r="D134" s="192"/>
      <c r="E134" s="193"/>
      <c r="F134" s="194"/>
      <c r="G134" s="221"/>
      <c r="H134" s="221"/>
      <c r="I134" s="221"/>
      <c r="J134" s="221"/>
      <c r="K134" s="221"/>
      <c r="L134" s="221"/>
      <c r="M134" s="221"/>
      <c r="N134" s="221"/>
      <c r="O134" s="221"/>
      <c r="P134" s="221"/>
      <c r="Q134" s="221"/>
      <c r="R134" s="221"/>
      <c r="S134" s="221"/>
    </row>
    <row r="135" spans="1:64" ht="24.75" customHeight="1">
      <c r="A135" s="2031" t="s">
        <v>929</v>
      </c>
      <c r="B135" s="2032"/>
      <c r="C135" s="2032"/>
      <c r="D135" s="2032"/>
      <c r="E135" s="2032"/>
      <c r="F135" s="2033"/>
      <c r="G135" s="318" t="s">
        <v>953</v>
      </c>
      <c r="H135" s="318" t="s">
        <v>948</v>
      </c>
      <c r="I135" s="318"/>
      <c r="J135" s="318" t="s">
        <v>954</v>
      </c>
      <c r="K135" s="2034" t="s">
        <v>906</v>
      </c>
      <c r="L135" s="2045"/>
      <c r="M135" s="2045"/>
      <c r="N135" s="2045"/>
      <c r="O135" s="2045"/>
      <c r="P135" s="2045"/>
      <c r="Q135" s="2045"/>
      <c r="R135" s="2045"/>
      <c r="S135" s="2046"/>
    </row>
    <row r="136" spans="1:64" ht="56.25" customHeight="1">
      <c r="A136" s="282"/>
      <c r="B136" s="258" t="s">
        <v>547</v>
      </c>
      <c r="C136" s="262"/>
      <c r="D136" s="253"/>
      <c r="E136" s="255"/>
      <c r="F136" s="865"/>
      <c r="G136" s="711" t="s">
        <v>9</v>
      </c>
      <c r="H136" s="711" t="s">
        <v>939</v>
      </c>
      <c r="I136" s="711"/>
      <c r="J136" s="711" t="s">
        <v>391</v>
      </c>
      <c r="K136" s="2042"/>
      <c r="L136" s="2043"/>
      <c r="M136" s="2043"/>
      <c r="N136" s="2043"/>
      <c r="O136" s="2043"/>
      <c r="P136" s="2043"/>
      <c r="Q136" s="2043"/>
      <c r="R136" s="2043"/>
      <c r="S136" s="2044"/>
    </row>
    <row r="137" spans="1:64" ht="15.6">
      <c r="A137" s="283">
        <f>+'Appendix A'!A82</f>
        <v>40</v>
      </c>
      <c r="B137" s="258"/>
      <c r="C137" s="262" t="str">
        <f>+'Appendix A'!C82</f>
        <v>Transmission Materials &amp; Supplies</v>
      </c>
      <c r="D137" s="253"/>
      <c r="E137" s="255"/>
      <c r="F137" s="1005" t="s">
        <v>224</v>
      </c>
      <c r="G137" s="699">
        <v>0</v>
      </c>
      <c r="H137" s="699">
        <v>0</v>
      </c>
      <c r="I137" s="700"/>
      <c r="J137" s="700">
        <f>(G137-H137)/2</f>
        <v>0</v>
      </c>
      <c r="K137" s="2039"/>
      <c r="L137" s="2040"/>
      <c r="M137" s="2040"/>
      <c r="N137" s="2040"/>
      <c r="O137" s="2040"/>
      <c r="P137" s="2040"/>
      <c r="Q137" s="2040"/>
      <c r="R137" s="2040"/>
      <c r="S137" s="2041"/>
    </row>
    <row r="138" spans="1:64" ht="15.75" customHeight="1">
      <c r="A138" s="283">
        <f>+'Appendix A'!A79</f>
        <v>37</v>
      </c>
      <c r="B138" s="253"/>
      <c r="C138" s="262" t="str">
        <f>+'Appendix A'!C79</f>
        <v>Undistributed Stores Expense</v>
      </c>
      <c r="D138" s="256"/>
      <c r="E138" s="255"/>
      <c r="F138" s="289" t="s">
        <v>225</v>
      </c>
      <c r="G138" s="1746">
        <v>0</v>
      </c>
      <c r="H138" s="1746">
        <v>0</v>
      </c>
      <c r="I138" s="700"/>
      <c r="J138" s="779">
        <f>(G138-H138)/2</f>
        <v>0</v>
      </c>
      <c r="K138" s="2039"/>
      <c r="L138" s="2040"/>
      <c r="M138" s="2040"/>
      <c r="N138" s="2040"/>
      <c r="O138" s="2040"/>
      <c r="P138" s="2040"/>
      <c r="Q138" s="2040"/>
      <c r="R138" s="2040"/>
      <c r="S138" s="2041"/>
    </row>
    <row r="139" spans="1:64" ht="15.6">
      <c r="A139" s="282"/>
      <c r="B139" s="274" t="s">
        <v>264</v>
      </c>
      <c r="C139" s="262"/>
      <c r="D139" s="256"/>
      <c r="E139" s="261"/>
      <c r="F139" s="289"/>
      <c r="G139" s="344"/>
      <c r="H139" s="344"/>
      <c r="I139" s="344"/>
      <c r="J139" s="344"/>
      <c r="K139" s="2042"/>
      <c r="L139" s="2043"/>
      <c r="M139" s="2043"/>
      <c r="N139" s="2043"/>
      <c r="O139" s="2043"/>
      <c r="P139" s="2043"/>
      <c r="Q139" s="2043"/>
      <c r="R139" s="2043"/>
      <c r="S139" s="2044"/>
    </row>
    <row r="140" spans="1:64" ht="15.6">
      <c r="A140" s="282">
        <f>+'Appendix A'!A101</f>
        <v>51</v>
      </c>
      <c r="B140" s="274"/>
      <c r="C140" s="265" t="str">
        <f>+'Appendix A'!C101</f>
        <v xml:space="preserve">     Plus Property Under Capital Leases</v>
      </c>
      <c r="D140" s="256"/>
      <c r="E140" s="290">
        <f>+'Appendix A'!E101</f>
        <v>0</v>
      </c>
      <c r="F140" s="1006" t="str">
        <f>+'Appendix A'!F101</f>
        <v xml:space="preserve">p200.4.c   </v>
      </c>
      <c r="G140" s="699">
        <v>0</v>
      </c>
      <c r="H140" s="699">
        <v>0</v>
      </c>
      <c r="I140" s="222"/>
      <c r="J140" s="700">
        <f>(G140-H140)/2</f>
        <v>0</v>
      </c>
      <c r="K140" s="2042"/>
      <c r="L140" s="2043"/>
      <c r="M140" s="2043"/>
      <c r="N140" s="2043"/>
      <c r="O140" s="2043"/>
      <c r="P140" s="2043"/>
      <c r="Q140" s="2043"/>
      <c r="R140" s="2043"/>
      <c r="S140" s="2044"/>
    </row>
    <row r="141" spans="1:64" ht="14.4" thickBot="1">
      <c r="A141" s="241"/>
      <c r="B141" s="242"/>
      <c r="C141" s="242"/>
      <c r="D141" s="242"/>
      <c r="E141" s="242"/>
      <c r="F141" s="243"/>
      <c r="G141" s="311"/>
      <c r="H141" s="311"/>
      <c r="I141" s="311"/>
      <c r="J141" s="311"/>
      <c r="K141" s="311"/>
      <c r="L141" s="311"/>
      <c r="M141" s="311"/>
      <c r="N141" s="311"/>
      <c r="O141" s="311"/>
      <c r="P141" s="311"/>
      <c r="Q141" s="311"/>
      <c r="R141" s="311"/>
      <c r="S141" s="316"/>
    </row>
    <row r="142" spans="1:64" ht="13.8">
      <c r="G142" s="221"/>
      <c r="H142" s="221"/>
      <c r="I142" s="221"/>
      <c r="J142" s="221"/>
      <c r="K142" s="221"/>
      <c r="L142" s="221"/>
      <c r="M142" s="221"/>
      <c r="N142" s="221"/>
      <c r="O142" s="221"/>
      <c r="P142" s="221"/>
      <c r="Q142" s="221"/>
      <c r="R142" s="221"/>
      <c r="S142" s="221"/>
    </row>
    <row r="143" spans="1:64" ht="21.6" thickBot="1">
      <c r="A143" s="298" t="s">
        <v>376</v>
      </c>
      <c r="G143" s="221"/>
      <c r="H143" s="221"/>
      <c r="I143" s="221"/>
      <c r="J143" s="221"/>
      <c r="K143" s="221"/>
      <c r="L143" s="221"/>
      <c r="M143" s="221"/>
      <c r="N143" s="221"/>
      <c r="O143" s="221"/>
      <c r="P143" s="221"/>
      <c r="Q143" s="221"/>
      <c r="R143" s="221"/>
      <c r="S143" s="221"/>
    </row>
    <row r="144" spans="1:64" ht="57.75" customHeight="1">
      <c r="A144" s="2031" t="s">
        <v>929</v>
      </c>
      <c r="B144" s="2032"/>
      <c r="C144" s="2032"/>
      <c r="D144" s="2032"/>
      <c r="E144" s="2032"/>
      <c r="F144" s="2033"/>
      <c r="G144" s="685" t="s">
        <v>9</v>
      </c>
      <c r="H144" s="686" t="s">
        <v>939</v>
      </c>
      <c r="I144" s="686"/>
      <c r="J144" s="686" t="s">
        <v>391</v>
      </c>
      <c r="K144" s="2034" t="s">
        <v>906</v>
      </c>
      <c r="L144" s="2045"/>
      <c r="M144" s="2045"/>
      <c r="N144" s="2045"/>
      <c r="O144" s="2045"/>
      <c r="P144" s="2045"/>
      <c r="Q144" s="2045"/>
      <c r="R144" s="2045"/>
      <c r="S144" s="2046"/>
    </row>
    <row r="145" spans="1:19" ht="33.75" customHeight="1">
      <c r="A145" s="282">
        <f>+'Appendix A'!A70</f>
        <v>34</v>
      </c>
      <c r="B145" s="273"/>
      <c r="C145" s="258" t="str">
        <f>+'Appendix A'!B70</f>
        <v xml:space="preserve">Transmission Related Land Held for Future Use </v>
      </c>
      <c r="D145" s="292"/>
      <c r="E145" s="290"/>
      <c r="F145" s="727" t="s">
        <v>603</v>
      </c>
      <c r="G145" s="728">
        <v>0</v>
      </c>
      <c r="H145" s="699">
        <v>0</v>
      </c>
      <c r="I145" s="700"/>
      <c r="J145" s="700">
        <f>(G145-H145)/2</f>
        <v>0</v>
      </c>
      <c r="K145" s="2028" t="s">
        <v>280</v>
      </c>
      <c r="L145" s="2029"/>
      <c r="M145" s="2029"/>
      <c r="N145" s="2029"/>
      <c r="O145" s="2029"/>
      <c r="P145" s="2029"/>
      <c r="Q145" s="2029"/>
      <c r="R145" s="2029"/>
      <c r="S145" s="2030"/>
    </row>
    <row r="146" spans="1:19" ht="15.75" customHeight="1">
      <c r="A146" s="282"/>
      <c r="B146" s="274"/>
      <c r="C146" s="253"/>
      <c r="D146" s="256"/>
      <c r="E146" s="257"/>
      <c r="F146" s="687" t="s">
        <v>371</v>
      </c>
      <c r="G146" s="728">
        <v>0</v>
      </c>
      <c r="H146" s="699">
        <v>0</v>
      </c>
      <c r="I146" s="700"/>
      <c r="J146" s="700">
        <f>(G146-H146)/2</f>
        <v>0</v>
      </c>
      <c r="K146" s="240"/>
      <c r="L146" s="240"/>
      <c r="M146" s="240"/>
      <c r="N146" s="240"/>
      <c r="O146" s="240"/>
      <c r="P146" s="240"/>
      <c r="Q146" s="240"/>
      <c r="R146" s="240"/>
      <c r="S146" s="796"/>
    </row>
    <row r="147" spans="1:19" ht="16.5" customHeight="1">
      <c r="A147" s="282"/>
      <c r="B147" s="284"/>
      <c r="C147" s="265"/>
      <c r="D147" s="255"/>
      <c r="E147" s="275"/>
      <c r="F147" s="687" t="s">
        <v>955</v>
      </c>
      <c r="G147" s="728">
        <v>0</v>
      </c>
      <c r="H147" s="699">
        <v>0</v>
      </c>
      <c r="I147" s="701"/>
      <c r="J147" s="701">
        <f>+J145-J146</f>
        <v>0</v>
      </c>
      <c r="K147" s="2036"/>
      <c r="L147" s="2037"/>
      <c r="M147" s="2037"/>
      <c r="N147" s="2037"/>
      <c r="O147" s="2037"/>
      <c r="P147" s="2037"/>
      <c r="Q147" s="2037"/>
      <c r="R147" s="2037"/>
      <c r="S147" s="2038"/>
    </row>
    <row r="148" spans="1:19" ht="14.4" thickBot="1">
      <c r="A148" s="241"/>
      <c r="B148" s="242"/>
      <c r="C148" s="242"/>
      <c r="D148" s="416"/>
      <c r="E148" s="242"/>
      <c r="F148" s="243"/>
      <c r="G148" s="315"/>
      <c r="H148" s="417"/>
      <c r="I148" s="417"/>
      <c r="J148" s="311"/>
      <c r="K148" s="311"/>
      <c r="L148" s="311"/>
      <c r="M148" s="311"/>
      <c r="N148" s="311"/>
      <c r="O148" s="311"/>
      <c r="P148" s="311"/>
      <c r="Q148" s="311"/>
      <c r="R148" s="311"/>
      <c r="S148" s="316"/>
    </row>
    <row r="149" spans="1:19" ht="13.8">
      <c r="A149" s="240"/>
      <c r="B149" s="240"/>
      <c r="C149" s="240"/>
      <c r="D149" s="355"/>
      <c r="E149" s="240"/>
      <c r="F149" s="240"/>
      <c r="G149" s="222"/>
      <c r="H149" s="223"/>
      <c r="I149" s="223"/>
      <c r="J149" s="222"/>
      <c r="K149" s="222"/>
      <c r="L149" s="222"/>
      <c r="M149" s="222"/>
      <c r="N149" s="222"/>
      <c r="O149" s="222"/>
      <c r="P149" s="222"/>
      <c r="Q149" s="222"/>
      <c r="R149" s="222"/>
      <c r="S149" s="222"/>
    </row>
    <row r="150" spans="1:19" ht="21.6" thickBot="1">
      <c r="A150" s="298" t="s">
        <v>382</v>
      </c>
      <c r="G150" s="221"/>
      <c r="H150" s="221"/>
      <c r="I150" s="221"/>
      <c r="J150" s="221"/>
      <c r="K150" s="221"/>
      <c r="L150" s="221"/>
      <c r="M150" s="221"/>
      <c r="N150" s="221"/>
      <c r="O150" s="221"/>
      <c r="P150" s="221"/>
      <c r="Q150" s="221"/>
      <c r="R150" s="221"/>
      <c r="S150" s="221"/>
    </row>
    <row r="151" spans="1:19" ht="61.5" customHeight="1">
      <c r="A151" s="2031" t="s">
        <v>929</v>
      </c>
      <c r="B151" s="2032"/>
      <c r="C151" s="2032"/>
      <c r="D151" s="2032"/>
      <c r="E151" s="2032"/>
      <c r="F151" s="2033"/>
      <c r="G151" s="318" t="str">
        <f>+G144</f>
        <v>Beg of year</v>
      </c>
      <c r="H151" s="318" t="s">
        <v>372</v>
      </c>
      <c r="I151" s="318"/>
      <c r="J151" s="318" t="s">
        <v>956</v>
      </c>
      <c r="K151" s="2034" t="s">
        <v>906</v>
      </c>
      <c r="L151" s="2034"/>
      <c r="M151" s="2034"/>
      <c r="N151" s="2034"/>
      <c r="O151" s="2034"/>
      <c r="P151" s="2034"/>
      <c r="Q151" s="2034"/>
      <c r="R151" s="2034"/>
      <c r="S151" s="2035"/>
    </row>
    <row r="152" spans="1:19" ht="15.6">
      <c r="A152" s="278"/>
      <c r="B152" s="274" t="s">
        <v>600</v>
      </c>
      <c r="C152" s="286"/>
      <c r="D152" s="267"/>
      <c r="E152" s="254"/>
      <c r="F152" s="279"/>
      <c r="G152" s="222"/>
      <c r="H152" s="222"/>
      <c r="I152" s="222"/>
      <c r="J152" s="222"/>
      <c r="K152" s="2028"/>
      <c r="L152" s="2028"/>
      <c r="M152" s="2028"/>
      <c r="N152" s="2028"/>
      <c r="O152" s="2028"/>
      <c r="P152" s="2028"/>
      <c r="Q152" s="2028"/>
      <c r="R152" s="2028"/>
      <c r="S152" s="2063"/>
    </row>
    <row r="153" spans="1:19" ht="15.6">
      <c r="A153" s="282">
        <f>+'Appendix A'!A19</f>
        <v>6</v>
      </c>
      <c r="B153" s="267"/>
      <c r="C153" s="265" t="str">
        <f>+'Appendix A'!C19</f>
        <v>Electric Plant in Service</v>
      </c>
      <c r="D153" s="192"/>
      <c r="E153" s="290" t="str">
        <f>+'Appendix A'!E19</f>
        <v>(Note B)</v>
      </c>
      <c r="F153" s="285" t="str">
        <f>+'Appendix A'!F19</f>
        <v>Attachment 5</v>
      </c>
      <c r="G153" s="1053">
        <f>F8+F24+F40+F45+F50</f>
        <v>2161955160.0799999</v>
      </c>
      <c r="H153" s="1053">
        <v>0</v>
      </c>
      <c r="I153" s="1161"/>
      <c r="J153" s="1054">
        <v>0</v>
      </c>
      <c r="K153" s="2029"/>
      <c r="L153" s="2029"/>
      <c r="M153" s="2029"/>
      <c r="N153" s="2029"/>
      <c r="O153" s="2029"/>
      <c r="P153" s="2029"/>
      <c r="Q153" s="2029"/>
      <c r="R153" s="2029"/>
      <c r="S153" s="2030"/>
    </row>
    <row r="154" spans="1:19" ht="15.6">
      <c r="A154" s="278"/>
      <c r="B154" s="274" t="s">
        <v>559</v>
      </c>
      <c r="C154" s="286"/>
      <c r="D154" s="192"/>
      <c r="E154" s="261"/>
      <c r="F154" s="421"/>
      <c r="G154" s="1054"/>
      <c r="H154" s="1054"/>
      <c r="I154" s="1161"/>
      <c r="J154" s="1054"/>
      <c r="K154" s="2029"/>
      <c r="L154" s="2029"/>
      <c r="M154" s="2029"/>
      <c r="N154" s="2029"/>
      <c r="O154" s="2029"/>
      <c r="P154" s="2029"/>
      <c r="Q154" s="2029"/>
      <c r="R154" s="2029"/>
      <c r="S154" s="2030"/>
    </row>
    <row r="155" spans="1:19" ht="15.6">
      <c r="A155" s="282">
        <f>+'Appendix A'!A36</f>
        <v>15</v>
      </c>
      <c r="B155" s="263"/>
      <c r="C155" s="265" t="str">
        <f>+'Appendix A'!C36</f>
        <v>Transmission Plant In Service</v>
      </c>
      <c r="D155" s="192"/>
      <c r="E155" s="290" t="str">
        <f>+'Appendix A'!E36</f>
        <v>(Note B)</v>
      </c>
      <c r="F155" s="285" t="str">
        <f>+'Appendix A'!F36</f>
        <v>Attachment 5</v>
      </c>
      <c r="G155" s="1053">
        <f>F8</f>
        <v>2064865510.0799997</v>
      </c>
      <c r="H155" s="1053">
        <v>0</v>
      </c>
      <c r="I155" s="1054"/>
      <c r="J155" s="1054">
        <v>0</v>
      </c>
      <c r="K155" s="2029"/>
      <c r="L155" s="2029"/>
      <c r="M155" s="2029"/>
      <c r="N155" s="2029"/>
      <c r="O155" s="2029"/>
      <c r="P155" s="2029"/>
      <c r="Q155" s="2029"/>
      <c r="R155" s="2029"/>
      <c r="S155" s="2030"/>
    </row>
    <row r="156" spans="1:19" ht="15.6">
      <c r="A156" s="282"/>
      <c r="B156" s="274" t="s">
        <v>548</v>
      </c>
      <c r="C156" s="258"/>
      <c r="D156" s="259"/>
      <c r="E156" s="288"/>
      <c r="F156" s="423"/>
      <c r="G156" s="342"/>
      <c r="H156" s="1054"/>
      <c r="I156" s="1054"/>
      <c r="J156" s="1054"/>
      <c r="K156" s="2029"/>
      <c r="L156" s="2029"/>
      <c r="M156" s="2029"/>
      <c r="N156" s="2029"/>
      <c r="O156" s="2029"/>
      <c r="P156" s="2029"/>
      <c r="Q156" s="2029"/>
      <c r="R156" s="2029"/>
      <c r="S156" s="310"/>
    </row>
    <row r="157" spans="1:19" ht="16.2" thickBot="1">
      <c r="A157" s="293">
        <f>+'Appendix A'!A50</f>
        <v>23</v>
      </c>
      <c r="B157" s="294"/>
      <c r="C157" s="300" t="str">
        <f>+'Appendix A'!C50</f>
        <v>Transmission Accumulated Depreciation</v>
      </c>
      <c r="D157" s="295"/>
      <c r="E157" s="301" t="str">
        <f>+'Appendix A'!E50</f>
        <v>(Note B)</v>
      </c>
      <c r="F157" s="302" t="str">
        <f>+'Appendix A'!F50</f>
        <v xml:space="preserve">Attachment 5 </v>
      </c>
      <c r="G157" s="729">
        <f>F73</f>
        <v>256283792.95000002</v>
      </c>
      <c r="H157" s="729">
        <v>0</v>
      </c>
      <c r="I157" s="1055"/>
      <c r="J157" s="1055">
        <v>0</v>
      </c>
      <c r="K157" s="2026"/>
      <c r="L157" s="2026"/>
      <c r="M157" s="2026"/>
      <c r="N157" s="2026"/>
      <c r="O157" s="2026"/>
      <c r="P157" s="2026"/>
      <c r="Q157" s="2026"/>
      <c r="R157" s="2026"/>
      <c r="S157" s="2027"/>
    </row>
    <row r="158" spans="1:19" ht="13.8">
      <c r="G158" s="221"/>
      <c r="H158" s="221"/>
      <c r="I158" s="221"/>
      <c r="J158" s="221"/>
      <c r="K158" s="221"/>
      <c r="L158" s="221"/>
      <c r="M158" s="221"/>
      <c r="N158" s="221"/>
      <c r="O158" s="221"/>
      <c r="P158" s="221"/>
      <c r="Q158" s="221"/>
      <c r="R158" s="221"/>
      <c r="S158" s="221"/>
    </row>
    <row r="159" spans="1:19" ht="21" customHeight="1" thickBot="1">
      <c r="A159" s="619" t="s">
        <v>720</v>
      </c>
      <c r="G159" s="221"/>
      <c r="H159" s="221"/>
      <c r="I159" s="221"/>
      <c r="J159" s="221"/>
      <c r="K159" s="221"/>
      <c r="L159" s="221"/>
      <c r="M159" s="221"/>
      <c r="N159" s="221"/>
      <c r="O159" s="221"/>
      <c r="P159" s="221"/>
      <c r="Q159" s="221"/>
      <c r="R159" s="221"/>
      <c r="S159" s="221"/>
    </row>
    <row r="160" spans="1:19" ht="78" customHeight="1">
      <c r="A160" s="2031" t="s">
        <v>929</v>
      </c>
      <c r="B160" s="2032"/>
      <c r="C160" s="2032"/>
      <c r="D160" s="2032"/>
      <c r="E160" s="2032"/>
      <c r="F160" s="2033"/>
      <c r="G160" s="428" t="s">
        <v>923</v>
      </c>
      <c r="H160" s="620" t="s">
        <v>724</v>
      </c>
      <c r="I160" s="318" t="s">
        <v>922</v>
      </c>
      <c r="J160" s="686" t="s">
        <v>139</v>
      </c>
      <c r="K160" s="455"/>
      <c r="L160" s="455"/>
      <c r="M160" s="455"/>
      <c r="N160" s="455"/>
      <c r="O160" s="455"/>
      <c r="P160" s="455"/>
      <c r="Q160" s="455"/>
      <c r="R160" s="455"/>
      <c r="S160" s="356"/>
    </row>
    <row r="161" spans="1:19" ht="21.75" customHeight="1">
      <c r="A161" s="624"/>
      <c r="B161" s="621"/>
      <c r="C161" s="621"/>
      <c r="D161" s="621"/>
      <c r="E161" s="621"/>
      <c r="F161" s="625"/>
      <c r="G161" s="622"/>
      <c r="H161" s="623"/>
      <c r="I161" s="623"/>
      <c r="J161" s="623"/>
      <c r="K161" s="222"/>
      <c r="L161" s="222"/>
      <c r="M161" s="222"/>
      <c r="N161" s="222"/>
      <c r="O161" s="222"/>
      <c r="P161" s="222"/>
      <c r="Q161" s="222"/>
      <c r="R161" s="222"/>
      <c r="S161" s="310"/>
    </row>
    <row r="162" spans="1:19" ht="15.6">
      <c r="A162" s="282">
        <f>+'Appendix A'!A73</f>
        <v>35</v>
      </c>
      <c r="B162" s="258" t="str">
        <f>+'Appendix A'!C73</f>
        <v>Unamortized Capitalized Pre-Commercial Costs</v>
      </c>
      <c r="C162" s="240"/>
      <c r="D162" s="240"/>
      <c r="E162" s="290"/>
      <c r="F162" s="723"/>
      <c r="G162" s="1365">
        <v>0</v>
      </c>
      <c r="H162" s="1366">
        <v>0</v>
      </c>
      <c r="I162" s="721">
        <f>G162-H162</f>
        <v>0</v>
      </c>
      <c r="J162" s="722">
        <f>(G162+I162)/2</f>
        <v>0</v>
      </c>
      <c r="K162" s="2036" t="s">
        <v>525</v>
      </c>
      <c r="L162" s="2037"/>
      <c r="M162" s="2037"/>
      <c r="N162" s="2037"/>
      <c r="O162" s="2037"/>
      <c r="P162" s="2037"/>
      <c r="Q162" s="2037"/>
      <c r="R162" s="2037"/>
      <c r="S162" s="2038"/>
    </row>
    <row r="163" spans="1:19" ht="14.4" thickBot="1">
      <c r="A163" s="241"/>
      <c r="B163" s="242"/>
      <c r="C163" s="242"/>
      <c r="D163" s="242"/>
      <c r="E163" s="242"/>
      <c r="F163" s="243"/>
      <c r="G163" s="315"/>
      <c r="H163" s="311"/>
      <c r="I163" s="311"/>
      <c r="J163" s="311"/>
      <c r="K163" s="311"/>
      <c r="L163" s="311"/>
      <c r="M163" s="311"/>
      <c r="N163" s="311"/>
      <c r="O163" s="311"/>
      <c r="P163" s="311"/>
      <c r="Q163" s="311"/>
      <c r="R163" s="311"/>
      <c r="S163" s="316"/>
    </row>
    <row r="164" spans="1:19" ht="13.8">
      <c r="G164" s="221"/>
      <c r="H164" s="221"/>
      <c r="I164" s="221"/>
      <c r="J164" s="221"/>
      <c r="K164" s="221"/>
      <c r="L164" s="221"/>
      <c r="M164" s="221"/>
      <c r="N164" s="221"/>
      <c r="O164" s="221"/>
      <c r="P164" s="221"/>
      <c r="Q164" s="221"/>
      <c r="R164" s="221"/>
      <c r="S164" s="221"/>
    </row>
    <row r="165" spans="1:19" ht="21.6" thickBot="1">
      <c r="A165" s="298" t="s">
        <v>377</v>
      </c>
      <c r="G165" s="221"/>
      <c r="H165" s="221"/>
      <c r="I165" s="221"/>
      <c r="J165" s="221"/>
      <c r="K165" s="221"/>
      <c r="L165" s="221"/>
      <c r="M165" s="221"/>
      <c r="N165" s="221"/>
      <c r="O165" s="221"/>
      <c r="P165" s="221"/>
      <c r="Q165" s="221"/>
      <c r="R165" s="221"/>
      <c r="S165" s="221"/>
    </row>
    <row r="166" spans="1:19" ht="17.399999999999999">
      <c r="A166" s="2031" t="s">
        <v>500</v>
      </c>
      <c r="B166" s="2032"/>
      <c r="C166" s="2032"/>
      <c r="D166" s="2032"/>
      <c r="E166" s="2032"/>
      <c r="F166" s="2033"/>
      <c r="G166" s="428" t="str">
        <f>+G151</f>
        <v>Beg of year</v>
      </c>
      <c r="H166" s="318" t="s">
        <v>949</v>
      </c>
      <c r="I166" s="318"/>
      <c r="J166" s="318"/>
      <c r="K166" s="2034" t="s">
        <v>906</v>
      </c>
      <c r="L166" s="2045"/>
      <c r="M166" s="2045"/>
      <c r="N166" s="2045"/>
      <c r="O166" s="2045"/>
      <c r="P166" s="2045"/>
      <c r="Q166" s="2045"/>
      <c r="R166" s="2045"/>
      <c r="S166" s="2046"/>
    </row>
    <row r="167" spans="1:19" ht="15.6">
      <c r="A167" s="282"/>
      <c r="B167" s="274" t="s">
        <v>537</v>
      </c>
      <c r="C167" s="256"/>
      <c r="D167" s="256"/>
      <c r="E167" s="281"/>
      <c r="F167" s="289"/>
      <c r="G167" s="312"/>
      <c r="H167" s="222"/>
      <c r="I167" s="222"/>
      <c r="J167" s="222"/>
      <c r="K167" s="2028"/>
      <c r="L167" s="2029"/>
      <c r="M167" s="2029"/>
      <c r="N167" s="2029"/>
      <c r="O167" s="2029"/>
      <c r="P167" s="2029"/>
      <c r="Q167" s="2029"/>
      <c r="R167" s="2029"/>
      <c r="S167" s="2030"/>
    </row>
    <row r="168" spans="1:19" ht="16.5" customHeight="1" thickBot="1">
      <c r="A168" s="293">
        <f>+'Appendix A'!A110</f>
        <v>58</v>
      </c>
      <c r="B168" s="296"/>
      <c r="C168" s="300" t="str">
        <f>+'Appendix A'!C110</f>
        <v xml:space="preserve">    Less EPRI Dues</v>
      </c>
      <c r="D168" s="304"/>
      <c r="E168" s="301" t="str">
        <f>+'Appendix A'!E110</f>
        <v>(Note D)</v>
      </c>
      <c r="F168" s="302" t="str">
        <f>+'Appendix A'!F110</f>
        <v xml:space="preserve">p352 &amp; 353   </v>
      </c>
      <c r="G168" s="1747">
        <v>0</v>
      </c>
      <c r="H168" s="1748">
        <v>0</v>
      </c>
      <c r="I168" s="343"/>
      <c r="J168" s="343"/>
      <c r="K168" s="2047" t="s">
        <v>280</v>
      </c>
      <c r="L168" s="2048"/>
      <c r="M168" s="2048"/>
      <c r="N168" s="2048"/>
      <c r="O168" s="2048"/>
      <c r="P168" s="2048"/>
      <c r="Q168" s="2048"/>
      <c r="R168" s="2048"/>
      <c r="S168" s="2049"/>
    </row>
    <row r="169" spans="1:19" ht="13.8">
      <c r="G169" s="221"/>
      <c r="H169" s="221"/>
      <c r="I169" s="221"/>
      <c r="J169" s="221"/>
      <c r="K169" s="221"/>
      <c r="L169" s="221"/>
      <c r="M169" s="221"/>
      <c r="N169" s="221"/>
      <c r="O169" s="221"/>
      <c r="P169" s="221"/>
      <c r="Q169" s="221"/>
      <c r="R169" s="221"/>
      <c r="S169" s="221"/>
    </row>
    <row r="170" spans="1:19" ht="21.6" thickBot="1">
      <c r="A170" s="298" t="s">
        <v>378</v>
      </c>
      <c r="G170" s="221"/>
      <c r="H170" s="221"/>
      <c r="I170" s="221"/>
      <c r="J170" s="221"/>
      <c r="K170" s="221"/>
      <c r="L170" s="221"/>
      <c r="M170" s="221"/>
      <c r="N170" s="221"/>
      <c r="O170" s="221"/>
      <c r="P170" s="221"/>
      <c r="Q170" s="221"/>
      <c r="R170" s="221"/>
      <c r="S170" s="221"/>
    </row>
    <row r="171" spans="1:19" ht="61.5" customHeight="1">
      <c r="A171" s="2031" t="s">
        <v>929</v>
      </c>
      <c r="B171" s="2032"/>
      <c r="C171" s="2032"/>
      <c r="D171" s="2032"/>
      <c r="E171" s="2032"/>
      <c r="F171" s="2033"/>
      <c r="G171" s="428" t="s">
        <v>953</v>
      </c>
      <c r="H171" s="318" t="s">
        <v>955</v>
      </c>
      <c r="I171" s="318" t="s">
        <v>371</v>
      </c>
      <c r="J171" s="318"/>
      <c r="K171" s="2034" t="s">
        <v>906</v>
      </c>
      <c r="L171" s="2045"/>
      <c r="M171" s="2045"/>
      <c r="N171" s="2045"/>
      <c r="O171" s="2045"/>
      <c r="P171" s="2045"/>
      <c r="Q171" s="2045"/>
      <c r="R171" s="2045"/>
      <c r="S171" s="2046"/>
    </row>
    <row r="172" spans="1:19" ht="15.6">
      <c r="A172" s="282"/>
      <c r="B172" s="274" t="s">
        <v>536</v>
      </c>
      <c r="C172" s="262"/>
      <c r="D172" s="256"/>
      <c r="E172" s="288"/>
      <c r="F172" s="422"/>
      <c r="G172" s="461"/>
      <c r="H172" s="413"/>
      <c r="I172" s="251"/>
      <c r="J172" s="251"/>
      <c r="K172" s="222"/>
      <c r="L172" s="222"/>
      <c r="M172" s="222"/>
      <c r="N172" s="222"/>
      <c r="O172" s="222"/>
      <c r="P172" s="222"/>
      <c r="Q172" s="222"/>
      <c r="R172" s="222"/>
      <c r="S172" s="310"/>
    </row>
    <row r="173" spans="1:19" ht="28.5" customHeight="1" thickBot="1">
      <c r="A173" s="293">
        <f>+'Appendix A'!A116</f>
        <v>62</v>
      </c>
      <c r="B173" s="299"/>
      <c r="C173" s="300" t="str">
        <f>+'Appendix A'!C116</f>
        <v>Regulatory Commission Exp Account 928</v>
      </c>
      <c r="D173" s="303"/>
      <c r="E173" s="301" t="str">
        <f>+'Appendix A'!E116</f>
        <v>(Note G)</v>
      </c>
      <c r="F173" s="302" t="str">
        <f>+'Appendix A'!F107</f>
        <v>p323.189.b</v>
      </c>
      <c r="G173" s="1749">
        <v>0</v>
      </c>
      <c r="H173" s="1750">
        <v>0</v>
      </c>
      <c r="I173" s="1056">
        <f>G173-H173</f>
        <v>0</v>
      </c>
      <c r="J173" s="840" t="s">
        <v>492</v>
      </c>
      <c r="K173" s="2060" t="s">
        <v>233</v>
      </c>
      <c r="L173" s="2061"/>
      <c r="M173" s="2061"/>
      <c r="N173" s="2061"/>
      <c r="O173" s="2061"/>
      <c r="P173" s="2061"/>
      <c r="Q173" s="2061"/>
      <c r="R173" s="2061"/>
      <c r="S173" s="2062"/>
    </row>
    <row r="174" spans="1:19" ht="13.8">
      <c r="G174" s="221"/>
      <c r="H174" s="221"/>
      <c r="I174" s="221"/>
      <c r="J174" s="221"/>
      <c r="K174" s="221"/>
      <c r="L174" s="221"/>
      <c r="M174" s="221"/>
      <c r="N174" s="221"/>
      <c r="O174" s="221"/>
      <c r="P174" s="221"/>
      <c r="Q174" s="221"/>
      <c r="R174" s="221"/>
      <c r="S174" s="221"/>
    </row>
    <row r="175" spans="1:19" ht="21.6" thickBot="1">
      <c r="A175" s="298" t="s">
        <v>379</v>
      </c>
      <c r="G175" s="221"/>
      <c r="H175" s="221"/>
      <c r="I175" s="221"/>
      <c r="J175" s="221"/>
      <c r="K175" s="221"/>
      <c r="L175" s="221"/>
      <c r="M175" s="221"/>
      <c r="N175" s="221"/>
      <c r="O175" s="221"/>
      <c r="P175" s="221"/>
      <c r="Q175" s="221"/>
      <c r="R175" s="221"/>
      <c r="S175" s="221"/>
    </row>
    <row r="176" spans="1:19" ht="42" customHeight="1">
      <c r="A176" s="2031" t="s">
        <v>929</v>
      </c>
      <c r="B176" s="2032"/>
      <c r="C176" s="2032"/>
      <c r="D176" s="2032"/>
      <c r="E176" s="2032"/>
      <c r="F176" s="2033"/>
      <c r="G176" s="428" t="s">
        <v>953</v>
      </c>
      <c r="H176" s="318" t="s">
        <v>957</v>
      </c>
      <c r="I176" s="318" t="s">
        <v>373</v>
      </c>
      <c r="J176" s="318"/>
      <c r="K176" s="2034" t="s">
        <v>906</v>
      </c>
      <c r="L176" s="2045"/>
      <c r="M176" s="2045"/>
      <c r="N176" s="2045"/>
      <c r="O176" s="2045"/>
      <c r="P176" s="2045"/>
      <c r="Q176" s="2045"/>
      <c r="R176" s="2045"/>
      <c r="S176" s="2046"/>
    </row>
    <row r="177" spans="1:19" ht="15.6">
      <c r="A177" s="282"/>
      <c r="B177" s="274" t="s">
        <v>536</v>
      </c>
      <c r="C177" s="253"/>
      <c r="D177" s="256"/>
      <c r="E177" s="257"/>
      <c r="F177" s="280"/>
      <c r="G177" s="312"/>
      <c r="H177" s="222"/>
      <c r="I177" s="222"/>
      <c r="J177" s="240"/>
      <c r="K177" s="222"/>
      <c r="L177" s="222"/>
      <c r="M177" s="222"/>
      <c r="N177" s="222"/>
      <c r="O177" s="222"/>
      <c r="P177" s="222"/>
      <c r="Q177" s="222"/>
      <c r="R177" s="222"/>
      <c r="S177" s="310"/>
    </row>
    <row r="178" spans="1:19" ht="30.75" customHeight="1" thickBot="1">
      <c r="A178" s="305">
        <f>+'Appendix A'!A121</f>
        <v>66</v>
      </c>
      <c r="B178" s="299"/>
      <c r="C178" s="424" t="str">
        <f>+'Appendix A'!C121</f>
        <v>General Advertising Exp Account 930.1</v>
      </c>
      <c r="D178" s="297"/>
      <c r="E178" s="425" t="str">
        <f>+'Appendix A'!E121</f>
        <v>(Note F)</v>
      </c>
      <c r="F178" s="302" t="str">
        <f>'Appendix A'!F108</f>
        <v>p323.191.b</v>
      </c>
      <c r="G178" s="1751">
        <v>0</v>
      </c>
      <c r="H178" s="1752">
        <v>0</v>
      </c>
      <c r="I178" s="1056">
        <v>0</v>
      </c>
      <c r="J178" s="840" t="s">
        <v>493</v>
      </c>
      <c r="K178" s="2047" t="s">
        <v>65</v>
      </c>
      <c r="L178" s="2048"/>
      <c r="M178" s="2048"/>
      <c r="N178" s="2048"/>
      <c r="O178" s="2048"/>
      <c r="P178" s="2048"/>
      <c r="Q178" s="2048"/>
      <c r="R178" s="2048"/>
      <c r="S178" s="2049"/>
    </row>
    <row r="179" spans="1:19" ht="15.6">
      <c r="A179" s="263"/>
      <c r="B179" s="284"/>
      <c r="C179" s="265"/>
      <c r="D179" s="256"/>
      <c r="E179" s="255"/>
      <c r="F179" s="265"/>
      <c r="G179" s="251"/>
      <c r="H179" s="251"/>
      <c r="I179" s="251"/>
      <c r="J179" s="251"/>
      <c r="K179" s="314"/>
      <c r="L179" s="313"/>
      <c r="M179" s="313"/>
      <c r="N179" s="313"/>
      <c r="O179" s="313"/>
      <c r="P179" s="313"/>
      <c r="Q179" s="313"/>
      <c r="R179" s="313"/>
      <c r="S179" s="313"/>
    </row>
    <row r="180" spans="1:19" ht="21.6" thickBot="1">
      <c r="A180" s="298" t="s">
        <v>951</v>
      </c>
      <c r="G180" s="221"/>
      <c r="H180" s="221"/>
      <c r="I180" s="221"/>
      <c r="J180" s="221"/>
      <c r="K180" s="221"/>
      <c r="L180" s="221"/>
      <c r="M180" s="221"/>
      <c r="N180" s="221"/>
      <c r="O180" s="221"/>
      <c r="P180" s="221"/>
      <c r="Q180" s="221"/>
      <c r="R180" s="221"/>
      <c r="S180" s="221"/>
    </row>
    <row r="181" spans="1:19" ht="17.399999999999999">
      <c r="A181" s="2031" t="s">
        <v>929</v>
      </c>
      <c r="B181" s="2032"/>
      <c r="C181" s="2032"/>
      <c r="D181" s="2032"/>
      <c r="E181" s="2032"/>
      <c r="F181" s="2033"/>
      <c r="G181" s="318" t="s">
        <v>958</v>
      </c>
      <c r="H181" s="318" t="s">
        <v>959</v>
      </c>
      <c r="I181" s="318"/>
      <c r="J181" s="318" t="s">
        <v>960</v>
      </c>
      <c r="K181" s="318" t="s">
        <v>961</v>
      </c>
      <c r="L181" s="318" t="s">
        <v>962</v>
      </c>
      <c r="M181" s="318"/>
      <c r="N181" s="2034" t="s">
        <v>906</v>
      </c>
      <c r="O181" s="2045"/>
      <c r="P181" s="2045"/>
      <c r="Q181" s="2045"/>
      <c r="R181" s="2045"/>
      <c r="S181" s="2046"/>
    </row>
    <row r="182" spans="1:19" ht="15.6">
      <c r="A182" s="277" t="s">
        <v>525</v>
      </c>
      <c r="B182" s="266" t="s">
        <v>579</v>
      </c>
      <c r="C182" s="192"/>
      <c r="D182" s="192"/>
      <c r="E182" s="257"/>
      <c r="F182" s="276"/>
      <c r="G182" s="222" t="s">
        <v>782</v>
      </c>
      <c r="H182" s="222" t="s">
        <v>1145</v>
      </c>
      <c r="I182" s="222"/>
      <c r="J182" s="222" t="s">
        <v>783</v>
      </c>
      <c r="K182" s="222" t="s">
        <v>33</v>
      </c>
      <c r="L182" s="222"/>
      <c r="M182" s="222"/>
      <c r="N182" s="222"/>
      <c r="O182" s="222"/>
      <c r="P182" s="222"/>
      <c r="Q182" s="222"/>
      <c r="R182" s="222"/>
      <c r="S182" s="310"/>
    </row>
    <row r="183" spans="1:19" ht="15.6">
      <c r="A183" s="277"/>
      <c r="B183" s="266"/>
      <c r="C183" s="192"/>
      <c r="D183" s="192"/>
      <c r="E183" s="1159"/>
      <c r="F183" s="276"/>
      <c r="G183" s="251" t="s">
        <v>751</v>
      </c>
      <c r="H183" s="1160" t="s">
        <v>784</v>
      </c>
      <c r="I183" s="251"/>
      <c r="J183" s="251"/>
      <c r="K183" s="251"/>
      <c r="L183" s="251"/>
      <c r="M183" s="251"/>
      <c r="N183" s="2028"/>
      <c r="O183" s="2054"/>
      <c r="P183" s="2054"/>
      <c r="Q183" s="2054"/>
      <c r="R183" s="2054"/>
      <c r="S183" s="2055"/>
    </row>
    <row r="184" spans="1:19" ht="16.2" thickBot="1">
      <c r="A184" s="305">
        <f>+'Appendix A'!A195</f>
        <v>110</v>
      </c>
      <c r="B184" s="294"/>
      <c r="C184" s="424" t="str">
        <f>+'Appendix A'!C195</f>
        <v>SIT=State Income Tax Rate or Composite</v>
      </c>
      <c r="D184" s="306"/>
      <c r="E184" s="425" t="str">
        <f>'Appendix A'!E194</f>
        <v>(Note H)</v>
      </c>
      <c r="F184" s="1152"/>
      <c r="G184" s="1843">
        <v>7.4087E-2</v>
      </c>
      <c r="H184" s="420"/>
      <c r="I184" s="420"/>
      <c r="J184" s="343"/>
      <c r="K184" s="343"/>
      <c r="L184" s="343"/>
      <c r="M184" s="343"/>
      <c r="N184" s="2026"/>
      <c r="O184" s="2058"/>
      <c r="P184" s="2058"/>
      <c r="Q184" s="2058"/>
      <c r="R184" s="2058"/>
      <c r="S184" s="2059"/>
    </row>
    <row r="185" spans="1:19" ht="13.8">
      <c r="G185" s="221"/>
      <c r="H185" s="221"/>
      <c r="I185" s="221"/>
      <c r="J185" s="221"/>
      <c r="K185" s="221"/>
      <c r="L185" s="221"/>
      <c r="M185" s="221"/>
      <c r="N185" s="221"/>
      <c r="O185" s="221"/>
      <c r="P185" s="221"/>
      <c r="Q185" s="221"/>
      <c r="R185" s="221"/>
      <c r="S185" s="221"/>
    </row>
    <row r="186" spans="1:19" ht="21.6" thickBot="1">
      <c r="A186" s="298" t="s">
        <v>380</v>
      </c>
      <c r="G186" s="221"/>
      <c r="H186" s="221"/>
      <c r="I186" s="221"/>
      <c r="J186" s="221"/>
      <c r="K186" s="221"/>
      <c r="L186" s="221"/>
      <c r="M186" s="221"/>
      <c r="N186" s="221"/>
      <c r="O186" s="221"/>
      <c r="P186" s="221"/>
      <c r="Q186" s="221"/>
      <c r="R186" s="221"/>
      <c r="S186" s="221"/>
    </row>
    <row r="187" spans="1:19" ht="17.399999999999999">
      <c r="A187" s="2031" t="s">
        <v>929</v>
      </c>
      <c r="B187" s="2032"/>
      <c r="C187" s="2032"/>
      <c r="D187" s="2032"/>
      <c r="E187" s="2032"/>
      <c r="F187" s="2033"/>
      <c r="G187" s="428" t="s">
        <v>953</v>
      </c>
      <c r="H187" s="318" t="s">
        <v>963</v>
      </c>
      <c r="I187" s="318"/>
      <c r="J187" s="318" t="s">
        <v>964</v>
      </c>
      <c r="K187" s="2034" t="s">
        <v>906</v>
      </c>
      <c r="L187" s="2045"/>
      <c r="M187" s="2045"/>
      <c r="N187" s="2045"/>
      <c r="O187" s="2045"/>
      <c r="P187" s="2045"/>
      <c r="Q187" s="2045"/>
      <c r="R187" s="2045"/>
      <c r="S187" s="2046"/>
    </row>
    <row r="188" spans="1:19" ht="15.6">
      <c r="A188" s="282"/>
      <c r="B188" s="274" t="s">
        <v>536</v>
      </c>
      <c r="C188" s="253"/>
      <c r="D188" s="256"/>
      <c r="E188" s="257"/>
      <c r="F188" s="280"/>
      <c r="G188" s="312"/>
      <c r="H188" s="222"/>
      <c r="I188" s="222"/>
      <c r="J188" s="222"/>
      <c r="K188" s="222"/>
      <c r="L188" s="222"/>
      <c r="M188" s="222"/>
      <c r="N188" s="222"/>
      <c r="O188" s="222"/>
      <c r="P188" s="222"/>
      <c r="Q188" s="222"/>
      <c r="R188" s="222"/>
      <c r="S188" s="310"/>
    </row>
    <row r="189" spans="1:19" ht="16.5" customHeight="1" thickBot="1">
      <c r="A189" s="305">
        <f>+'Appendix A'!A117</f>
        <v>63</v>
      </c>
      <c r="B189" s="299"/>
      <c r="C189" s="424" t="str">
        <f>+'Appendix A'!C117</f>
        <v>General Advertising Exp Account 930.1</v>
      </c>
      <c r="D189" s="307"/>
      <c r="E189" s="425" t="str">
        <f>+'Appendix A'!E117</f>
        <v>(Note J)</v>
      </c>
      <c r="F189" s="302" t="str">
        <f>'Appendix A'!F108</f>
        <v>p323.191.b</v>
      </c>
      <c r="G189" s="1753">
        <v>0</v>
      </c>
      <c r="H189" s="1752">
        <v>0</v>
      </c>
      <c r="I189" s="343"/>
      <c r="J189" s="426">
        <f>G189-H189</f>
        <v>0</v>
      </c>
      <c r="K189" s="2047" t="s">
        <v>280</v>
      </c>
      <c r="L189" s="2048"/>
      <c r="M189" s="2048"/>
      <c r="N189" s="2048"/>
      <c r="O189" s="2048"/>
      <c r="P189" s="2048"/>
      <c r="Q189" s="2048"/>
      <c r="R189" s="2048"/>
      <c r="S189" s="2049"/>
    </row>
    <row r="190" spans="1:19" ht="13.8">
      <c r="G190" s="221"/>
      <c r="H190" s="221"/>
      <c r="I190" s="221"/>
      <c r="J190" s="221"/>
      <c r="K190" s="221"/>
      <c r="L190" s="221"/>
      <c r="M190" s="221"/>
      <c r="N190" s="221"/>
      <c r="O190" s="221"/>
      <c r="P190" s="221"/>
      <c r="Q190" s="221"/>
      <c r="R190" s="221"/>
      <c r="S190" s="221"/>
    </row>
    <row r="191" spans="1:19" ht="21.6" thickBot="1">
      <c r="A191" s="298" t="s">
        <v>381</v>
      </c>
      <c r="G191" s="221"/>
      <c r="H191" s="221"/>
      <c r="I191" s="221"/>
      <c r="J191" s="221"/>
      <c r="K191" s="221"/>
      <c r="L191" s="221"/>
      <c r="M191" s="221"/>
      <c r="N191" s="221"/>
      <c r="O191" s="221"/>
      <c r="P191" s="221"/>
      <c r="Q191" s="221"/>
      <c r="R191" s="221"/>
      <c r="S191" s="221"/>
    </row>
    <row r="192" spans="1:19" ht="27.6">
      <c r="A192" s="2031" t="s">
        <v>929</v>
      </c>
      <c r="B192" s="2032"/>
      <c r="C192" s="2032"/>
      <c r="D192" s="2032"/>
      <c r="E192" s="2032"/>
      <c r="F192" s="2033"/>
      <c r="G192" s="428" t="str">
        <f>+C194</f>
        <v>Excluded Transmission Facilities</v>
      </c>
      <c r="H192" s="2034" t="s">
        <v>966</v>
      </c>
      <c r="I192" s="2034"/>
      <c r="J192" s="2056"/>
      <c r="K192" s="2056"/>
      <c r="L192" s="2056"/>
      <c r="M192" s="2056"/>
      <c r="N192" s="2056"/>
      <c r="O192" s="2056"/>
      <c r="P192" s="2056"/>
      <c r="Q192" s="2056"/>
      <c r="R192" s="2056"/>
      <c r="S192" s="2057"/>
    </row>
    <row r="193" spans="1:19" ht="18">
      <c r="A193" s="291"/>
      <c r="B193" s="252" t="s">
        <v>539</v>
      </c>
      <c r="C193" s="270"/>
      <c r="D193" s="271"/>
      <c r="E193" s="272"/>
      <c r="F193" s="477"/>
      <c r="G193" s="312"/>
      <c r="H193" s="222"/>
      <c r="I193" s="222"/>
      <c r="J193" s="222"/>
      <c r="K193" s="222"/>
      <c r="L193" s="222"/>
      <c r="M193" s="222"/>
      <c r="N193" s="222"/>
      <c r="O193" s="222"/>
      <c r="P193" s="222"/>
      <c r="Q193" s="222"/>
      <c r="R193" s="222"/>
      <c r="S193" s="310"/>
    </row>
    <row r="194" spans="1:19" ht="18">
      <c r="A194" s="282">
        <f>+'Appendix A'!A221</f>
        <v>126</v>
      </c>
      <c r="B194" s="273"/>
      <c r="C194" s="265" t="str">
        <f>+'Appendix A'!C221</f>
        <v>Excluded Transmission Facilities</v>
      </c>
      <c r="D194" s="271"/>
      <c r="E194" s="290" t="str">
        <f>+'Appendix A'!E221</f>
        <v>(Note L)</v>
      </c>
      <c r="F194" s="265"/>
      <c r="G194" s="478"/>
      <c r="H194" s="2028" t="s">
        <v>968</v>
      </c>
      <c r="I194" s="2028"/>
      <c r="J194" s="2029"/>
      <c r="K194" s="2029"/>
      <c r="L194" s="2029"/>
      <c r="M194" s="2029"/>
      <c r="N194" s="2029"/>
      <c r="O194" s="2029"/>
      <c r="P194" s="2029"/>
      <c r="Q194" s="2029"/>
      <c r="R194" s="2029"/>
      <c r="S194" s="2030"/>
    </row>
    <row r="195" spans="1:19" ht="18">
      <c r="A195" s="282"/>
      <c r="B195" s="273"/>
      <c r="C195" s="265" t="s">
        <v>774</v>
      </c>
      <c r="D195" s="271"/>
      <c r="E195" s="290"/>
      <c r="F195" s="265"/>
      <c r="G195" s="595">
        <v>0</v>
      </c>
      <c r="H195" s="314"/>
      <c r="I195" s="314"/>
      <c r="J195" s="313"/>
      <c r="K195" s="313"/>
      <c r="L195" s="313"/>
      <c r="M195" s="313"/>
      <c r="N195" s="313"/>
      <c r="O195" s="313"/>
      <c r="P195" s="313"/>
      <c r="Q195" s="313"/>
      <c r="R195" s="313"/>
      <c r="S195" s="430"/>
    </row>
    <row r="196" spans="1:19" ht="18">
      <c r="A196" s="282"/>
      <c r="B196" s="273"/>
      <c r="C196" s="260"/>
      <c r="D196" s="271"/>
      <c r="E196" s="261"/>
      <c r="F196" s="259"/>
      <c r="G196" s="312"/>
      <c r="H196" s="222"/>
      <c r="I196" s="222"/>
      <c r="J196" s="222"/>
      <c r="K196" s="222"/>
      <c r="L196" s="222"/>
      <c r="M196" s="222"/>
      <c r="N196" s="222"/>
      <c r="O196" s="222"/>
      <c r="P196" s="222"/>
      <c r="Q196" s="251"/>
      <c r="R196" s="222"/>
      <c r="S196" s="310"/>
    </row>
    <row r="197" spans="1:19" ht="18">
      <c r="A197" s="282"/>
      <c r="B197" s="273"/>
      <c r="C197" s="260" t="s">
        <v>486</v>
      </c>
      <c r="D197" s="271"/>
      <c r="E197" s="261"/>
      <c r="F197" s="259"/>
      <c r="G197" s="461" t="s">
        <v>965</v>
      </c>
      <c r="H197" s="2028"/>
      <c r="I197" s="2028"/>
      <c r="J197" s="2029"/>
      <c r="K197" s="2029"/>
      <c r="L197" s="2029"/>
      <c r="M197" s="2029"/>
      <c r="N197" s="2029"/>
      <c r="O197" s="2029"/>
      <c r="P197" s="2029"/>
      <c r="Q197" s="2029"/>
      <c r="R197" s="2029"/>
      <c r="S197" s="2030"/>
    </row>
    <row r="198" spans="1:19" ht="18">
      <c r="A198" s="282"/>
      <c r="B198" s="273">
        <v>1</v>
      </c>
      <c r="C198" s="260" t="s">
        <v>654</v>
      </c>
      <c r="D198" s="271"/>
      <c r="E198" s="261"/>
      <c r="F198" s="259"/>
      <c r="G198" s="463"/>
      <c r="H198" s="2028"/>
      <c r="I198" s="2028"/>
      <c r="J198" s="2029"/>
      <c r="K198" s="2029"/>
      <c r="L198" s="2029"/>
      <c r="M198" s="2029"/>
      <c r="N198" s="2029"/>
      <c r="O198" s="2029"/>
      <c r="P198" s="2029"/>
      <c r="Q198" s="2029"/>
      <c r="R198" s="2029"/>
      <c r="S198" s="2030"/>
    </row>
    <row r="199" spans="1:19" ht="18">
      <c r="A199" s="282"/>
      <c r="B199" s="273"/>
      <c r="C199" s="260" t="s">
        <v>662</v>
      </c>
      <c r="D199" s="271"/>
      <c r="E199" s="261"/>
      <c r="F199" s="259"/>
      <c r="G199" s="463"/>
      <c r="H199" s="314"/>
      <c r="I199" s="314"/>
      <c r="J199" s="313"/>
      <c r="K199" s="313"/>
      <c r="L199" s="313"/>
      <c r="M199" s="313"/>
      <c r="N199" s="313"/>
      <c r="O199" s="313"/>
      <c r="P199" s="313"/>
      <c r="Q199" s="313"/>
      <c r="R199" s="313"/>
      <c r="S199" s="430"/>
    </row>
    <row r="200" spans="1:19" ht="18">
      <c r="A200" s="282"/>
      <c r="B200" s="273">
        <v>2</v>
      </c>
      <c r="C200" s="260" t="s">
        <v>488</v>
      </c>
      <c r="D200" s="271"/>
      <c r="E200" s="261"/>
      <c r="F200" s="259"/>
      <c r="G200" s="461" t="s">
        <v>489</v>
      </c>
      <c r="H200" s="2028"/>
      <c r="I200" s="2028"/>
      <c r="J200" s="2029"/>
      <c r="K200" s="2029"/>
      <c r="L200" s="2029"/>
      <c r="M200" s="2029"/>
      <c r="N200" s="2029"/>
      <c r="O200" s="2029"/>
      <c r="P200" s="2029"/>
      <c r="Q200" s="2029"/>
      <c r="R200" s="2029"/>
      <c r="S200" s="2030"/>
    </row>
    <row r="201" spans="1:19" ht="18">
      <c r="A201" s="282"/>
      <c r="B201" s="273"/>
      <c r="C201" s="260" t="s">
        <v>494</v>
      </c>
      <c r="D201" s="468" t="s">
        <v>495</v>
      </c>
      <c r="E201" s="261"/>
      <c r="F201" s="259"/>
      <c r="G201" s="461" t="str">
        <f>+G197</f>
        <v>Enter $</v>
      </c>
      <c r="H201" s="2028"/>
      <c r="I201" s="2028"/>
      <c r="J201" s="2029"/>
      <c r="K201" s="2029"/>
      <c r="L201" s="2029"/>
      <c r="M201" s="2029"/>
      <c r="N201" s="2029"/>
      <c r="O201" s="2029"/>
      <c r="P201" s="2029"/>
      <c r="Q201" s="2029"/>
      <c r="R201" s="2029"/>
      <c r="S201" s="2030"/>
    </row>
    <row r="202" spans="1:19" ht="15.6">
      <c r="A202" s="465"/>
      <c r="B202" s="469" t="s">
        <v>527</v>
      </c>
      <c r="C202" s="260" t="s">
        <v>496</v>
      </c>
      <c r="D202" s="470">
        <v>1000000</v>
      </c>
      <c r="E202" s="355"/>
      <c r="F202" s="355"/>
      <c r="G202" s="463"/>
      <c r="H202" s="2028"/>
      <c r="I202" s="2028"/>
      <c r="J202" s="2029"/>
      <c r="K202" s="2029"/>
      <c r="L202" s="2029"/>
      <c r="M202" s="2029"/>
      <c r="N202" s="2029"/>
      <c r="O202" s="2029"/>
      <c r="P202" s="2029"/>
      <c r="Q202" s="2029"/>
      <c r="R202" s="2029"/>
      <c r="S202" s="2030"/>
    </row>
    <row r="203" spans="1:19" ht="15.6">
      <c r="A203" s="465"/>
      <c r="B203" s="469" t="s">
        <v>604</v>
      </c>
      <c r="C203" s="260" t="s">
        <v>497</v>
      </c>
      <c r="D203" s="470">
        <v>500000</v>
      </c>
      <c r="E203" s="355"/>
      <c r="F203" s="355"/>
      <c r="G203" s="463"/>
      <c r="H203" s="2028"/>
      <c r="I203" s="2028"/>
      <c r="J203" s="2029"/>
      <c r="K203" s="2029"/>
      <c r="L203" s="2029"/>
      <c r="M203" s="2029"/>
      <c r="N203" s="2029"/>
      <c r="O203" s="2029"/>
      <c r="P203" s="2029"/>
      <c r="Q203" s="2029"/>
      <c r="R203" s="2029"/>
      <c r="S203" s="2030"/>
    </row>
    <row r="204" spans="1:19" ht="15.6">
      <c r="A204" s="465"/>
      <c r="B204" s="469" t="s">
        <v>510</v>
      </c>
      <c r="C204" s="260" t="s">
        <v>498</v>
      </c>
      <c r="D204" s="470">
        <v>400000</v>
      </c>
      <c r="E204" s="355"/>
      <c r="F204" s="355"/>
      <c r="G204" s="463"/>
      <c r="H204" s="2028"/>
      <c r="I204" s="2028"/>
      <c r="J204" s="2029"/>
      <c r="K204" s="2029"/>
      <c r="L204" s="2029"/>
      <c r="M204" s="2029"/>
      <c r="N204" s="2029"/>
      <c r="O204" s="2029"/>
      <c r="P204" s="2029"/>
      <c r="Q204" s="2029"/>
      <c r="R204" s="2029"/>
      <c r="S204" s="2030"/>
    </row>
    <row r="205" spans="1:19" ht="15.6">
      <c r="A205" s="465"/>
      <c r="B205" s="469" t="s">
        <v>528</v>
      </c>
      <c r="C205" s="260" t="s">
        <v>499</v>
      </c>
      <c r="D205" s="470">
        <f>+D202*(D204/(D203+D204))</f>
        <v>444444.44444444444</v>
      </c>
      <c r="E205" s="355"/>
      <c r="F205" s="355"/>
      <c r="G205" s="463"/>
      <c r="H205" s="2028"/>
      <c r="I205" s="2028"/>
      <c r="J205" s="2029"/>
      <c r="K205" s="2029"/>
      <c r="L205" s="2029"/>
      <c r="M205" s="2029"/>
      <c r="N205" s="2029"/>
      <c r="O205" s="2029"/>
      <c r="P205" s="2029"/>
      <c r="Q205" s="2029"/>
      <c r="R205" s="2029"/>
      <c r="S205" s="2030"/>
    </row>
    <row r="206" spans="1:19" ht="14.4" thickBot="1">
      <c r="A206" s="241"/>
      <c r="B206" s="242"/>
      <c r="C206" s="242"/>
      <c r="D206" s="242"/>
      <c r="E206" s="242"/>
      <c r="F206" s="242"/>
      <c r="G206" s="315"/>
      <c r="H206" s="311"/>
      <c r="I206" s="311"/>
      <c r="J206" s="311"/>
      <c r="K206" s="311"/>
      <c r="L206" s="319" t="s">
        <v>967</v>
      </c>
      <c r="M206" s="319"/>
      <c r="N206" s="311"/>
      <c r="O206" s="311"/>
      <c r="P206" s="311"/>
      <c r="Q206" s="311"/>
      <c r="R206" s="311"/>
      <c r="S206" s="316"/>
    </row>
    <row r="207" spans="1:19" ht="12.75" customHeight="1">
      <c r="A207" s="240"/>
      <c r="B207" s="240"/>
      <c r="C207" s="240"/>
      <c r="D207" s="240"/>
      <c r="E207" s="240"/>
      <c r="F207" s="240"/>
      <c r="G207" s="222"/>
      <c r="H207" s="222"/>
      <c r="I207" s="222"/>
      <c r="J207" s="222"/>
      <c r="K207" s="222"/>
      <c r="L207" s="224"/>
      <c r="M207" s="224"/>
      <c r="N207" s="222"/>
      <c r="O207" s="222"/>
      <c r="P207" s="222"/>
      <c r="Q207" s="222"/>
      <c r="R207" s="222"/>
      <c r="S207" s="222"/>
    </row>
    <row r="208" spans="1:19" ht="21.6" thickBot="1">
      <c r="A208" s="298" t="s">
        <v>549</v>
      </c>
      <c r="G208" s="221"/>
      <c r="H208" s="221"/>
      <c r="I208" s="221"/>
      <c r="J208" s="221"/>
      <c r="K208" s="221"/>
      <c r="L208" s="221"/>
      <c r="M208" s="221"/>
      <c r="N208" s="221"/>
      <c r="O208" s="221"/>
      <c r="P208" s="221"/>
      <c r="Q208" s="221"/>
      <c r="R208" s="221"/>
      <c r="S208" s="221"/>
    </row>
    <row r="209" spans="1:256" ht="57" customHeight="1">
      <c r="A209" s="2031" t="s">
        <v>929</v>
      </c>
      <c r="B209" s="2032"/>
      <c r="C209" s="2032"/>
      <c r="D209" s="2032"/>
      <c r="E209" s="2032"/>
      <c r="F209" s="2032"/>
      <c r="G209" s="685" t="s">
        <v>9</v>
      </c>
      <c r="H209" s="686" t="s">
        <v>10</v>
      </c>
      <c r="I209" s="686"/>
      <c r="J209" s="686" t="s">
        <v>391</v>
      </c>
      <c r="K209" s="318" t="s">
        <v>614</v>
      </c>
      <c r="L209" s="318" t="s">
        <v>955</v>
      </c>
      <c r="M209" s="318"/>
      <c r="N209" s="2034" t="s">
        <v>906</v>
      </c>
      <c r="O209" s="2034"/>
      <c r="P209" s="2034"/>
      <c r="Q209" s="2034"/>
      <c r="R209" s="2034"/>
      <c r="S209" s="2035"/>
    </row>
    <row r="210" spans="1:256" ht="15.6">
      <c r="A210" s="283">
        <f>+'Appendix A'!A76</f>
        <v>36</v>
      </c>
      <c r="B210" s="258" t="s">
        <v>549</v>
      </c>
      <c r="C210" s="287"/>
      <c r="D210" s="264"/>
      <c r="E210" s="288"/>
      <c r="F210" s="692"/>
      <c r="G210" s="688"/>
      <c r="H210" s="240"/>
      <c r="I210" s="240"/>
      <c r="J210" s="438" t="s">
        <v>965</v>
      </c>
      <c r="K210" s="438"/>
      <c r="L210" s="438" t="s">
        <v>903</v>
      </c>
      <c r="M210" s="438"/>
      <c r="N210" s="222"/>
      <c r="O210" s="222"/>
      <c r="P210" s="222"/>
      <c r="Q210" s="222"/>
      <c r="R210" s="222"/>
      <c r="S210" s="310"/>
    </row>
    <row r="211" spans="1:256" ht="15.6">
      <c r="A211" s="282"/>
      <c r="B211" s="273"/>
      <c r="C211" s="240" t="s">
        <v>439</v>
      </c>
      <c r="D211" s="689"/>
      <c r="E211" s="690"/>
      <c r="F211" s="693" t="s">
        <v>942</v>
      </c>
      <c r="G211" s="1950">
        <v>1080</v>
      </c>
      <c r="H211" s="1950">
        <v>247084</v>
      </c>
      <c r="I211" s="1260"/>
      <c r="J211" s="1261">
        <f>AVERAGE(G211:H211)</f>
        <v>124082</v>
      </c>
      <c r="K211" s="1262">
        <v>1</v>
      </c>
      <c r="L211" s="1263">
        <f>+J211*K211</f>
        <v>124082</v>
      </c>
      <c r="M211" s="438"/>
      <c r="N211" s="1514"/>
      <c r="O211" s="222"/>
      <c r="P211" s="222"/>
      <c r="Q211" s="222"/>
      <c r="R211" s="222"/>
      <c r="S211" s="310"/>
    </row>
    <row r="212" spans="1:256" ht="15.6">
      <c r="A212" s="282"/>
      <c r="B212" s="273"/>
      <c r="C212" s="439" t="s">
        <v>672</v>
      </c>
      <c r="D212" s="691"/>
      <c r="E212" s="690"/>
      <c r="F212" s="693"/>
      <c r="G212" s="1264">
        <v>0</v>
      </c>
      <c r="H212" s="1265">
        <v>0</v>
      </c>
      <c r="I212" s="1260"/>
      <c r="J212" s="1266">
        <f>AVERAGE(G212:H212)</f>
        <v>0</v>
      </c>
      <c r="K212" s="1267">
        <v>1</v>
      </c>
      <c r="L212" s="1268">
        <f>+J212*K212</f>
        <v>0</v>
      </c>
      <c r="M212" s="438"/>
      <c r="N212" s="222"/>
      <c r="O212" s="222"/>
      <c r="P212" s="222"/>
      <c r="Q212" s="222"/>
      <c r="R212" s="222"/>
      <c r="S212" s="310"/>
    </row>
    <row r="213" spans="1:256" ht="15.6">
      <c r="A213" s="282"/>
      <c r="B213" s="273"/>
      <c r="C213" s="440" t="s">
        <v>941</v>
      </c>
      <c r="D213" s="441"/>
      <c r="E213" s="441"/>
      <c r="F213" s="2"/>
      <c r="G213" s="1269">
        <f>SUM(G211:G212)</f>
        <v>1080</v>
      </c>
      <c r="H213" s="1270">
        <f>SUM(H211:H212)</f>
        <v>247084</v>
      </c>
      <c r="I213" s="1271"/>
      <c r="J213" s="1993">
        <f>SUM(J211:J212)</f>
        <v>124082</v>
      </c>
      <c r="K213" s="1272"/>
      <c r="L213" s="1273">
        <f>SUM(L211:L212)</f>
        <v>124082</v>
      </c>
      <c r="M213" s="724"/>
      <c r="N213" s="725"/>
      <c r="O213" s="726"/>
      <c r="P213" s="313"/>
      <c r="Q213" s="313"/>
      <c r="R213" s="313"/>
      <c r="S213" s="430"/>
    </row>
    <row r="214" spans="1:256" ht="16.2" thickBot="1">
      <c r="A214" s="293"/>
      <c r="B214" s="296"/>
      <c r="C214" s="296"/>
      <c r="D214" s="296"/>
      <c r="E214" s="301"/>
      <c r="F214" s="296"/>
      <c r="G214" s="315"/>
      <c r="H214" s="311"/>
      <c r="I214" s="311"/>
      <c r="J214" s="311"/>
      <c r="K214" s="311"/>
      <c r="L214" s="319"/>
      <c r="M214" s="319"/>
      <c r="N214" s="311"/>
      <c r="O214" s="311"/>
      <c r="P214" s="311"/>
      <c r="Q214" s="311"/>
      <c r="R214" s="311"/>
      <c r="S214" s="316"/>
    </row>
    <row r="215" spans="1:256" ht="13.8">
      <c r="A215" s="240"/>
      <c r="B215" s="240"/>
      <c r="C215" s="240"/>
      <c r="D215" s="240"/>
      <c r="E215" s="240"/>
      <c r="F215" s="240"/>
      <c r="G215" s="222"/>
      <c r="H215" s="222"/>
      <c r="I215" s="222"/>
      <c r="J215" s="222"/>
      <c r="K215" s="222"/>
      <c r="L215" s="224"/>
      <c r="M215" s="224"/>
      <c r="N215" s="222"/>
      <c r="O215" s="222"/>
      <c r="P215" s="222"/>
      <c r="Q215" s="222"/>
      <c r="R215" s="222"/>
      <c r="S215" s="222"/>
    </row>
    <row r="216" spans="1:256" ht="21.6" thickBot="1">
      <c r="A216" s="456" t="s">
        <v>44</v>
      </c>
      <c r="B216" s="273"/>
      <c r="C216" s="273"/>
      <c r="D216" s="273"/>
      <c r="E216" s="290"/>
      <c r="F216" s="273"/>
      <c r="G216" s="223"/>
      <c r="H216" s="222"/>
      <c r="I216" s="222"/>
      <c r="J216" s="222"/>
      <c r="K216" s="222"/>
      <c r="L216" s="224"/>
      <c r="M216" s="224"/>
      <c r="N216" s="222"/>
      <c r="O216" s="222"/>
      <c r="P216" s="222"/>
      <c r="Q216" s="222"/>
      <c r="R216" s="222"/>
      <c r="S216" s="222"/>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65"/>
      <c r="BR216" s="273"/>
      <c r="BS216" s="273"/>
      <c r="BT216" s="273"/>
      <c r="BU216" s="273"/>
      <c r="BV216" s="273"/>
      <c r="BW216" s="265"/>
      <c r="BX216" s="273"/>
      <c r="BY216" s="273"/>
      <c r="BZ216" s="273"/>
      <c r="CA216" s="273"/>
      <c r="CB216" s="273"/>
      <c r="CC216" s="265"/>
      <c r="CD216" s="273"/>
      <c r="CE216" s="273"/>
      <c r="CF216" s="273"/>
      <c r="CG216" s="273"/>
      <c r="CH216" s="273"/>
      <c r="CI216" s="265"/>
      <c r="CJ216" s="273"/>
      <c r="CK216" s="273"/>
      <c r="CL216" s="273"/>
      <c r="CM216" s="273"/>
      <c r="CN216" s="273"/>
      <c r="CO216" s="265"/>
      <c r="CP216" s="273"/>
      <c r="CQ216" s="273"/>
      <c r="CR216" s="273"/>
      <c r="CS216" s="273"/>
      <c r="CT216" s="273"/>
      <c r="CU216" s="265"/>
      <c r="CV216" s="273"/>
      <c r="CW216" s="273"/>
      <c r="CX216" s="273"/>
      <c r="CY216" s="273"/>
      <c r="CZ216" s="273"/>
      <c r="DA216" s="265"/>
      <c r="DB216" s="273"/>
      <c r="DC216" s="273"/>
      <c r="DD216" s="273"/>
      <c r="DE216" s="273"/>
      <c r="DF216" s="273"/>
      <c r="DG216" s="265"/>
      <c r="DH216" s="273"/>
      <c r="DI216" s="273"/>
      <c r="DJ216" s="273"/>
      <c r="DK216" s="273"/>
      <c r="DL216" s="273"/>
      <c r="DM216" s="265"/>
      <c r="DN216" s="273"/>
      <c r="DO216" s="273"/>
      <c r="DP216" s="273"/>
      <c r="DQ216" s="273"/>
      <c r="DR216" s="273"/>
      <c r="DS216" s="265"/>
      <c r="DT216" s="273"/>
      <c r="DU216" s="273"/>
      <c r="DV216" s="273"/>
      <c r="DW216" s="273"/>
      <c r="DX216" s="273"/>
      <c r="DY216" s="265"/>
      <c r="DZ216" s="273"/>
      <c r="EA216" s="273"/>
      <c r="EB216" s="273"/>
      <c r="EC216" s="273"/>
      <c r="ED216" s="273"/>
      <c r="EE216" s="265"/>
      <c r="EF216" s="273"/>
      <c r="EG216" s="273"/>
      <c r="EH216" s="273"/>
      <c r="EI216" s="273"/>
      <c r="EJ216" s="273"/>
      <c r="EK216" s="265"/>
      <c r="EL216" s="273"/>
      <c r="EM216" s="273"/>
      <c r="EN216" s="273"/>
      <c r="EO216" s="273"/>
      <c r="EP216" s="273"/>
      <c r="EQ216" s="265"/>
      <c r="ER216" s="273"/>
      <c r="ES216" s="273"/>
      <c r="ET216" s="273"/>
      <c r="EU216" s="273"/>
      <c r="EV216" s="273"/>
      <c r="EW216" s="265"/>
      <c r="EX216" s="273"/>
      <c r="EY216" s="273"/>
      <c r="EZ216" s="273"/>
      <c r="FA216" s="273"/>
      <c r="FB216" s="273"/>
      <c r="FC216" s="265"/>
      <c r="FD216" s="273"/>
      <c r="FE216" s="273"/>
      <c r="FF216" s="273"/>
      <c r="FG216" s="273"/>
      <c r="FH216" s="273"/>
      <c r="FI216" s="265"/>
      <c r="FJ216" s="273"/>
      <c r="FK216" s="273"/>
      <c r="FL216" s="273"/>
      <c r="FM216" s="273"/>
      <c r="FN216" s="273"/>
      <c r="FO216" s="265"/>
      <c r="FP216" s="273"/>
      <c r="FQ216" s="273"/>
      <c r="FR216" s="273"/>
      <c r="FS216" s="273"/>
      <c r="FT216" s="273"/>
      <c r="FU216" s="265"/>
      <c r="FV216" s="273"/>
      <c r="FW216" s="273"/>
      <c r="FX216" s="273"/>
      <c r="FY216" s="273"/>
      <c r="FZ216" s="273"/>
      <c r="GA216" s="265"/>
      <c r="GB216" s="273"/>
      <c r="GC216" s="273"/>
      <c r="GD216" s="273"/>
      <c r="GE216" s="273"/>
      <c r="GF216" s="273"/>
      <c r="GG216" s="265"/>
      <c r="GH216" s="273"/>
      <c r="GI216" s="273"/>
      <c r="GJ216" s="273"/>
      <c r="GK216" s="273"/>
      <c r="GL216" s="273"/>
      <c r="GM216" s="265"/>
      <c r="GN216" s="273"/>
      <c r="GO216" s="273"/>
      <c r="GP216" s="273"/>
      <c r="GQ216" s="273"/>
      <c r="GR216" s="273"/>
      <c r="GS216" s="265"/>
      <c r="GT216" s="273"/>
      <c r="GU216" s="273"/>
      <c r="GV216" s="273"/>
      <c r="GW216" s="273"/>
      <c r="GX216" s="273"/>
      <c r="GY216" s="265"/>
      <c r="GZ216" s="273"/>
      <c r="HA216" s="273"/>
      <c r="HB216" s="273"/>
      <c r="HC216" s="273"/>
      <c r="HD216" s="273"/>
      <c r="HE216" s="265"/>
      <c r="HF216" s="273"/>
      <c r="HG216" s="273"/>
      <c r="HH216" s="273"/>
      <c r="HI216" s="273"/>
      <c r="HJ216" s="273"/>
      <c r="HK216" s="265"/>
      <c r="HL216" s="273"/>
      <c r="HM216" s="273"/>
      <c r="HN216" s="273"/>
      <c r="HO216" s="273"/>
      <c r="HP216" s="273"/>
      <c r="HQ216" s="265"/>
      <c r="HR216" s="273"/>
      <c r="HS216" s="273"/>
      <c r="HT216" s="273"/>
      <c r="HU216" s="273"/>
      <c r="HV216" s="273"/>
      <c r="HW216" s="265"/>
      <c r="HX216" s="273"/>
      <c r="HY216" s="273"/>
      <c r="HZ216" s="273"/>
      <c r="IA216" s="273"/>
      <c r="IB216" s="273"/>
      <c r="IC216" s="265"/>
      <c r="ID216" s="273"/>
      <c r="IE216" s="273"/>
      <c r="IF216" s="273"/>
      <c r="IG216" s="273"/>
      <c r="IH216" s="273"/>
      <c r="II216" s="265"/>
      <c r="IJ216" s="273"/>
      <c r="IK216" s="273"/>
      <c r="IL216" s="273"/>
      <c r="IM216" s="273"/>
      <c r="IN216" s="273"/>
      <c r="IO216" s="265"/>
      <c r="IP216" s="273"/>
      <c r="IQ216" s="273"/>
      <c r="IR216" s="273"/>
      <c r="IS216" s="273"/>
      <c r="IT216" s="273"/>
      <c r="IU216" s="265"/>
      <c r="IV216" s="273"/>
    </row>
    <row r="217" spans="1:256" ht="17.399999999999999">
      <c r="A217" s="2021" t="s">
        <v>929</v>
      </c>
      <c r="B217" s="2022"/>
      <c r="C217" s="2022"/>
      <c r="D217" s="2022"/>
      <c r="E217" s="2022"/>
      <c r="F217" s="2023"/>
      <c r="G217" s="804" t="s">
        <v>603</v>
      </c>
      <c r="H217" s="318"/>
      <c r="I217" s="318"/>
      <c r="J217" s="318"/>
      <c r="K217" s="2034" t="s">
        <v>906</v>
      </c>
      <c r="L217" s="2045"/>
      <c r="M217" s="2045"/>
      <c r="N217" s="2045"/>
      <c r="O217" s="2045"/>
      <c r="P217" s="2045"/>
      <c r="Q217" s="2045"/>
      <c r="R217" s="2045"/>
      <c r="S217" s="2046"/>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73"/>
      <c r="BQ217" s="265"/>
      <c r="BR217" s="273"/>
      <c r="BS217" s="273"/>
      <c r="BT217" s="273"/>
      <c r="BU217" s="273"/>
      <c r="BV217" s="273"/>
      <c r="BW217" s="265"/>
      <c r="BX217" s="273"/>
      <c r="BY217" s="273"/>
      <c r="BZ217" s="273"/>
      <c r="CA217" s="273"/>
      <c r="CB217" s="273"/>
      <c r="CC217" s="265"/>
      <c r="CD217" s="273"/>
      <c r="CE217" s="273"/>
      <c r="CF217" s="273"/>
      <c r="CG217" s="273"/>
      <c r="CH217" s="273"/>
      <c r="CI217" s="265"/>
      <c r="CJ217" s="273"/>
      <c r="CK217" s="273"/>
      <c r="CL217" s="273"/>
      <c r="CM217" s="273"/>
      <c r="CN217" s="273"/>
      <c r="CO217" s="265"/>
      <c r="CP217" s="273"/>
      <c r="CQ217" s="273"/>
      <c r="CR217" s="273"/>
      <c r="CS217" s="273"/>
      <c r="CT217" s="273"/>
      <c r="CU217" s="265"/>
      <c r="CV217" s="273"/>
      <c r="CW217" s="273"/>
      <c r="CX217" s="273"/>
      <c r="CY217" s="273"/>
      <c r="CZ217" s="273"/>
      <c r="DA217" s="265"/>
      <c r="DB217" s="273"/>
      <c r="DC217" s="273"/>
      <c r="DD217" s="273"/>
      <c r="DE217" s="273"/>
      <c r="DF217" s="273"/>
      <c r="DG217" s="265"/>
      <c r="DH217" s="273"/>
      <c r="DI217" s="273"/>
      <c r="DJ217" s="273"/>
      <c r="DK217" s="273"/>
      <c r="DL217" s="273"/>
      <c r="DM217" s="265"/>
      <c r="DN217" s="273"/>
      <c r="DO217" s="273"/>
      <c r="DP217" s="273"/>
      <c r="DQ217" s="273"/>
      <c r="DR217" s="273"/>
      <c r="DS217" s="265"/>
      <c r="DT217" s="273"/>
      <c r="DU217" s="273"/>
      <c r="DV217" s="273"/>
      <c r="DW217" s="273"/>
      <c r="DX217" s="273"/>
      <c r="DY217" s="265"/>
      <c r="DZ217" s="273"/>
      <c r="EA217" s="273"/>
      <c r="EB217" s="273"/>
      <c r="EC217" s="273"/>
      <c r="ED217" s="273"/>
      <c r="EE217" s="265"/>
      <c r="EF217" s="273"/>
      <c r="EG217" s="273"/>
      <c r="EH217" s="273"/>
      <c r="EI217" s="273"/>
      <c r="EJ217" s="273"/>
      <c r="EK217" s="265"/>
      <c r="EL217" s="273"/>
      <c r="EM217" s="273"/>
      <c r="EN217" s="273"/>
      <c r="EO217" s="273"/>
      <c r="EP217" s="273"/>
      <c r="EQ217" s="265"/>
      <c r="ER217" s="273"/>
      <c r="ES217" s="273"/>
      <c r="ET217" s="273"/>
      <c r="EU217" s="273"/>
      <c r="EV217" s="273"/>
      <c r="EW217" s="265"/>
      <c r="EX217" s="273"/>
      <c r="EY217" s="273"/>
      <c r="EZ217" s="273"/>
      <c r="FA217" s="273"/>
      <c r="FB217" s="273"/>
      <c r="FC217" s="265"/>
      <c r="FD217" s="273"/>
      <c r="FE217" s="273"/>
      <c r="FF217" s="273"/>
      <c r="FG217" s="273"/>
      <c r="FH217" s="273"/>
      <c r="FI217" s="265"/>
      <c r="FJ217" s="273"/>
      <c r="FK217" s="273"/>
      <c r="FL217" s="273"/>
      <c r="FM217" s="273"/>
      <c r="FN217" s="273"/>
      <c r="FO217" s="265"/>
      <c r="FP217" s="273"/>
      <c r="FQ217" s="273"/>
      <c r="FR217" s="273"/>
      <c r="FS217" s="273"/>
      <c r="FT217" s="273"/>
      <c r="FU217" s="265"/>
      <c r="FV217" s="273"/>
      <c r="FW217" s="273"/>
      <c r="FX217" s="273"/>
      <c r="FY217" s="273"/>
      <c r="FZ217" s="273"/>
      <c r="GA217" s="265"/>
      <c r="GB217" s="273"/>
      <c r="GC217" s="273"/>
      <c r="GD217" s="273"/>
      <c r="GE217" s="273"/>
      <c r="GF217" s="273"/>
      <c r="GG217" s="265"/>
      <c r="GH217" s="273"/>
      <c r="GI217" s="273"/>
      <c r="GJ217" s="273"/>
      <c r="GK217" s="273"/>
      <c r="GL217" s="273"/>
      <c r="GM217" s="265"/>
      <c r="GN217" s="273"/>
      <c r="GO217" s="273"/>
      <c r="GP217" s="273"/>
      <c r="GQ217" s="273"/>
      <c r="GR217" s="273"/>
      <c r="GS217" s="265"/>
      <c r="GT217" s="273"/>
      <c r="GU217" s="273"/>
      <c r="GV217" s="273"/>
      <c r="GW217" s="273"/>
      <c r="GX217" s="273"/>
      <c r="GY217" s="265"/>
      <c r="GZ217" s="273"/>
      <c r="HA217" s="273"/>
      <c r="HB217" s="273"/>
      <c r="HC217" s="273"/>
      <c r="HD217" s="273"/>
      <c r="HE217" s="265"/>
      <c r="HF217" s="273"/>
      <c r="HG217" s="273"/>
      <c r="HH217" s="273"/>
      <c r="HI217" s="273"/>
      <c r="HJ217" s="273"/>
      <c r="HK217" s="265"/>
      <c r="HL217" s="273"/>
      <c r="HM217" s="273"/>
      <c r="HN217" s="273"/>
      <c r="HO217" s="273"/>
      <c r="HP217" s="273"/>
      <c r="HQ217" s="265"/>
      <c r="HR217" s="273"/>
      <c r="HS217" s="273"/>
      <c r="HT217" s="273"/>
      <c r="HU217" s="273"/>
      <c r="HV217" s="273"/>
      <c r="HW217" s="265"/>
      <c r="HX217" s="273"/>
      <c r="HY217" s="273"/>
      <c r="HZ217" s="273"/>
      <c r="IA217" s="273"/>
      <c r="IB217" s="273"/>
      <c r="IC217" s="265"/>
      <c r="ID217" s="273"/>
      <c r="IE217" s="273"/>
      <c r="IF217" s="273"/>
      <c r="IG217" s="273"/>
      <c r="IH217" s="273"/>
      <c r="II217" s="265"/>
      <c r="IJ217" s="273"/>
      <c r="IK217" s="273"/>
      <c r="IL217" s="273"/>
      <c r="IM217" s="273"/>
      <c r="IN217" s="273"/>
      <c r="IO217" s="265"/>
      <c r="IP217" s="273"/>
      <c r="IQ217" s="273"/>
      <c r="IR217" s="273"/>
      <c r="IS217" s="273"/>
      <c r="IT217" s="273"/>
      <c r="IU217" s="265"/>
      <c r="IV217" s="273"/>
    </row>
    <row r="218" spans="1:256" ht="15.6">
      <c r="A218" s="282"/>
      <c r="B218" s="273"/>
      <c r="C218" s="265"/>
      <c r="D218" s="273"/>
      <c r="E218" s="273"/>
      <c r="F218" s="308"/>
      <c r="G218" s="282"/>
      <c r="H218" s="273"/>
      <c r="I218" s="273"/>
      <c r="J218" s="265"/>
      <c r="K218" s="273"/>
      <c r="L218" s="273"/>
      <c r="M218" s="273"/>
      <c r="N218" s="222"/>
      <c r="O218" s="222"/>
      <c r="P218" s="273"/>
      <c r="Q218" s="265"/>
      <c r="R218" s="273"/>
      <c r="S218" s="310"/>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65"/>
      <c r="BR218" s="273"/>
      <c r="BS218" s="273"/>
      <c r="BT218" s="273"/>
      <c r="BU218" s="273"/>
      <c r="BV218" s="273"/>
      <c r="BW218" s="265"/>
      <c r="BX218" s="273"/>
      <c r="BY218" s="273"/>
      <c r="BZ218" s="273"/>
      <c r="CA218" s="273"/>
      <c r="CB218" s="273"/>
      <c r="CC218" s="265"/>
      <c r="CD218" s="273"/>
      <c r="CE218" s="273"/>
      <c r="CF218" s="273"/>
      <c r="CG218" s="273"/>
      <c r="CH218" s="273"/>
      <c r="CI218" s="265"/>
      <c r="CJ218" s="273"/>
      <c r="CK218" s="273"/>
      <c r="CL218" s="273"/>
      <c r="CM218" s="273"/>
      <c r="CN218" s="273"/>
      <c r="CO218" s="265"/>
      <c r="CP218" s="273"/>
      <c r="CQ218" s="273"/>
      <c r="CR218" s="273"/>
      <c r="CS218" s="273"/>
      <c r="CT218" s="273"/>
      <c r="CU218" s="265"/>
      <c r="CV218" s="273"/>
      <c r="CW218" s="273"/>
      <c r="CX218" s="273"/>
      <c r="CY218" s="273"/>
      <c r="CZ218" s="273"/>
      <c r="DA218" s="265"/>
      <c r="DB218" s="273"/>
      <c r="DC218" s="273"/>
      <c r="DD218" s="273"/>
      <c r="DE218" s="273"/>
      <c r="DF218" s="273"/>
      <c r="DG218" s="265"/>
      <c r="DH218" s="273"/>
      <c r="DI218" s="273"/>
      <c r="DJ218" s="273"/>
      <c r="DK218" s="273"/>
      <c r="DL218" s="273"/>
      <c r="DM218" s="265"/>
      <c r="DN218" s="273"/>
      <c r="DO218" s="273"/>
      <c r="DP218" s="273"/>
      <c r="DQ218" s="273"/>
      <c r="DR218" s="273"/>
      <c r="DS218" s="265"/>
      <c r="DT218" s="273"/>
      <c r="DU218" s="273"/>
      <c r="DV218" s="273"/>
      <c r="DW218" s="273"/>
      <c r="DX218" s="273"/>
      <c r="DY218" s="265"/>
      <c r="DZ218" s="273"/>
      <c r="EA218" s="273"/>
      <c r="EB218" s="273"/>
      <c r="EC218" s="273"/>
      <c r="ED218" s="273"/>
      <c r="EE218" s="265"/>
      <c r="EF218" s="273"/>
      <c r="EG218" s="273"/>
      <c r="EH218" s="273"/>
      <c r="EI218" s="273"/>
      <c r="EJ218" s="273"/>
      <c r="EK218" s="265"/>
      <c r="EL218" s="273"/>
      <c r="EM218" s="273"/>
      <c r="EN218" s="273"/>
      <c r="EO218" s="273"/>
      <c r="EP218" s="273"/>
      <c r="EQ218" s="265"/>
      <c r="ER218" s="273"/>
      <c r="ES218" s="273"/>
      <c r="ET218" s="273"/>
      <c r="EU218" s="273"/>
      <c r="EV218" s="273"/>
      <c r="EW218" s="265"/>
      <c r="EX218" s="273"/>
      <c r="EY218" s="273"/>
      <c r="EZ218" s="273"/>
      <c r="FA218" s="273"/>
      <c r="FB218" s="273"/>
      <c r="FC218" s="265"/>
      <c r="FD218" s="273"/>
      <c r="FE218" s="273"/>
      <c r="FF218" s="273"/>
      <c r="FG218" s="273"/>
      <c r="FH218" s="273"/>
      <c r="FI218" s="265"/>
      <c r="FJ218" s="273"/>
      <c r="FK218" s="273"/>
      <c r="FL218" s="273"/>
      <c r="FM218" s="273"/>
      <c r="FN218" s="273"/>
      <c r="FO218" s="265"/>
      <c r="FP218" s="273"/>
      <c r="FQ218" s="273"/>
      <c r="FR218" s="273"/>
      <c r="FS218" s="273"/>
      <c r="FT218" s="273"/>
      <c r="FU218" s="265"/>
      <c r="FV218" s="273"/>
      <c r="FW218" s="273"/>
      <c r="FX218" s="273"/>
      <c r="FY218" s="273"/>
      <c r="FZ218" s="273"/>
      <c r="GA218" s="265"/>
      <c r="GB218" s="273"/>
      <c r="GC218" s="273"/>
      <c r="GD218" s="273"/>
      <c r="GE218" s="273"/>
      <c r="GF218" s="273"/>
      <c r="GG218" s="265"/>
      <c r="GH218" s="273"/>
      <c r="GI218" s="273"/>
      <c r="GJ218" s="273"/>
      <c r="GK218" s="273"/>
      <c r="GL218" s="273"/>
      <c r="GM218" s="265"/>
      <c r="GN218" s="273"/>
      <c r="GO218" s="273"/>
      <c r="GP218" s="273"/>
      <c r="GQ218" s="273"/>
      <c r="GR218" s="273"/>
      <c r="GS218" s="265"/>
      <c r="GT218" s="273"/>
      <c r="GU218" s="273"/>
      <c r="GV218" s="273"/>
      <c r="GW218" s="273"/>
      <c r="GX218" s="273"/>
      <c r="GY218" s="265"/>
      <c r="GZ218" s="273"/>
      <c r="HA218" s="273"/>
      <c r="HB218" s="273"/>
      <c r="HC218" s="273"/>
      <c r="HD218" s="273"/>
      <c r="HE218" s="265"/>
      <c r="HF218" s="273"/>
      <c r="HG218" s="273"/>
      <c r="HH218" s="273"/>
      <c r="HI218" s="273"/>
      <c r="HJ218" s="273"/>
      <c r="HK218" s="265"/>
      <c r="HL218" s="273"/>
      <c r="HM218" s="273"/>
      <c r="HN218" s="273"/>
      <c r="HO218" s="273"/>
      <c r="HP218" s="273"/>
      <c r="HQ218" s="265"/>
      <c r="HR218" s="273"/>
      <c r="HS218" s="273"/>
      <c r="HT218" s="273"/>
      <c r="HU218" s="273"/>
      <c r="HV218" s="273"/>
      <c r="HW218" s="265"/>
      <c r="HX218" s="273"/>
      <c r="HY218" s="273"/>
      <c r="HZ218" s="273"/>
      <c r="IA218" s="273"/>
      <c r="IB218" s="273"/>
      <c r="IC218" s="265"/>
      <c r="ID218" s="273"/>
      <c r="IE218" s="273"/>
      <c r="IF218" s="273"/>
      <c r="IG218" s="273"/>
      <c r="IH218" s="273"/>
      <c r="II218" s="265"/>
      <c r="IJ218" s="273"/>
      <c r="IK218" s="273"/>
      <c r="IL218" s="273"/>
      <c r="IM218" s="273"/>
      <c r="IN218" s="273"/>
      <c r="IO218" s="265"/>
      <c r="IP218" s="273"/>
      <c r="IQ218" s="273"/>
      <c r="IR218" s="273"/>
      <c r="IS218" s="273"/>
      <c r="IT218" s="273"/>
      <c r="IU218" s="265"/>
      <c r="IV218" s="273"/>
    </row>
    <row r="219" spans="1:256" ht="15.6">
      <c r="A219" s="282">
        <f>+'Appendix A'!A127</f>
        <v>70</v>
      </c>
      <c r="B219" s="273"/>
      <c r="C219" s="152" t="s">
        <v>737</v>
      </c>
      <c r="D219" s="273"/>
      <c r="E219" s="273"/>
      <c r="F219" s="308"/>
      <c r="G219" s="1317">
        <v>0</v>
      </c>
      <c r="H219" s="258"/>
      <c r="I219" s="474"/>
      <c r="J219" s="265"/>
      <c r="K219" s="2024" t="s">
        <v>45</v>
      </c>
      <c r="L219" s="2024"/>
      <c r="M219" s="2024"/>
      <c r="N219" s="2024"/>
      <c r="O219" s="2024"/>
      <c r="P219" s="2024"/>
      <c r="Q219" s="2024"/>
      <c r="R219" s="273"/>
      <c r="S219" s="310"/>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65"/>
      <c r="BR219" s="273"/>
      <c r="BS219" s="273"/>
      <c r="BT219" s="273"/>
      <c r="BU219" s="273"/>
      <c r="BV219" s="273"/>
      <c r="BW219" s="265"/>
      <c r="BX219" s="273"/>
      <c r="BY219" s="273"/>
      <c r="BZ219" s="273"/>
      <c r="CA219" s="273"/>
      <c r="CB219" s="273"/>
      <c r="CC219" s="265"/>
      <c r="CD219" s="273"/>
      <c r="CE219" s="273"/>
      <c r="CF219" s="273"/>
      <c r="CG219" s="273"/>
      <c r="CH219" s="273"/>
      <c r="CI219" s="265"/>
      <c r="CJ219" s="273"/>
      <c r="CK219" s="273"/>
      <c r="CL219" s="273"/>
      <c r="CM219" s="273"/>
      <c r="CN219" s="273"/>
      <c r="CO219" s="265"/>
      <c r="CP219" s="273"/>
      <c r="CQ219" s="273"/>
      <c r="CR219" s="273"/>
      <c r="CS219" s="273"/>
      <c r="CT219" s="273"/>
      <c r="CU219" s="265"/>
      <c r="CV219" s="273"/>
      <c r="CW219" s="273"/>
      <c r="CX219" s="273"/>
      <c r="CY219" s="273"/>
      <c r="CZ219" s="273"/>
      <c r="DA219" s="265"/>
      <c r="DB219" s="273"/>
      <c r="DC219" s="273"/>
      <c r="DD219" s="273"/>
      <c r="DE219" s="273"/>
      <c r="DF219" s="273"/>
      <c r="DG219" s="265"/>
      <c r="DH219" s="273"/>
      <c r="DI219" s="273"/>
      <c r="DJ219" s="273"/>
      <c r="DK219" s="273"/>
      <c r="DL219" s="273"/>
      <c r="DM219" s="265"/>
      <c r="DN219" s="273"/>
      <c r="DO219" s="273"/>
      <c r="DP219" s="273"/>
      <c r="DQ219" s="273"/>
      <c r="DR219" s="273"/>
      <c r="DS219" s="265"/>
      <c r="DT219" s="273"/>
      <c r="DU219" s="273"/>
      <c r="DV219" s="273"/>
      <c r="DW219" s="273"/>
      <c r="DX219" s="273"/>
      <c r="DY219" s="265"/>
      <c r="DZ219" s="273"/>
      <c r="EA219" s="273"/>
      <c r="EB219" s="273"/>
      <c r="EC219" s="273"/>
      <c r="ED219" s="273"/>
      <c r="EE219" s="265"/>
      <c r="EF219" s="273"/>
      <c r="EG219" s="273"/>
      <c r="EH219" s="273"/>
      <c r="EI219" s="273"/>
      <c r="EJ219" s="273"/>
      <c r="EK219" s="265"/>
      <c r="EL219" s="273"/>
      <c r="EM219" s="273"/>
      <c r="EN219" s="273"/>
      <c r="EO219" s="273"/>
      <c r="EP219" s="273"/>
      <c r="EQ219" s="265"/>
      <c r="ER219" s="273"/>
      <c r="ES219" s="273"/>
      <c r="ET219" s="273"/>
      <c r="EU219" s="273"/>
      <c r="EV219" s="273"/>
      <c r="EW219" s="265"/>
      <c r="EX219" s="273"/>
      <c r="EY219" s="273"/>
      <c r="EZ219" s="273"/>
      <c r="FA219" s="273"/>
      <c r="FB219" s="273"/>
      <c r="FC219" s="265"/>
      <c r="FD219" s="273"/>
      <c r="FE219" s="273"/>
      <c r="FF219" s="273"/>
      <c r="FG219" s="273"/>
      <c r="FH219" s="273"/>
      <c r="FI219" s="265"/>
      <c r="FJ219" s="273"/>
      <c r="FK219" s="273"/>
      <c r="FL219" s="273"/>
      <c r="FM219" s="273"/>
      <c r="FN219" s="273"/>
      <c r="FO219" s="265"/>
      <c r="FP219" s="273"/>
      <c r="FQ219" s="273"/>
      <c r="FR219" s="273"/>
      <c r="FS219" s="273"/>
      <c r="FT219" s="273"/>
      <c r="FU219" s="265"/>
      <c r="FV219" s="273"/>
      <c r="FW219" s="273"/>
      <c r="FX219" s="273"/>
      <c r="FY219" s="273"/>
      <c r="FZ219" s="273"/>
      <c r="GA219" s="265"/>
      <c r="GB219" s="273"/>
      <c r="GC219" s="273"/>
      <c r="GD219" s="273"/>
      <c r="GE219" s="273"/>
      <c r="GF219" s="273"/>
      <c r="GG219" s="265"/>
      <c r="GH219" s="273"/>
      <c r="GI219" s="273"/>
      <c r="GJ219" s="273"/>
      <c r="GK219" s="273"/>
      <c r="GL219" s="273"/>
      <c r="GM219" s="265"/>
      <c r="GN219" s="273"/>
      <c r="GO219" s="273"/>
      <c r="GP219" s="273"/>
      <c r="GQ219" s="273"/>
      <c r="GR219" s="273"/>
      <c r="GS219" s="265"/>
      <c r="GT219" s="273"/>
      <c r="GU219" s="273"/>
      <c r="GV219" s="273"/>
      <c r="GW219" s="273"/>
      <c r="GX219" s="273"/>
      <c r="GY219" s="265"/>
      <c r="GZ219" s="273"/>
      <c r="HA219" s="273"/>
      <c r="HB219" s="273"/>
      <c r="HC219" s="273"/>
      <c r="HD219" s="273"/>
      <c r="HE219" s="265"/>
      <c r="HF219" s="273"/>
      <c r="HG219" s="273"/>
      <c r="HH219" s="273"/>
      <c r="HI219" s="273"/>
      <c r="HJ219" s="273"/>
      <c r="HK219" s="265"/>
      <c r="HL219" s="273"/>
      <c r="HM219" s="273"/>
      <c r="HN219" s="273"/>
      <c r="HO219" s="273"/>
      <c r="HP219" s="273"/>
      <c r="HQ219" s="265"/>
      <c r="HR219" s="273"/>
      <c r="HS219" s="273"/>
      <c r="HT219" s="273"/>
      <c r="HU219" s="273"/>
      <c r="HV219" s="273"/>
      <c r="HW219" s="265"/>
      <c r="HX219" s="273"/>
      <c r="HY219" s="273"/>
      <c r="HZ219" s="273"/>
      <c r="IA219" s="273"/>
      <c r="IB219" s="273"/>
      <c r="IC219" s="265"/>
      <c r="ID219" s="273"/>
      <c r="IE219" s="273"/>
      <c r="IF219" s="273"/>
      <c r="IG219" s="273"/>
      <c r="IH219" s="273"/>
      <c r="II219" s="265"/>
      <c r="IJ219" s="273"/>
      <c r="IK219" s="273"/>
      <c r="IL219" s="273"/>
      <c r="IM219" s="273"/>
      <c r="IN219" s="273"/>
      <c r="IO219" s="265"/>
      <c r="IP219" s="273"/>
      <c r="IQ219" s="273"/>
      <c r="IR219" s="273"/>
      <c r="IS219" s="273"/>
      <c r="IT219" s="273"/>
      <c r="IU219" s="265"/>
      <c r="IV219" s="273"/>
    </row>
    <row r="220" spans="1:256" ht="15.6">
      <c r="A220" s="282">
        <f>+'Appendix A'!A128</f>
        <v>71</v>
      </c>
      <c r="B220" s="273"/>
      <c r="C220" s="47" t="s">
        <v>792</v>
      </c>
      <c r="D220" s="273"/>
      <c r="E220" s="273"/>
      <c r="F220" s="308"/>
      <c r="G220" s="1259">
        <f>O230</f>
        <v>0</v>
      </c>
      <c r="H220" s="1154"/>
      <c r="I220" s="474"/>
      <c r="J220" s="265"/>
      <c r="K220" s="273"/>
      <c r="L220" s="273"/>
      <c r="M220" s="273"/>
      <c r="N220" s="222"/>
      <c r="O220" s="222"/>
      <c r="P220" s="273"/>
      <c r="Q220" s="265"/>
      <c r="R220" s="273"/>
      <c r="S220" s="310"/>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65"/>
      <c r="BR220" s="273"/>
      <c r="BS220" s="273"/>
      <c r="BT220" s="273"/>
      <c r="BU220" s="273"/>
      <c r="BV220" s="273"/>
      <c r="BW220" s="265"/>
      <c r="BX220" s="273"/>
      <c r="BY220" s="273"/>
      <c r="BZ220" s="273"/>
      <c r="CA220" s="273"/>
      <c r="CB220" s="273"/>
      <c r="CC220" s="265"/>
      <c r="CD220" s="273"/>
      <c r="CE220" s="273"/>
      <c r="CF220" s="273"/>
      <c r="CG220" s="273"/>
      <c r="CH220" s="273"/>
      <c r="CI220" s="265"/>
      <c r="CJ220" s="273"/>
      <c r="CK220" s="273"/>
      <c r="CL220" s="273"/>
      <c r="CM220" s="273"/>
      <c r="CN220" s="273"/>
      <c r="CO220" s="265"/>
      <c r="CP220" s="273"/>
      <c r="CQ220" s="273"/>
      <c r="CR220" s="273"/>
      <c r="CS220" s="273"/>
      <c r="CT220" s="273"/>
      <c r="CU220" s="265"/>
      <c r="CV220" s="273"/>
      <c r="CW220" s="273"/>
      <c r="CX220" s="273"/>
      <c r="CY220" s="273"/>
      <c r="CZ220" s="273"/>
      <c r="DA220" s="265"/>
      <c r="DB220" s="273"/>
      <c r="DC220" s="273"/>
      <c r="DD220" s="273"/>
      <c r="DE220" s="273"/>
      <c r="DF220" s="273"/>
      <c r="DG220" s="265"/>
      <c r="DH220" s="273"/>
      <c r="DI220" s="273"/>
      <c r="DJ220" s="273"/>
      <c r="DK220" s="273"/>
      <c r="DL220" s="273"/>
      <c r="DM220" s="265"/>
      <c r="DN220" s="273"/>
      <c r="DO220" s="273"/>
      <c r="DP220" s="273"/>
      <c r="DQ220" s="273"/>
      <c r="DR220" s="273"/>
      <c r="DS220" s="265"/>
      <c r="DT220" s="273"/>
      <c r="DU220" s="273"/>
      <c r="DV220" s="273"/>
      <c r="DW220" s="273"/>
      <c r="DX220" s="273"/>
      <c r="DY220" s="265"/>
      <c r="DZ220" s="273"/>
      <c r="EA220" s="273"/>
      <c r="EB220" s="273"/>
      <c r="EC220" s="273"/>
      <c r="ED220" s="273"/>
      <c r="EE220" s="265"/>
      <c r="EF220" s="273"/>
      <c r="EG220" s="273"/>
      <c r="EH220" s="273"/>
      <c r="EI220" s="273"/>
      <c r="EJ220" s="273"/>
      <c r="EK220" s="265"/>
      <c r="EL220" s="273"/>
      <c r="EM220" s="273"/>
      <c r="EN220" s="273"/>
      <c r="EO220" s="273"/>
      <c r="EP220" s="273"/>
      <c r="EQ220" s="265"/>
      <c r="ER220" s="273"/>
      <c r="ES220" s="273"/>
      <c r="ET220" s="273"/>
      <c r="EU220" s="273"/>
      <c r="EV220" s="273"/>
      <c r="EW220" s="265"/>
      <c r="EX220" s="273"/>
      <c r="EY220" s="273"/>
      <c r="EZ220" s="273"/>
      <c r="FA220" s="273"/>
      <c r="FB220" s="273"/>
      <c r="FC220" s="265"/>
      <c r="FD220" s="273"/>
      <c r="FE220" s="273"/>
      <c r="FF220" s="273"/>
      <c r="FG220" s="273"/>
      <c r="FH220" s="273"/>
      <c r="FI220" s="265"/>
      <c r="FJ220" s="273"/>
      <c r="FK220" s="273"/>
      <c r="FL220" s="273"/>
      <c r="FM220" s="273"/>
      <c r="FN220" s="273"/>
      <c r="FO220" s="265"/>
      <c r="FP220" s="273"/>
      <c r="FQ220" s="273"/>
      <c r="FR220" s="273"/>
      <c r="FS220" s="273"/>
      <c r="FT220" s="273"/>
      <c r="FU220" s="265"/>
      <c r="FV220" s="273"/>
      <c r="FW220" s="273"/>
      <c r="FX220" s="273"/>
      <c r="FY220" s="273"/>
      <c r="FZ220" s="273"/>
      <c r="GA220" s="265"/>
      <c r="GB220" s="273"/>
      <c r="GC220" s="273"/>
      <c r="GD220" s="273"/>
      <c r="GE220" s="273"/>
      <c r="GF220" s="273"/>
      <c r="GG220" s="265"/>
      <c r="GH220" s="273"/>
      <c r="GI220" s="273"/>
      <c r="GJ220" s="273"/>
      <c r="GK220" s="273"/>
      <c r="GL220" s="273"/>
      <c r="GM220" s="265"/>
      <c r="GN220" s="273"/>
      <c r="GO220" s="273"/>
      <c r="GP220" s="273"/>
      <c r="GQ220" s="273"/>
      <c r="GR220" s="273"/>
      <c r="GS220" s="265"/>
      <c r="GT220" s="273"/>
      <c r="GU220" s="273"/>
      <c r="GV220" s="273"/>
      <c r="GW220" s="273"/>
      <c r="GX220" s="273"/>
      <c r="GY220" s="265"/>
      <c r="GZ220" s="273"/>
      <c r="HA220" s="273"/>
      <c r="HB220" s="273"/>
      <c r="HC220" s="273"/>
      <c r="HD220" s="273"/>
      <c r="HE220" s="265"/>
      <c r="HF220" s="273"/>
      <c r="HG220" s="273"/>
      <c r="HH220" s="273"/>
      <c r="HI220" s="273"/>
      <c r="HJ220" s="273"/>
      <c r="HK220" s="265"/>
      <c r="HL220" s="273"/>
      <c r="HM220" s="273"/>
      <c r="HN220" s="273"/>
      <c r="HO220" s="273"/>
      <c r="HP220" s="273"/>
      <c r="HQ220" s="265"/>
      <c r="HR220" s="273"/>
      <c r="HS220" s="273"/>
      <c r="HT220" s="273"/>
      <c r="HU220" s="273"/>
      <c r="HV220" s="273"/>
      <c r="HW220" s="265"/>
      <c r="HX220" s="273"/>
      <c r="HY220" s="273"/>
      <c r="HZ220" s="273"/>
      <c r="IA220" s="273"/>
      <c r="IB220" s="273"/>
      <c r="IC220" s="265"/>
      <c r="ID220" s="273"/>
      <c r="IE220" s="273"/>
      <c r="IF220" s="273"/>
      <c r="IG220" s="273"/>
      <c r="IH220" s="273"/>
      <c r="II220" s="265"/>
      <c r="IJ220" s="273"/>
      <c r="IK220" s="273"/>
      <c r="IL220" s="273"/>
      <c r="IM220" s="273"/>
      <c r="IN220" s="273"/>
      <c r="IO220" s="265"/>
      <c r="IP220" s="273"/>
      <c r="IQ220" s="273"/>
      <c r="IR220" s="273"/>
      <c r="IS220" s="273"/>
      <c r="IT220" s="273"/>
      <c r="IU220" s="265"/>
      <c r="IV220" s="273"/>
    </row>
    <row r="221" spans="1:256" ht="15.6">
      <c r="A221" s="282">
        <f>+'Appendix A'!A129</f>
        <v>72</v>
      </c>
      <c r="B221" s="273"/>
      <c r="C221" s="414" t="s">
        <v>46</v>
      </c>
      <c r="D221" s="265"/>
      <c r="E221" s="290"/>
      <c r="F221" s="308"/>
      <c r="G221" s="1754">
        <v>1351737</v>
      </c>
      <c r="H221" s="1154"/>
      <c r="I221" s="474"/>
      <c r="J221" s="313"/>
      <c r="K221" s="258" t="s">
        <v>47</v>
      </c>
      <c r="L221" s="273"/>
      <c r="M221" s="273"/>
      <c r="N221" s="222"/>
      <c r="O221" s="251" t="s">
        <v>603</v>
      </c>
      <c r="P221" s="273"/>
      <c r="Q221" s="313"/>
      <c r="R221" s="313"/>
      <c r="S221" s="430"/>
      <c r="T221" s="313"/>
      <c r="U221" s="313"/>
      <c r="V221" s="313"/>
      <c r="W221" s="313"/>
      <c r="X221" s="313"/>
      <c r="Y221" s="313"/>
      <c r="Z221" s="313"/>
      <c r="AA221" s="313"/>
      <c r="AB221" s="313"/>
      <c r="AC221" s="313"/>
      <c r="AD221" s="313"/>
      <c r="AE221" s="313"/>
      <c r="AF221" s="313"/>
      <c r="AG221" s="313"/>
      <c r="AH221" s="313"/>
      <c r="AI221" s="313"/>
      <c r="AJ221" s="313"/>
      <c r="AK221" s="313"/>
      <c r="AL221" s="313"/>
      <c r="AM221" s="313"/>
      <c r="AN221" s="313"/>
      <c r="AO221" s="313"/>
      <c r="AP221" s="313"/>
      <c r="AQ221" s="313"/>
      <c r="AR221" s="313"/>
      <c r="AS221" s="313"/>
      <c r="AT221" s="313"/>
      <c r="AU221" s="313"/>
      <c r="AV221" s="313"/>
      <c r="AW221" s="313"/>
      <c r="AX221" s="313"/>
      <c r="AY221" s="313"/>
      <c r="AZ221" s="313"/>
      <c r="BA221" s="313"/>
      <c r="BB221" s="313"/>
      <c r="BC221" s="313"/>
      <c r="BD221" s="313"/>
      <c r="BE221" s="313"/>
      <c r="BF221" s="313"/>
      <c r="BG221" s="313"/>
      <c r="BH221" s="313"/>
      <c r="BI221" s="313"/>
      <c r="BJ221" s="313"/>
      <c r="BK221" s="313"/>
      <c r="BL221" s="313"/>
      <c r="BM221" s="273"/>
      <c r="BN221" s="273"/>
      <c r="BO221" s="273"/>
      <c r="BP221" s="273"/>
      <c r="BQ221" s="265"/>
      <c r="BR221" s="273"/>
      <c r="BS221" s="273"/>
      <c r="BT221" s="273"/>
      <c r="BU221" s="273"/>
      <c r="BV221" s="273"/>
      <c r="BW221" s="265"/>
      <c r="BX221" s="273"/>
      <c r="BY221" s="273"/>
      <c r="BZ221" s="273"/>
      <c r="CA221" s="273"/>
      <c r="CB221" s="273"/>
      <c r="CC221" s="265"/>
      <c r="CD221" s="273"/>
      <c r="CE221" s="273"/>
      <c r="CF221" s="273"/>
      <c r="CG221" s="273"/>
      <c r="CH221" s="273"/>
      <c r="CI221" s="265"/>
      <c r="CJ221" s="273"/>
      <c r="CK221" s="273"/>
      <c r="CL221" s="273"/>
      <c r="CM221" s="273"/>
      <c r="CN221" s="273"/>
      <c r="CO221" s="265"/>
      <c r="CP221" s="273"/>
      <c r="CQ221" s="273"/>
      <c r="CR221" s="273"/>
      <c r="CS221" s="273"/>
      <c r="CT221" s="273"/>
      <c r="CU221" s="265"/>
      <c r="CV221" s="273"/>
      <c r="CW221" s="273"/>
      <c r="CX221" s="273"/>
      <c r="CY221" s="273"/>
      <c r="CZ221" s="273"/>
      <c r="DA221" s="265"/>
      <c r="DB221" s="273"/>
      <c r="DC221" s="273"/>
      <c r="DD221" s="273"/>
      <c r="DE221" s="273"/>
      <c r="DF221" s="273"/>
      <c r="DG221" s="265"/>
      <c r="DH221" s="273"/>
      <c r="DI221" s="273"/>
      <c r="DJ221" s="273"/>
      <c r="DK221" s="273"/>
      <c r="DL221" s="273"/>
      <c r="DM221" s="265"/>
      <c r="DN221" s="273"/>
      <c r="DO221" s="273"/>
      <c r="DP221" s="273"/>
      <c r="DQ221" s="273"/>
      <c r="DR221" s="273"/>
      <c r="DS221" s="265"/>
      <c r="DT221" s="273"/>
      <c r="DU221" s="273"/>
      <c r="DV221" s="273"/>
      <c r="DW221" s="273"/>
      <c r="DX221" s="273"/>
      <c r="DY221" s="265"/>
      <c r="DZ221" s="273"/>
      <c r="EA221" s="273"/>
      <c r="EB221" s="273"/>
      <c r="EC221" s="273"/>
      <c r="ED221" s="273"/>
      <c r="EE221" s="265"/>
      <c r="EF221" s="273"/>
      <c r="EG221" s="273"/>
      <c r="EH221" s="273"/>
      <c r="EI221" s="273"/>
      <c r="EJ221" s="273"/>
      <c r="EK221" s="265"/>
      <c r="EL221" s="273"/>
      <c r="EM221" s="273"/>
      <c r="EN221" s="273"/>
      <c r="EO221" s="273"/>
      <c r="EP221" s="273"/>
      <c r="EQ221" s="265"/>
      <c r="ER221" s="273"/>
      <c r="ES221" s="273"/>
      <c r="ET221" s="273"/>
      <c r="EU221" s="273"/>
      <c r="EV221" s="273"/>
      <c r="EW221" s="265"/>
      <c r="EX221" s="273"/>
      <c r="EY221" s="273"/>
      <c r="EZ221" s="273"/>
      <c r="FA221" s="273"/>
      <c r="FB221" s="273"/>
      <c r="FC221" s="265"/>
      <c r="FD221" s="273"/>
      <c r="FE221" s="273"/>
      <c r="FF221" s="273"/>
      <c r="FG221" s="273"/>
      <c r="FH221" s="273"/>
      <c r="FI221" s="265"/>
      <c r="FJ221" s="273"/>
      <c r="FK221" s="273"/>
      <c r="FL221" s="273"/>
      <c r="FM221" s="273"/>
      <c r="FN221" s="273"/>
      <c r="FO221" s="265"/>
      <c r="FP221" s="273"/>
      <c r="FQ221" s="273"/>
      <c r="FR221" s="273"/>
      <c r="FS221" s="273"/>
      <c r="FT221" s="273"/>
      <c r="FU221" s="265"/>
      <c r="FV221" s="273"/>
      <c r="FW221" s="273"/>
      <c r="FX221" s="273"/>
      <c r="FY221" s="273"/>
      <c r="FZ221" s="273"/>
      <c r="GA221" s="265"/>
      <c r="GB221" s="273"/>
      <c r="GC221" s="273"/>
      <c r="GD221" s="273"/>
      <c r="GE221" s="273"/>
      <c r="GF221" s="273"/>
      <c r="GG221" s="265"/>
      <c r="GH221" s="273"/>
      <c r="GI221" s="273"/>
      <c r="GJ221" s="273"/>
      <c r="GK221" s="273"/>
      <c r="GL221" s="273"/>
      <c r="GM221" s="265"/>
      <c r="GN221" s="273"/>
      <c r="GO221" s="273"/>
      <c r="GP221" s="273"/>
      <c r="GQ221" s="273"/>
      <c r="GR221" s="273"/>
      <c r="GS221" s="265"/>
      <c r="GT221" s="273"/>
      <c r="GU221" s="273"/>
      <c r="GV221" s="273"/>
      <c r="GW221" s="273"/>
      <c r="GX221" s="273"/>
      <c r="GY221" s="265"/>
      <c r="GZ221" s="273"/>
      <c r="HA221" s="273"/>
      <c r="HB221" s="273"/>
      <c r="HC221" s="273"/>
      <c r="HD221" s="273"/>
      <c r="HE221" s="265"/>
      <c r="HF221" s="273"/>
      <c r="HG221" s="273"/>
      <c r="HH221" s="273"/>
      <c r="HI221" s="273"/>
      <c r="HJ221" s="273"/>
      <c r="HK221" s="265"/>
      <c r="HL221" s="273"/>
      <c r="HM221" s="273"/>
      <c r="HN221" s="273"/>
      <c r="HO221" s="273"/>
      <c r="HP221" s="273"/>
      <c r="HQ221" s="265"/>
      <c r="HR221" s="273"/>
      <c r="HS221" s="273"/>
      <c r="HT221" s="273"/>
      <c r="HU221" s="273"/>
      <c r="HV221" s="273"/>
      <c r="HW221" s="265"/>
      <c r="HX221" s="273"/>
      <c r="HY221" s="273"/>
      <c r="HZ221" s="273"/>
      <c r="IA221" s="273"/>
      <c r="IB221" s="273"/>
      <c r="IC221" s="265"/>
      <c r="ID221" s="273"/>
      <c r="IE221" s="273"/>
      <c r="IF221" s="273"/>
      <c r="IG221" s="273"/>
      <c r="IH221" s="273"/>
      <c r="II221" s="265"/>
      <c r="IJ221" s="273"/>
      <c r="IK221" s="273"/>
      <c r="IL221" s="273"/>
      <c r="IM221" s="273"/>
      <c r="IN221" s="273"/>
      <c r="IO221" s="265"/>
      <c r="IP221" s="273"/>
      <c r="IQ221" s="273"/>
      <c r="IR221" s="273"/>
      <c r="IS221" s="273"/>
      <c r="IT221" s="273"/>
      <c r="IU221" s="265"/>
      <c r="IV221" s="273"/>
    </row>
    <row r="222" spans="1:256" ht="15.6">
      <c r="A222" s="282"/>
      <c r="B222" s="273"/>
      <c r="C222" s="414" t="s">
        <v>48</v>
      </c>
      <c r="D222" s="273"/>
      <c r="E222" s="290"/>
      <c r="F222" s="285" t="s">
        <v>1056</v>
      </c>
      <c r="G222" s="1755">
        <f>SUM(G219:G221)</f>
        <v>1351737</v>
      </c>
      <c r="H222" s="314"/>
      <c r="I222" s="314"/>
      <c r="J222" s="313"/>
      <c r="K222" s="313"/>
      <c r="L222" s="313"/>
      <c r="M222" s="313"/>
      <c r="N222" s="313"/>
      <c r="O222" s="313"/>
      <c r="P222" s="313"/>
      <c r="Q222" s="313"/>
      <c r="R222" s="313"/>
      <c r="S222" s="430"/>
      <c r="T222" s="31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65"/>
      <c r="BR222" s="273"/>
      <c r="BS222" s="273"/>
      <c r="BT222" s="273"/>
      <c r="BU222" s="273"/>
      <c r="BV222" s="273"/>
      <c r="BW222" s="265"/>
      <c r="BX222" s="273"/>
      <c r="BY222" s="273"/>
      <c r="BZ222" s="273"/>
      <c r="CA222" s="273"/>
      <c r="CB222" s="273"/>
      <c r="CC222" s="265"/>
      <c r="CD222" s="273"/>
      <c r="CE222" s="273"/>
      <c r="CF222" s="273"/>
      <c r="CG222" s="273"/>
      <c r="CH222" s="273"/>
      <c r="CI222" s="265"/>
      <c r="CJ222" s="273"/>
      <c r="CK222" s="273"/>
      <c r="CL222" s="273"/>
      <c r="CM222" s="273"/>
      <c r="CN222" s="273"/>
      <c r="CO222" s="265"/>
      <c r="CP222" s="273"/>
      <c r="CQ222" s="273"/>
      <c r="CR222" s="273"/>
      <c r="CS222" s="273"/>
      <c r="CT222" s="273"/>
      <c r="CU222" s="265"/>
      <c r="CV222" s="273"/>
      <c r="CW222" s="273"/>
      <c r="CX222" s="273"/>
      <c r="CY222" s="273"/>
      <c r="CZ222" s="273"/>
      <c r="DA222" s="265"/>
      <c r="DB222" s="273"/>
      <c r="DC222" s="273"/>
      <c r="DD222" s="273"/>
      <c r="DE222" s="273"/>
      <c r="DF222" s="273"/>
      <c r="DG222" s="265"/>
      <c r="DH222" s="273"/>
      <c r="DI222" s="273"/>
      <c r="DJ222" s="273"/>
      <c r="DK222" s="273"/>
      <c r="DL222" s="273"/>
      <c r="DM222" s="265"/>
      <c r="DN222" s="273"/>
      <c r="DO222" s="273"/>
      <c r="DP222" s="273"/>
      <c r="DQ222" s="273"/>
      <c r="DR222" s="273"/>
      <c r="DS222" s="265"/>
      <c r="DT222" s="273"/>
      <c r="DU222" s="273"/>
      <c r="DV222" s="273"/>
      <c r="DW222" s="273"/>
      <c r="DX222" s="273"/>
      <c r="DY222" s="265"/>
      <c r="DZ222" s="273"/>
      <c r="EA222" s="273"/>
      <c r="EB222" s="273"/>
      <c r="EC222" s="273"/>
      <c r="ED222" s="273"/>
      <c r="EE222" s="265"/>
      <c r="EF222" s="273"/>
      <c r="EG222" s="273"/>
      <c r="EH222" s="273"/>
      <c r="EI222" s="273"/>
      <c r="EJ222" s="273"/>
      <c r="EK222" s="265"/>
      <c r="EL222" s="273"/>
      <c r="EM222" s="273"/>
      <c r="EN222" s="273"/>
      <c r="EO222" s="273"/>
      <c r="EP222" s="273"/>
      <c r="EQ222" s="265"/>
      <c r="ER222" s="273"/>
      <c r="ES222" s="273"/>
      <c r="ET222" s="273"/>
      <c r="EU222" s="273"/>
      <c r="EV222" s="273"/>
      <c r="EW222" s="265"/>
      <c r="EX222" s="273"/>
      <c r="EY222" s="273"/>
      <c r="EZ222" s="273"/>
      <c r="FA222" s="273"/>
      <c r="FB222" s="273"/>
      <c r="FC222" s="265"/>
      <c r="FD222" s="273"/>
      <c r="FE222" s="273"/>
      <c r="FF222" s="273"/>
      <c r="FG222" s="273"/>
      <c r="FH222" s="273"/>
      <c r="FI222" s="265"/>
      <c r="FJ222" s="273"/>
      <c r="FK222" s="273"/>
      <c r="FL222" s="273"/>
      <c r="FM222" s="273"/>
      <c r="FN222" s="273"/>
      <c r="FO222" s="265"/>
      <c r="FP222" s="273"/>
      <c r="FQ222" s="273"/>
      <c r="FR222" s="273"/>
      <c r="FS222" s="273"/>
      <c r="FT222" s="273"/>
      <c r="FU222" s="265"/>
      <c r="FV222" s="273"/>
      <c r="FW222" s="273"/>
      <c r="FX222" s="273"/>
      <c r="FY222" s="273"/>
      <c r="FZ222" s="273"/>
      <c r="GA222" s="265"/>
      <c r="GB222" s="273"/>
      <c r="GC222" s="273"/>
      <c r="GD222" s="273"/>
      <c r="GE222" s="273"/>
      <c r="GF222" s="273"/>
      <c r="GG222" s="265"/>
      <c r="GH222" s="273"/>
      <c r="GI222" s="273"/>
      <c r="GJ222" s="273"/>
      <c r="GK222" s="273"/>
      <c r="GL222" s="273"/>
      <c r="GM222" s="265"/>
      <c r="GN222" s="273"/>
      <c r="GO222" s="273"/>
      <c r="GP222" s="273"/>
      <c r="GQ222" s="273"/>
      <c r="GR222" s="273"/>
      <c r="GS222" s="265"/>
      <c r="GT222" s="273"/>
      <c r="GU222" s="273"/>
      <c r="GV222" s="273"/>
      <c r="GW222" s="273"/>
      <c r="GX222" s="273"/>
      <c r="GY222" s="265"/>
      <c r="GZ222" s="273"/>
      <c r="HA222" s="273"/>
      <c r="HB222" s="273"/>
      <c r="HC222" s="273"/>
      <c r="HD222" s="273"/>
      <c r="HE222" s="265"/>
      <c r="HF222" s="273"/>
      <c r="HG222" s="273"/>
      <c r="HH222" s="273"/>
      <c r="HI222" s="273"/>
      <c r="HJ222" s="273"/>
      <c r="HK222" s="265"/>
      <c r="HL222" s="273"/>
      <c r="HM222" s="273"/>
      <c r="HN222" s="273"/>
      <c r="HO222" s="273"/>
      <c r="HP222" s="273"/>
      <c r="HQ222" s="265"/>
      <c r="HR222" s="273"/>
      <c r="HS222" s="273"/>
      <c r="HT222" s="273"/>
      <c r="HU222" s="273"/>
      <c r="HV222" s="273"/>
      <c r="HW222" s="265"/>
      <c r="HX222" s="273"/>
      <c r="HY222" s="273"/>
      <c r="HZ222" s="273"/>
      <c r="IA222" s="273"/>
      <c r="IB222" s="273"/>
      <c r="IC222" s="265"/>
      <c r="ID222" s="273"/>
      <c r="IE222" s="273"/>
      <c r="IF222" s="273"/>
      <c r="IG222" s="273"/>
      <c r="IH222" s="273"/>
      <c r="II222" s="265"/>
      <c r="IJ222" s="273"/>
      <c r="IK222" s="273"/>
      <c r="IL222" s="273"/>
      <c r="IM222" s="273"/>
      <c r="IN222" s="273"/>
      <c r="IO222" s="265"/>
      <c r="IP222" s="273"/>
      <c r="IQ222" s="273"/>
      <c r="IR222" s="273"/>
      <c r="IS222" s="273"/>
      <c r="IT222" s="273"/>
      <c r="IU222" s="265"/>
      <c r="IV222" s="273"/>
    </row>
    <row r="223" spans="1:256" ht="15.6">
      <c r="A223" s="282"/>
      <c r="B223" s="273"/>
      <c r="C223" s="414"/>
      <c r="D223" s="273"/>
      <c r="E223" s="290"/>
      <c r="F223" s="285"/>
      <c r="G223" s="805"/>
      <c r="H223" s="314"/>
      <c r="I223" s="314"/>
      <c r="J223" s="313"/>
      <c r="K223" s="703" t="s">
        <v>49</v>
      </c>
      <c r="L223" s="313"/>
      <c r="M223" s="1153"/>
      <c r="N223" s="313"/>
      <c r="O223" s="979">
        <v>0</v>
      </c>
      <c r="P223" s="313"/>
      <c r="Q223" s="704"/>
      <c r="R223" s="313"/>
      <c r="S223" s="430"/>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73"/>
      <c r="BQ223" s="265"/>
      <c r="BR223" s="273"/>
      <c r="BS223" s="273"/>
      <c r="BT223" s="273"/>
      <c r="BU223" s="273"/>
      <c r="BV223" s="273"/>
      <c r="BW223" s="265"/>
      <c r="BX223" s="273"/>
      <c r="BY223" s="273"/>
      <c r="BZ223" s="273"/>
      <c r="CA223" s="273"/>
      <c r="CB223" s="273"/>
      <c r="CC223" s="265"/>
      <c r="CD223" s="273"/>
      <c r="CE223" s="273"/>
      <c r="CF223" s="273"/>
      <c r="CG223" s="273"/>
      <c r="CH223" s="273"/>
      <c r="CI223" s="265"/>
      <c r="CJ223" s="273"/>
      <c r="CK223" s="273"/>
      <c r="CL223" s="273"/>
      <c r="CM223" s="273"/>
      <c r="CN223" s="273"/>
      <c r="CO223" s="265"/>
      <c r="CP223" s="273"/>
      <c r="CQ223" s="273"/>
      <c r="CR223" s="273"/>
      <c r="CS223" s="273"/>
      <c r="CT223" s="273"/>
      <c r="CU223" s="265"/>
      <c r="CV223" s="273"/>
      <c r="CW223" s="273"/>
      <c r="CX223" s="273"/>
      <c r="CY223" s="273"/>
      <c r="CZ223" s="273"/>
      <c r="DA223" s="265"/>
      <c r="DB223" s="273"/>
      <c r="DC223" s="273"/>
      <c r="DD223" s="273"/>
      <c r="DE223" s="273"/>
      <c r="DF223" s="273"/>
      <c r="DG223" s="265"/>
      <c r="DH223" s="273"/>
      <c r="DI223" s="273"/>
      <c r="DJ223" s="273"/>
      <c r="DK223" s="273"/>
      <c r="DL223" s="273"/>
      <c r="DM223" s="265"/>
      <c r="DN223" s="273"/>
      <c r="DO223" s="273"/>
      <c r="DP223" s="273"/>
      <c r="DQ223" s="273"/>
      <c r="DR223" s="273"/>
      <c r="DS223" s="265"/>
      <c r="DT223" s="273"/>
      <c r="DU223" s="273"/>
      <c r="DV223" s="273"/>
      <c r="DW223" s="273"/>
      <c r="DX223" s="273"/>
      <c r="DY223" s="265"/>
      <c r="DZ223" s="273"/>
      <c r="EA223" s="273"/>
      <c r="EB223" s="273"/>
      <c r="EC223" s="273"/>
      <c r="ED223" s="273"/>
      <c r="EE223" s="265"/>
      <c r="EF223" s="273"/>
      <c r="EG223" s="273"/>
      <c r="EH223" s="273"/>
      <c r="EI223" s="273"/>
      <c r="EJ223" s="273"/>
      <c r="EK223" s="265"/>
      <c r="EL223" s="273"/>
      <c r="EM223" s="273"/>
      <c r="EN223" s="273"/>
      <c r="EO223" s="273"/>
      <c r="EP223" s="273"/>
      <c r="EQ223" s="265"/>
      <c r="ER223" s="273"/>
      <c r="ES223" s="273"/>
      <c r="ET223" s="273"/>
      <c r="EU223" s="273"/>
      <c r="EV223" s="273"/>
      <c r="EW223" s="265"/>
      <c r="EX223" s="273"/>
      <c r="EY223" s="273"/>
      <c r="EZ223" s="273"/>
      <c r="FA223" s="273"/>
      <c r="FB223" s="273"/>
      <c r="FC223" s="265"/>
      <c r="FD223" s="273"/>
      <c r="FE223" s="273"/>
      <c r="FF223" s="273"/>
      <c r="FG223" s="273"/>
      <c r="FH223" s="273"/>
      <c r="FI223" s="265"/>
      <c r="FJ223" s="273"/>
      <c r="FK223" s="273"/>
      <c r="FL223" s="273"/>
      <c r="FM223" s="273"/>
      <c r="FN223" s="273"/>
      <c r="FO223" s="265"/>
      <c r="FP223" s="273"/>
      <c r="FQ223" s="273"/>
      <c r="FR223" s="273"/>
      <c r="FS223" s="273"/>
      <c r="FT223" s="273"/>
      <c r="FU223" s="265"/>
      <c r="FV223" s="273"/>
      <c r="FW223" s="273"/>
      <c r="FX223" s="273"/>
      <c r="FY223" s="273"/>
      <c r="FZ223" s="273"/>
      <c r="GA223" s="265"/>
      <c r="GB223" s="273"/>
      <c r="GC223" s="273"/>
      <c r="GD223" s="273"/>
      <c r="GE223" s="273"/>
      <c r="GF223" s="273"/>
      <c r="GG223" s="265"/>
      <c r="GH223" s="273"/>
      <c r="GI223" s="273"/>
      <c r="GJ223" s="273"/>
      <c r="GK223" s="273"/>
      <c r="GL223" s="273"/>
      <c r="GM223" s="265"/>
      <c r="GN223" s="273"/>
      <c r="GO223" s="273"/>
      <c r="GP223" s="273"/>
      <c r="GQ223" s="273"/>
      <c r="GR223" s="273"/>
      <c r="GS223" s="265"/>
      <c r="GT223" s="273"/>
      <c r="GU223" s="273"/>
      <c r="GV223" s="273"/>
      <c r="GW223" s="273"/>
      <c r="GX223" s="273"/>
      <c r="GY223" s="265"/>
      <c r="GZ223" s="273"/>
      <c r="HA223" s="273"/>
      <c r="HB223" s="273"/>
      <c r="HC223" s="273"/>
      <c r="HD223" s="273"/>
      <c r="HE223" s="265"/>
      <c r="HF223" s="273"/>
      <c r="HG223" s="273"/>
      <c r="HH223" s="273"/>
      <c r="HI223" s="273"/>
      <c r="HJ223" s="273"/>
      <c r="HK223" s="265"/>
      <c r="HL223" s="273"/>
      <c r="HM223" s="273"/>
      <c r="HN223" s="273"/>
      <c r="HO223" s="273"/>
      <c r="HP223" s="273"/>
      <c r="HQ223" s="265"/>
      <c r="HR223" s="273"/>
      <c r="HS223" s="273"/>
      <c r="HT223" s="273"/>
      <c r="HU223" s="273"/>
      <c r="HV223" s="273"/>
      <c r="HW223" s="265"/>
      <c r="HX223" s="273"/>
      <c r="HY223" s="273"/>
      <c r="HZ223" s="273"/>
      <c r="IA223" s="273"/>
      <c r="IB223" s="273"/>
      <c r="IC223" s="265"/>
      <c r="ID223" s="273"/>
      <c r="IE223" s="273"/>
      <c r="IF223" s="273"/>
      <c r="IG223" s="273"/>
      <c r="IH223" s="273"/>
      <c r="II223" s="265"/>
      <c r="IJ223" s="273"/>
      <c r="IK223" s="273"/>
      <c r="IL223" s="273"/>
      <c r="IM223" s="273"/>
      <c r="IN223" s="273"/>
      <c r="IO223" s="265"/>
      <c r="IP223" s="273"/>
      <c r="IQ223" s="273"/>
      <c r="IR223" s="273"/>
      <c r="IS223" s="273"/>
      <c r="IT223" s="273"/>
      <c r="IU223" s="265"/>
      <c r="IV223" s="273"/>
    </row>
    <row r="224" spans="1:256" ht="15.6">
      <c r="A224" s="282"/>
      <c r="B224" s="273"/>
      <c r="C224" s="414"/>
      <c r="D224" s="273"/>
      <c r="E224" s="290"/>
      <c r="F224" s="285"/>
      <c r="G224" s="805"/>
      <c r="H224" s="314"/>
      <c r="I224" s="314"/>
      <c r="J224" s="313"/>
      <c r="K224" s="703" t="s">
        <v>50</v>
      </c>
      <c r="L224" s="313"/>
      <c r="M224" s="1153"/>
      <c r="N224" s="313"/>
      <c r="O224" s="979">
        <v>0</v>
      </c>
      <c r="P224" s="313"/>
      <c r="Q224" s="704"/>
      <c r="R224" s="313"/>
      <c r="S224" s="430"/>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65"/>
      <c r="BR224" s="273"/>
      <c r="BS224" s="273"/>
      <c r="BT224" s="273"/>
      <c r="BU224" s="273"/>
      <c r="BV224" s="273"/>
      <c r="BW224" s="265"/>
      <c r="BX224" s="273"/>
      <c r="BY224" s="273"/>
      <c r="BZ224" s="273"/>
      <c r="CA224" s="273"/>
      <c r="CB224" s="273"/>
      <c r="CC224" s="265"/>
      <c r="CD224" s="273"/>
      <c r="CE224" s="273"/>
      <c r="CF224" s="273"/>
      <c r="CG224" s="273"/>
      <c r="CH224" s="273"/>
      <c r="CI224" s="265"/>
      <c r="CJ224" s="273"/>
      <c r="CK224" s="273"/>
      <c r="CL224" s="273"/>
      <c r="CM224" s="273"/>
      <c r="CN224" s="273"/>
      <c r="CO224" s="265"/>
      <c r="CP224" s="273"/>
      <c r="CQ224" s="273"/>
      <c r="CR224" s="273"/>
      <c r="CS224" s="273"/>
      <c r="CT224" s="273"/>
      <c r="CU224" s="265"/>
      <c r="CV224" s="273"/>
      <c r="CW224" s="273"/>
      <c r="CX224" s="273"/>
      <c r="CY224" s="273"/>
      <c r="CZ224" s="273"/>
      <c r="DA224" s="265"/>
      <c r="DB224" s="273"/>
      <c r="DC224" s="273"/>
      <c r="DD224" s="273"/>
      <c r="DE224" s="273"/>
      <c r="DF224" s="273"/>
      <c r="DG224" s="265"/>
      <c r="DH224" s="273"/>
      <c r="DI224" s="273"/>
      <c r="DJ224" s="273"/>
      <c r="DK224" s="273"/>
      <c r="DL224" s="273"/>
      <c r="DM224" s="265"/>
      <c r="DN224" s="273"/>
      <c r="DO224" s="273"/>
      <c r="DP224" s="273"/>
      <c r="DQ224" s="273"/>
      <c r="DR224" s="273"/>
      <c r="DS224" s="265"/>
      <c r="DT224" s="273"/>
      <c r="DU224" s="273"/>
      <c r="DV224" s="273"/>
      <c r="DW224" s="273"/>
      <c r="DX224" s="273"/>
      <c r="DY224" s="265"/>
      <c r="DZ224" s="273"/>
      <c r="EA224" s="273"/>
      <c r="EB224" s="273"/>
      <c r="EC224" s="273"/>
      <c r="ED224" s="273"/>
      <c r="EE224" s="265"/>
      <c r="EF224" s="273"/>
      <c r="EG224" s="273"/>
      <c r="EH224" s="273"/>
      <c r="EI224" s="273"/>
      <c r="EJ224" s="273"/>
      <c r="EK224" s="265"/>
      <c r="EL224" s="273"/>
      <c r="EM224" s="273"/>
      <c r="EN224" s="273"/>
      <c r="EO224" s="273"/>
      <c r="EP224" s="273"/>
      <c r="EQ224" s="265"/>
      <c r="ER224" s="273"/>
      <c r="ES224" s="273"/>
      <c r="ET224" s="273"/>
      <c r="EU224" s="273"/>
      <c r="EV224" s="273"/>
      <c r="EW224" s="265"/>
      <c r="EX224" s="273"/>
      <c r="EY224" s="273"/>
      <c r="EZ224" s="273"/>
      <c r="FA224" s="273"/>
      <c r="FB224" s="273"/>
      <c r="FC224" s="265"/>
      <c r="FD224" s="273"/>
      <c r="FE224" s="273"/>
      <c r="FF224" s="273"/>
      <c r="FG224" s="273"/>
      <c r="FH224" s="273"/>
      <c r="FI224" s="265"/>
      <c r="FJ224" s="273"/>
      <c r="FK224" s="273"/>
      <c r="FL224" s="273"/>
      <c r="FM224" s="273"/>
      <c r="FN224" s="273"/>
      <c r="FO224" s="265"/>
      <c r="FP224" s="273"/>
      <c r="FQ224" s="273"/>
      <c r="FR224" s="273"/>
      <c r="FS224" s="273"/>
      <c r="FT224" s="273"/>
      <c r="FU224" s="265"/>
      <c r="FV224" s="273"/>
      <c r="FW224" s="273"/>
      <c r="FX224" s="273"/>
      <c r="FY224" s="273"/>
      <c r="FZ224" s="273"/>
      <c r="GA224" s="265"/>
      <c r="GB224" s="273"/>
      <c r="GC224" s="273"/>
      <c r="GD224" s="273"/>
      <c r="GE224" s="273"/>
      <c r="GF224" s="273"/>
      <c r="GG224" s="265"/>
      <c r="GH224" s="273"/>
      <c r="GI224" s="273"/>
      <c r="GJ224" s="273"/>
      <c r="GK224" s="273"/>
      <c r="GL224" s="273"/>
      <c r="GM224" s="265"/>
      <c r="GN224" s="273"/>
      <c r="GO224" s="273"/>
      <c r="GP224" s="273"/>
      <c r="GQ224" s="273"/>
      <c r="GR224" s="273"/>
      <c r="GS224" s="265"/>
      <c r="GT224" s="273"/>
      <c r="GU224" s="273"/>
      <c r="GV224" s="273"/>
      <c r="GW224" s="273"/>
      <c r="GX224" s="273"/>
      <c r="GY224" s="265"/>
      <c r="GZ224" s="273"/>
      <c r="HA224" s="273"/>
      <c r="HB224" s="273"/>
      <c r="HC224" s="273"/>
      <c r="HD224" s="273"/>
      <c r="HE224" s="265"/>
      <c r="HF224" s="273"/>
      <c r="HG224" s="273"/>
      <c r="HH224" s="273"/>
      <c r="HI224" s="273"/>
      <c r="HJ224" s="273"/>
      <c r="HK224" s="265"/>
      <c r="HL224" s="273"/>
      <c r="HM224" s="273"/>
      <c r="HN224" s="273"/>
      <c r="HO224" s="273"/>
      <c r="HP224" s="273"/>
      <c r="HQ224" s="265"/>
      <c r="HR224" s="273"/>
      <c r="HS224" s="273"/>
      <c r="HT224" s="273"/>
      <c r="HU224" s="273"/>
      <c r="HV224" s="273"/>
      <c r="HW224" s="265"/>
      <c r="HX224" s="273"/>
      <c r="HY224" s="273"/>
      <c r="HZ224" s="273"/>
      <c r="IA224" s="273"/>
      <c r="IB224" s="273"/>
      <c r="IC224" s="265"/>
      <c r="ID224" s="273"/>
      <c r="IE224" s="273"/>
      <c r="IF224" s="273"/>
      <c r="IG224" s="273"/>
      <c r="IH224" s="273"/>
      <c r="II224" s="265"/>
      <c r="IJ224" s="273"/>
      <c r="IK224" s="273"/>
      <c r="IL224" s="273"/>
      <c r="IM224" s="273"/>
      <c r="IN224" s="273"/>
      <c r="IO224" s="265"/>
      <c r="IP224" s="273"/>
      <c r="IQ224" s="273"/>
      <c r="IR224" s="273"/>
      <c r="IS224" s="273"/>
      <c r="IT224" s="273"/>
      <c r="IU224" s="265"/>
      <c r="IV224" s="273"/>
    </row>
    <row r="225" spans="1:256" ht="15.6">
      <c r="A225" s="282"/>
      <c r="B225" s="273"/>
      <c r="C225" s="414"/>
      <c r="D225" s="273"/>
      <c r="E225" s="290"/>
      <c r="F225" s="285"/>
      <c r="G225" s="805"/>
      <c r="H225" s="314"/>
      <c r="I225" s="314"/>
      <c r="J225" s="313"/>
      <c r="K225" s="703" t="s">
        <v>51</v>
      </c>
      <c r="L225" s="313"/>
      <c r="M225" s="1153"/>
      <c r="N225" s="313"/>
      <c r="O225" s="979">
        <v>0</v>
      </c>
      <c r="P225" s="313"/>
      <c r="Q225" s="704"/>
      <c r="R225" s="313"/>
      <c r="S225" s="430"/>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65"/>
      <c r="BR225" s="273"/>
      <c r="BS225" s="273"/>
      <c r="BT225" s="273"/>
      <c r="BU225" s="273"/>
      <c r="BV225" s="273"/>
      <c r="BW225" s="265"/>
      <c r="BX225" s="273"/>
      <c r="BY225" s="273"/>
      <c r="BZ225" s="273"/>
      <c r="CA225" s="273"/>
      <c r="CB225" s="273"/>
      <c r="CC225" s="265"/>
      <c r="CD225" s="273"/>
      <c r="CE225" s="273"/>
      <c r="CF225" s="273"/>
      <c r="CG225" s="273"/>
      <c r="CH225" s="273"/>
      <c r="CI225" s="265"/>
      <c r="CJ225" s="273"/>
      <c r="CK225" s="273"/>
      <c r="CL225" s="273"/>
      <c r="CM225" s="273"/>
      <c r="CN225" s="273"/>
      <c r="CO225" s="265"/>
      <c r="CP225" s="273"/>
      <c r="CQ225" s="273"/>
      <c r="CR225" s="273"/>
      <c r="CS225" s="273"/>
      <c r="CT225" s="273"/>
      <c r="CU225" s="265"/>
      <c r="CV225" s="273"/>
      <c r="CW225" s="273"/>
      <c r="CX225" s="273"/>
      <c r="CY225" s="273"/>
      <c r="CZ225" s="273"/>
      <c r="DA225" s="265"/>
      <c r="DB225" s="273"/>
      <c r="DC225" s="273"/>
      <c r="DD225" s="273"/>
      <c r="DE225" s="273"/>
      <c r="DF225" s="273"/>
      <c r="DG225" s="265"/>
      <c r="DH225" s="273"/>
      <c r="DI225" s="273"/>
      <c r="DJ225" s="273"/>
      <c r="DK225" s="273"/>
      <c r="DL225" s="273"/>
      <c r="DM225" s="265"/>
      <c r="DN225" s="273"/>
      <c r="DO225" s="273"/>
      <c r="DP225" s="273"/>
      <c r="DQ225" s="273"/>
      <c r="DR225" s="273"/>
      <c r="DS225" s="265"/>
      <c r="DT225" s="273"/>
      <c r="DU225" s="273"/>
      <c r="DV225" s="273"/>
      <c r="DW225" s="273"/>
      <c r="DX225" s="273"/>
      <c r="DY225" s="265"/>
      <c r="DZ225" s="273"/>
      <c r="EA225" s="273"/>
      <c r="EB225" s="273"/>
      <c r="EC225" s="273"/>
      <c r="ED225" s="273"/>
      <c r="EE225" s="265"/>
      <c r="EF225" s="273"/>
      <c r="EG225" s="273"/>
      <c r="EH225" s="273"/>
      <c r="EI225" s="273"/>
      <c r="EJ225" s="273"/>
      <c r="EK225" s="265"/>
      <c r="EL225" s="273"/>
      <c r="EM225" s="273"/>
      <c r="EN225" s="273"/>
      <c r="EO225" s="273"/>
      <c r="EP225" s="273"/>
      <c r="EQ225" s="265"/>
      <c r="ER225" s="273"/>
      <c r="ES225" s="273"/>
      <c r="ET225" s="273"/>
      <c r="EU225" s="273"/>
      <c r="EV225" s="273"/>
      <c r="EW225" s="265"/>
      <c r="EX225" s="273"/>
      <c r="EY225" s="273"/>
      <c r="EZ225" s="273"/>
      <c r="FA225" s="273"/>
      <c r="FB225" s="273"/>
      <c r="FC225" s="265"/>
      <c r="FD225" s="273"/>
      <c r="FE225" s="273"/>
      <c r="FF225" s="273"/>
      <c r="FG225" s="273"/>
      <c r="FH225" s="273"/>
      <c r="FI225" s="265"/>
      <c r="FJ225" s="273"/>
      <c r="FK225" s="273"/>
      <c r="FL225" s="273"/>
      <c r="FM225" s="273"/>
      <c r="FN225" s="273"/>
      <c r="FO225" s="265"/>
      <c r="FP225" s="273"/>
      <c r="FQ225" s="273"/>
      <c r="FR225" s="273"/>
      <c r="FS225" s="273"/>
      <c r="FT225" s="273"/>
      <c r="FU225" s="265"/>
      <c r="FV225" s="273"/>
      <c r="FW225" s="273"/>
      <c r="FX225" s="273"/>
      <c r="FY225" s="273"/>
      <c r="FZ225" s="273"/>
      <c r="GA225" s="265"/>
      <c r="GB225" s="273"/>
      <c r="GC225" s="273"/>
      <c r="GD225" s="273"/>
      <c r="GE225" s="273"/>
      <c r="GF225" s="273"/>
      <c r="GG225" s="265"/>
      <c r="GH225" s="273"/>
      <c r="GI225" s="273"/>
      <c r="GJ225" s="273"/>
      <c r="GK225" s="273"/>
      <c r="GL225" s="273"/>
      <c r="GM225" s="265"/>
      <c r="GN225" s="273"/>
      <c r="GO225" s="273"/>
      <c r="GP225" s="273"/>
      <c r="GQ225" s="273"/>
      <c r="GR225" s="273"/>
      <c r="GS225" s="265"/>
      <c r="GT225" s="273"/>
      <c r="GU225" s="273"/>
      <c r="GV225" s="273"/>
      <c r="GW225" s="273"/>
      <c r="GX225" s="273"/>
      <c r="GY225" s="265"/>
      <c r="GZ225" s="273"/>
      <c r="HA225" s="273"/>
      <c r="HB225" s="273"/>
      <c r="HC225" s="273"/>
      <c r="HD225" s="273"/>
      <c r="HE225" s="265"/>
      <c r="HF225" s="273"/>
      <c r="HG225" s="273"/>
      <c r="HH225" s="273"/>
      <c r="HI225" s="273"/>
      <c r="HJ225" s="273"/>
      <c r="HK225" s="265"/>
      <c r="HL225" s="273"/>
      <c r="HM225" s="273"/>
      <c r="HN225" s="273"/>
      <c r="HO225" s="273"/>
      <c r="HP225" s="273"/>
      <c r="HQ225" s="265"/>
      <c r="HR225" s="273"/>
      <c r="HS225" s="273"/>
      <c r="HT225" s="273"/>
      <c r="HU225" s="273"/>
      <c r="HV225" s="273"/>
      <c r="HW225" s="265"/>
      <c r="HX225" s="273"/>
      <c r="HY225" s="273"/>
      <c r="HZ225" s="273"/>
      <c r="IA225" s="273"/>
      <c r="IB225" s="273"/>
      <c r="IC225" s="265"/>
      <c r="ID225" s="273"/>
      <c r="IE225" s="273"/>
      <c r="IF225" s="273"/>
      <c r="IG225" s="273"/>
      <c r="IH225" s="273"/>
      <c r="II225" s="265"/>
      <c r="IJ225" s="273"/>
      <c r="IK225" s="273"/>
      <c r="IL225" s="273"/>
      <c r="IM225" s="273"/>
      <c r="IN225" s="273"/>
      <c r="IO225" s="265"/>
      <c r="IP225" s="273"/>
      <c r="IQ225" s="273"/>
      <c r="IR225" s="273"/>
      <c r="IS225" s="273"/>
      <c r="IT225" s="273"/>
      <c r="IU225" s="265"/>
      <c r="IV225" s="273"/>
    </row>
    <row r="226" spans="1:256" ht="15.6">
      <c r="A226" s="282"/>
      <c r="B226" s="273"/>
      <c r="C226" s="414"/>
      <c r="D226" s="273"/>
      <c r="E226" s="290"/>
      <c r="F226" s="285"/>
      <c r="G226" s="805"/>
      <c r="H226" s="314"/>
      <c r="I226" s="314"/>
      <c r="J226" s="313"/>
      <c r="K226" s="703" t="s">
        <v>52</v>
      </c>
      <c r="L226" s="313"/>
      <c r="M226" s="1153"/>
      <c r="N226" s="313"/>
      <c r="O226" s="979">
        <v>0</v>
      </c>
      <c r="P226" s="313"/>
      <c r="Q226" s="704"/>
      <c r="R226" s="313"/>
      <c r="S226" s="430"/>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65"/>
      <c r="BR226" s="273"/>
      <c r="BS226" s="273"/>
      <c r="BT226" s="273"/>
      <c r="BU226" s="273"/>
      <c r="BV226" s="273"/>
      <c r="BW226" s="265"/>
      <c r="BX226" s="273"/>
      <c r="BY226" s="273"/>
      <c r="BZ226" s="273"/>
      <c r="CA226" s="273"/>
      <c r="CB226" s="273"/>
      <c r="CC226" s="265"/>
      <c r="CD226" s="273"/>
      <c r="CE226" s="273"/>
      <c r="CF226" s="273"/>
      <c r="CG226" s="273"/>
      <c r="CH226" s="273"/>
      <c r="CI226" s="265"/>
      <c r="CJ226" s="273"/>
      <c r="CK226" s="273"/>
      <c r="CL226" s="273"/>
      <c r="CM226" s="273"/>
      <c r="CN226" s="273"/>
      <c r="CO226" s="265"/>
      <c r="CP226" s="273"/>
      <c r="CQ226" s="273"/>
      <c r="CR226" s="273"/>
      <c r="CS226" s="273"/>
      <c r="CT226" s="273"/>
      <c r="CU226" s="265"/>
      <c r="CV226" s="273"/>
      <c r="CW226" s="273"/>
      <c r="CX226" s="273"/>
      <c r="CY226" s="273"/>
      <c r="CZ226" s="273"/>
      <c r="DA226" s="265"/>
      <c r="DB226" s="273"/>
      <c r="DC226" s="273"/>
      <c r="DD226" s="273"/>
      <c r="DE226" s="273"/>
      <c r="DF226" s="273"/>
      <c r="DG226" s="265"/>
      <c r="DH226" s="273"/>
      <c r="DI226" s="273"/>
      <c r="DJ226" s="273"/>
      <c r="DK226" s="273"/>
      <c r="DL226" s="273"/>
      <c r="DM226" s="265"/>
      <c r="DN226" s="273"/>
      <c r="DO226" s="273"/>
      <c r="DP226" s="273"/>
      <c r="DQ226" s="273"/>
      <c r="DR226" s="273"/>
      <c r="DS226" s="265"/>
      <c r="DT226" s="273"/>
      <c r="DU226" s="273"/>
      <c r="DV226" s="273"/>
      <c r="DW226" s="273"/>
      <c r="DX226" s="273"/>
      <c r="DY226" s="265"/>
      <c r="DZ226" s="273"/>
      <c r="EA226" s="273"/>
      <c r="EB226" s="273"/>
      <c r="EC226" s="273"/>
      <c r="ED226" s="273"/>
      <c r="EE226" s="265"/>
      <c r="EF226" s="273"/>
      <c r="EG226" s="273"/>
      <c r="EH226" s="273"/>
      <c r="EI226" s="273"/>
      <c r="EJ226" s="273"/>
      <c r="EK226" s="265"/>
      <c r="EL226" s="273"/>
      <c r="EM226" s="273"/>
      <c r="EN226" s="273"/>
      <c r="EO226" s="273"/>
      <c r="EP226" s="273"/>
      <c r="EQ226" s="265"/>
      <c r="ER226" s="273"/>
      <c r="ES226" s="273"/>
      <c r="ET226" s="273"/>
      <c r="EU226" s="273"/>
      <c r="EV226" s="273"/>
      <c r="EW226" s="265"/>
      <c r="EX226" s="273"/>
      <c r="EY226" s="273"/>
      <c r="EZ226" s="273"/>
      <c r="FA226" s="273"/>
      <c r="FB226" s="273"/>
      <c r="FC226" s="265"/>
      <c r="FD226" s="273"/>
      <c r="FE226" s="273"/>
      <c r="FF226" s="273"/>
      <c r="FG226" s="273"/>
      <c r="FH226" s="273"/>
      <c r="FI226" s="265"/>
      <c r="FJ226" s="273"/>
      <c r="FK226" s="273"/>
      <c r="FL226" s="273"/>
      <c r="FM226" s="273"/>
      <c r="FN226" s="273"/>
      <c r="FO226" s="265"/>
      <c r="FP226" s="273"/>
      <c r="FQ226" s="273"/>
      <c r="FR226" s="273"/>
      <c r="FS226" s="273"/>
      <c r="FT226" s="273"/>
      <c r="FU226" s="265"/>
      <c r="FV226" s="273"/>
      <c r="FW226" s="273"/>
      <c r="FX226" s="273"/>
      <c r="FY226" s="273"/>
      <c r="FZ226" s="273"/>
      <c r="GA226" s="265"/>
      <c r="GB226" s="273"/>
      <c r="GC226" s="273"/>
      <c r="GD226" s="273"/>
      <c r="GE226" s="273"/>
      <c r="GF226" s="273"/>
      <c r="GG226" s="265"/>
      <c r="GH226" s="273"/>
      <c r="GI226" s="273"/>
      <c r="GJ226" s="273"/>
      <c r="GK226" s="273"/>
      <c r="GL226" s="273"/>
      <c r="GM226" s="265"/>
      <c r="GN226" s="273"/>
      <c r="GO226" s="273"/>
      <c r="GP226" s="273"/>
      <c r="GQ226" s="273"/>
      <c r="GR226" s="273"/>
      <c r="GS226" s="265"/>
      <c r="GT226" s="273"/>
      <c r="GU226" s="273"/>
      <c r="GV226" s="273"/>
      <c r="GW226" s="273"/>
      <c r="GX226" s="273"/>
      <c r="GY226" s="265"/>
      <c r="GZ226" s="273"/>
      <c r="HA226" s="273"/>
      <c r="HB226" s="273"/>
      <c r="HC226" s="273"/>
      <c r="HD226" s="273"/>
      <c r="HE226" s="265"/>
      <c r="HF226" s="273"/>
      <c r="HG226" s="273"/>
      <c r="HH226" s="273"/>
      <c r="HI226" s="273"/>
      <c r="HJ226" s="273"/>
      <c r="HK226" s="265"/>
      <c r="HL226" s="273"/>
      <c r="HM226" s="273"/>
      <c r="HN226" s="273"/>
      <c r="HO226" s="273"/>
      <c r="HP226" s="273"/>
      <c r="HQ226" s="265"/>
      <c r="HR226" s="273"/>
      <c r="HS226" s="273"/>
      <c r="HT226" s="273"/>
      <c r="HU226" s="273"/>
      <c r="HV226" s="273"/>
      <c r="HW226" s="265"/>
      <c r="HX226" s="273"/>
      <c r="HY226" s="273"/>
      <c r="HZ226" s="273"/>
      <c r="IA226" s="273"/>
      <c r="IB226" s="273"/>
      <c r="IC226" s="265"/>
      <c r="ID226" s="273"/>
      <c r="IE226" s="273"/>
      <c r="IF226" s="273"/>
      <c r="IG226" s="273"/>
      <c r="IH226" s="273"/>
      <c r="II226" s="265"/>
      <c r="IJ226" s="273"/>
      <c r="IK226" s="273"/>
      <c r="IL226" s="273"/>
      <c r="IM226" s="273"/>
      <c r="IN226" s="273"/>
      <c r="IO226" s="265"/>
      <c r="IP226" s="273"/>
      <c r="IQ226" s="273"/>
      <c r="IR226" s="273"/>
      <c r="IS226" s="273"/>
      <c r="IT226" s="273"/>
      <c r="IU226" s="265"/>
      <c r="IV226" s="273"/>
    </row>
    <row r="227" spans="1:256" ht="15.6">
      <c r="A227" s="282"/>
      <c r="B227" s="273"/>
      <c r="C227" s="414"/>
      <c r="D227" s="273"/>
      <c r="E227" s="290"/>
      <c r="F227" s="285"/>
      <c r="G227" s="805"/>
      <c r="H227" s="314"/>
      <c r="I227" s="314"/>
      <c r="J227" s="313"/>
      <c r="K227" s="703" t="s">
        <v>53</v>
      </c>
      <c r="L227" s="313"/>
      <c r="M227" s="1153"/>
      <c r="N227" s="313"/>
      <c r="O227" s="979">
        <v>0</v>
      </c>
      <c r="P227" s="313"/>
      <c r="Q227" s="704"/>
      <c r="R227" s="313"/>
      <c r="S227" s="430"/>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73"/>
      <c r="BQ227" s="265"/>
      <c r="BR227" s="273"/>
      <c r="BS227" s="273"/>
      <c r="BT227" s="273"/>
      <c r="BU227" s="273"/>
      <c r="BV227" s="273"/>
      <c r="BW227" s="265"/>
      <c r="BX227" s="273"/>
      <c r="BY227" s="273"/>
      <c r="BZ227" s="273"/>
      <c r="CA227" s="273"/>
      <c r="CB227" s="273"/>
      <c r="CC227" s="265"/>
      <c r="CD227" s="273"/>
      <c r="CE227" s="273"/>
      <c r="CF227" s="273"/>
      <c r="CG227" s="273"/>
      <c r="CH227" s="273"/>
      <c r="CI227" s="265"/>
      <c r="CJ227" s="273"/>
      <c r="CK227" s="273"/>
      <c r="CL227" s="273"/>
      <c r="CM227" s="273"/>
      <c r="CN227" s="273"/>
      <c r="CO227" s="265"/>
      <c r="CP227" s="273"/>
      <c r="CQ227" s="273"/>
      <c r="CR227" s="273"/>
      <c r="CS227" s="273"/>
      <c r="CT227" s="273"/>
      <c r="CU227" s="265"/>
      <c r="CV227" s="273"/>
      <c r="CW227" s="273"/>
      <c r="CX227" s="273"/>
      <c r="CY227" s="273"/>
      <c r="CZ227" s="273"/>
      <c r="DA227" s="265"/>
      <c r="DB227" s="273"/>
      <c r="DC227" s="273"/>
      <c r="DD227" s="273"/>
      <c r="DE227" s="273"/>
      <c r="DF227" s="273"/>
      <c r="DG227" s="265"/>
      <c r="DH227" s="273"/>
      <c r="DI227" s="273"/>
      <c r="DJ227" s="273"/>
      <c r="DK227" s="273"/>
      <c r="DL227" s="273"/>
      <c r="DM227" s="265"/>
      <c r="DN227" s="273"/>
      <c r="DO227" s="273"/>
      <c r="DP227" s="273"/>
      <c r="DQ227" s="273"/>
      <c r="DR227" s="273"/>
      <c r="DS227" s="265"/>
      <c r="DT227" s="273"/>
      <c r="DU227" s="273"/>
      <c r="DV227" s="273"/>
      <c r="DW227" s="273"/>
      <c r="DX227" s="273"/>
      <c r="DY227" s="265"/>
      <c r="DZ227" s="273"/>
      <c r="EA227" s="273"/>
      <c r="EB227" s="273"/>
      <c r="EC227" s="273"/>
      <c r="ED227" s="273"/>
      <c r="EE227" s="265"/>
      <c r="EF227" s="273"/>
      <c r="EG227" s="273"/>
      <c r="EH227" s="273"/>
      <c r="EI227" s="273"/>
      <c r="EJ227" s="273"/>
      <c r="EK227" s="265"/>
      <c r="EL227" s="273"/>
      <c r="EM227" s="273"/>
      <c r="EN227" s="273"/>
      <c r="EO227" s="273"/>
      <c r="EP227" s="273"/>
      <c r="EQ227" s="265"/>
      <c r="ER227" s="273"/>
      <c r="ES227" s="273"/>
      <c r="ET227" s="273"/>
      <c r="EU227" s="273"/>
      <c r="EV227" s="273"/>
      <c r="EW227" s="265"/>
      <c r="EX227" s="273"/>
      <c r="EY227" s="273"/>
      <c r="EZ227" s="273"/>
      <c r="FA227" s="273"/>
      <c r="FB227" s="273"/>
      <c r="FC227" s="265"/>
      <c r="FD227" s="273"/>
      <c r="FE227" s="273"/>
      <c r="FF227" s="273"/>
      <c r="FG227" s="273"/>
      <c r="FH227" s="273"/>
      <c r="FI227" s="265"/>
      <c r="FJ227" s="273"/>
      <c r="FK227" s="273"/>
      <c r="FL227" s="273"/>
      <c r="FM227" s="273"/>
      <c r="FN227" s="273"/>
      <c r="FO227" s="265"/>
      <c r="FP227" s="273"/>
      <c r="FQ227" s="273"/>
      <c r="FR227" s="273"/>
      <c r="FS227" s="273"/>
      <c r="FT227" s="273"/>
      <c r="FU227" s="265"/>
      <c r="FV227" s="273"/>
      <c r="FW227" s="273"/>
      <c r="FX227" s="273"/>
      <c r="FY227" s="273"/>
      <c r="FZ227" s="273"/>
      <c r="GA227" s="265"/>
      <c r="GB227" s="273"/>
      <c r="GC227" s="273"/>
      <c r="GD227" s="273"/>
      <c r="GE227" s="273"/>
      <c r="GF227" s="273"/>
      <c r="GG227" s="265"/>
      <c r="GH227" s="273"/>
      <c r="GI227" s="273"/>
      <c r="GJ227" s="273"/>
      <c r="GK227" s="273"/>
      <c r="GL227" s="273"/>
      <c r="GM227" s="265"/>
      <c r="GN227" s="273"/>
      <c r="GO227" s="273"/>
      <c r="GP227" s="273"/>
      <c r="GQ227" s="273"/>
      <c r="GR227" s="273"/>
      <c r="GS227" s="265"/>
      <c r="GT227" s="273"/>
      <c r="GU227" s="273"/>
      <c r="GV227" s="273"/>
      <c r="GW227" s="273"/>
      <c r="GX227" s="273"/>
      <c r="GY227" s="265"/>
      <c r="GZ227" s="273"/>
      <c r="HA227" s="273"/>
      <c r="HB227" s="273"/>
      <c r="HC227" s="273"/>
      <c r="HD227" s="273"/>
      <c r="HE227" s="265"/>
      <c r="HF227" s="273"/>
      <c r="HG227" s="273"/>
      <c r="HH227" s="273"/>
      <c r="HI227" s="273"/>
      <c r="HJ227" s="273"/>
      <c r="HK227" s="265"/>
      <c r="HL227" s="273"/>
      <c r="HM227" s="273"/>
      <c r="HN227" s="273"/>
      <c r="HO227" s="273"/>
      <c r="HP227" s="273"/>
      <c r="HQ227" s="265"/>
      <c r="HR227" s="273"/>
      <c r="HS227" s="273"/>
      <c r="HT227" s="273"/>
      <c r="HU227" s="273"/>
      <c r="HV227" s="273"/>
      <c r="HW227" s="265"/>
      <c r="HX227" s="273"/>
      <c r="HY227" s="273"/>
      <c r="HZ227" s="273"/>
      <c r="IA227" s="273"/>
      <c r="IB227" s="273"/>
      <c r="IC227" s="265"/>
      <c r="ID227" s="273"/>
      <c r="IE227" s="273"/>
      <c r="IF227" s="273"/>
      <c r="IG227" s="273"/>
      <c r="IH227" s="273"/>
      <c r="II227" s="265"/>
      <c r="IJ227" s="273"/>
      <c r="IK227" s="273"/>
      <c r="IL227" s="273"/>
      <c r="IM227" s="273"/>
      <c r="IN227" s="273"/>
      <c r="IO227" s="265"/>
      <c r="IP227" s="273"/>
      <c r="IQ227" s="273"/>
      <c r="IR227" s="273"/>
      <c r="IS227" s="273"/>
      <c r="IT227" s="273"/>
      <c r="IU227" s="265"/>
      <c r="IV227" s="273"/>
    </row>
    <row r="228" spans="1:256" ht="15.6">
      <c r="A228" s="282"/>
      <c r="B228" s="273"/>
      <c r="C228" s="414"/>
      <c r="D228" s="273"/>
      <c r="E228" s="290"/>
      <c r="F228" s="285"/>
      <c r="G228" s="805"/>
      <c r="H228" s="314"/>
      <c r="I228" s="314"/>
      <c r="J228" s="313"/>
      <c r="K228" s="703" t="s">
        <v>54</v>
      </c>
      <c r="L228" s="313"/>
      <c r="M228" s="313"/>
      <c r="N228" s="313"/>
      <c r="O228" s="979">
        <v>0</v>
      </c>
      <c r="P228" s="313"/>
      <c r="Q228" s="704"/>
      <c r="R228" s="313"/>
      <c r="S228" s="430"/>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73"/>
      <c r="BQ228" s="265"/>
      <c r="BR228" s="273"/>
      <c r="BS228" s="273"/>
      <c r="BT228" s="273"/>
      <c r="BU228" s="273"/>
      <c r="BV228" s="273"/>
      <c r="BW228" s="265"/>
      <c r="BX228" s="273"/>
      <c r="BY228" s="273"/>
      <c r="BZ228" s="273"/>
      <c r="CA228" s="273"/>
      <c r="CB228" s="273"/>
      <c r="CC228" s="265"/>
      <c r="CD228" s="273"/>
      <c r="CE228" s="273"/>
      <c r="CF228" s="273"/>
      <c r="CG228" s="273"/>
      <c r="CH228" s="273"/>
      <c r="CI228" s="265"/>
      <c r="CJ228" s="273"/>
      <c r="CK228" s="273"/>
      <c r="CL228" s="273"/>
      <c r="CM228" s="273"/>
      <c r="CN228" s="273"/>
      <c r="CO228" s="265"/>
      <c r="CP228" s="273"/>
      <c r="CQ228" s="273"/>
      <c r="CR228" s="273"/>
      <c r="CS228" s="273"/>
      <c r="CT228" s="273"/>
      <c r="CU228" s="265"/>
      <c r="CV228" s="273"/>
      <c r="CW228" s="273"/>
      <c r="CX228" s="273"/>
      <c r="CY228" s="273"/>
      <c r="CZ228" s="273"/>
      <c r="DA228" s="265"/>
      <c r="DB228" s="273"/>
      <c r="DC228" s="273"/>
      <c r="DD228" s="273"/>
      <c r="DE228" s="273"/>
      <c r="DF228" s="273"/>
      <c r="DG228" s="265"/>
      <c r="DH228" s="273"/>
      <c r="DI228" s="273"/>
      <c r="DJ228" s="273"/>
      <c r="DK228" s="273"/>
      <c r="DL228" s="273"/>
      <c r="DM228" s="265"/>
      <c r="DN228" s="273"/>
      <c r="DO228" s="273"/>
      <c r="DP228" s="273"/>
      <c r="DQ228" s="273"/>
      <c r="DR228" s="273"/>
      <c r="DS228" s="265"/>
      <c r="DT228" s="273"/>
      <c r="DU228" s="273"/>
      <c r="DV228" s="273"/>
      <c r="DW228" s="273"/>
      <c r="DX228" s="273"/>
      <c r="DY228" s="265"/>
      <c r="DZ228" s="273"/>
      <c r="EA228" s="273"/>
      <c r="EB228" s="273"/>
      <c r="EC228" s="273"/>
      <c r="ED228" s="273"/>
      <c r="EE228" s="265"/>
      <c r="EF228" s="273"/>
      <c r="EG228" s="273"/>
      <c r="EH228" s="273"/>
      <c r="EI228" s="273"/>
      <c r="EJ228" s="273"/>
      <c r="EK228" s="265"/>
      <c r="EL228" s="273"/>
      <c r="EM228" s="273"/>
      <c r="EN228" s="273"/>
      <c r="EO228" s="273"/>
      <c r="EP228" s="273"/>
      <c r="EQ228" s="265"/>
      <c r="ER228" s="273"/>
      <c r="ES228" s="273"/>
      <c r="ET228" s="273"/>
      <c r="EU228" s="273"/>
      <c r="EV228" s="273"/>
      <c r="EW228" s="265"/>
      <c r="EX228" s="273"/>
      <c r="EY228" s="273"/>
      <c r="EZ228" s="273"/>
      <c r="FA228" s="273"/>
      <c r="FB228" s="273"/>
      <c r="FC228" s="265"/>
      <c r="FD228" s="273"/>
      <c r="FE228" s="273"/>
      <c r="FF228" s="273"/>
      <c r="FG228" s="273"/>
      <c r="FH228" s="273"/>
      <c r="FI228" s="265"/>
      <c r="FJ228" s="273"/>
      <c r="FK228" s="273"/>
      <c r="FL228" s="273"/>
      <c r="FM228" s="273"/>
      <c r="FN228" s="273"/>
      <c r="FO228" s="265"/>
      <c r="FP228" s="273"/>
      <c r="FQ228" s="273"/>
      <c r="FR228" s="273"/>
      <c r="FS228" s="273"/>
      <c r="FT228" s="273"/>
      <c r="FU228" s="265"/>
      <c r="FV228" s="273"/>
      <c r="FW228" s="273"/>
      <c r="FX228" s="273"/>
      <c r="FY228" s="273"/>
      <c r="FZ228" s="273"/>
      <c r="GA228" s="265"/>
      <c r="GB228" s="273"/>
      <c r="GC228" s="273"/>
      <c r="GD228" s="273"/>
      <c r="GE228" s="273"/>
      <c r="GF228" s="273"/>
      <c r="GG228" s="265"/>
      <c r="GH228" s="273"/>
      <c r="GI228" s="273"/>
      <c r="GJ228" s="273"/>
      <c r="GK228" s="273"/>
      <c r="GL228" s="273"/>
      <c r="GM228" s="265"/>
      <c r="GN228" s="273"/>
      <c r="GO228" s="273"/>
      <c r="GP228" s="273"/>
      <c r="GQ228" s="273"/>
      <c r="GR228" s="273"/>
      <c r="GS228" s="265"/>
      <c r="GT228" s="273"/>
      <c r="GU228" s="273"/>
      <c r="GV228" s="273"/>
      <c r="GW228" s="273"/>
      <c r="GX228" s="273"/>
      <c r="GY228" s="265"/>
      <c r="GZ228" s="273"/>
      <c r="HA228" s="273"/>
      <c r="HB228" s="273"/>
      <c r="HC228" s="273"/>
      <c r="HD228" s="273"/>
      <c r="HE228" s="265"/>
      <c r="HF228" s="273"/>
      <c r="HG228" s="273"/>
      <c r="HH228" s="273"/>
      <c r="HI228" s="273"/>
      <c r="HJ228" s="273"/>
      <c r="HK228" s="265"/>
      <c r="HL228" s="273"/>
      <c r="HM228" s="273"/>
      <c r="HN228" s="273"/>
      <c r="HO228" s="273"/>
      <c r="HP228" s="273"/>
      <c r="HQ228" s="265"/>
      <c r="HR228" s="273"/>
      <c r="HS228" s="273"/>
      <c r="HT228" s="273"/>
      <c r="HU228" s="273"/>
      <c r="HV228" s="273"/>
      <c r="HW228" s="265"/>
      <c r="HX228" s="273"/>
      <c r="HY228" s="273"/>
      <c r="HZ228" s="273"/>
      <c r="IA228" s="273"/>
      <c r="IB228" s="273"/>
      <c r="IC228" s="265"/>
      <c r="ID228" s="273"/>
      <c r="IE228" s="273"/>
      <c r="IF228" s="273"/>
      <c r="IG228" s="273"/>
      <c r="IH228" s="273"/>
      <c r="II228" s="265"/>
      <c r="IJ228" s="273"/>
      <c r="IK228" s="273"/>
      <c r="IL228" s="273"/>
      <c r="IM228" s="273"/>
      <c r="IN228" s="273"/>
      <c r="IO228" s="265"/>
      <c r="IP228" s="273"/>
      <c r="IQ228" s="273"/>
      <c r="IR228" s="273"/>
      <c r="IS228" s="273"/>
      <c r="IT228" s="273"/>
      <c r="IU228" s="265"/>
      <c r="IV228" s="273"/>
    </row>
    <row r="229" spans="1:256" ht="15.6">
      <c r="A229" s="282"/>
      <c r="B229" s="273"/>
      <c r="C229" s="414"/>
      <c r="D229" s="273"/>
      <c r="E229" s="290"/>
      <c r="F229" s="285"/>
      <c r="G229" s="805"/>
      <c r="H229" s="314"/>
      <c r="I229" s="314"/>
      <c r="J229" s="313"/>
      <c r="K229" s="703" t="s">
        <v>55</v>
      </c>
      <c r="L229" s="313"/>
      <c r="M229" s="313"/>
      <c r="N229" s="313"/>
      <c r="O229" s="980">
        <v>0</v>
      </c>
      <c r="P229" s="313"/>
      <c r="Q229" s="704"/>
      <c r="R229" s="313"/>
      <c r="S229" s="430"/>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73"/>
      <c r="BQ229" s="265"/>
      <c r="BR229" s="273"/>
      <c r="BS229" s="273"/>
      <c r="BT229" s="273"/>
      <c r="BU229" s="273"/>
      <c r="BV229" s="273"/>
      <c r="BW229" s="265"/>
      <c r="BX229" s="273"/>
      <c r="BY229" s="273"/>
      <c r="BZ229" s="273"/>
      <c r="CA229" s="273"/>
      <c r="CB229" s="273"/>
      <c r="CC229" s="265"/>
      <c r="CD229" s="273"/>
      <c r="CE229" s="273"/>
      <c r="CF229" s="273"/>
      <c r="CG229" s="273"/>
      <c r="CH229" s="273"/>
      <c r="CI229" s="265"/>
      <c r="CJ229" s="273"/>
      <c r="CK229" s="273"/>
      <c r="CL229" s="273"/>
      <c r="CM229" s="273"/>
      <c r="CN229" s="273"/>
      <c r="CO229" s="265"/>
      <c r="CP229" s="273"/>
      <c r="CQ229" s="273"/>
      <c r="CR229" s="273"/>
      <c r="CS229" s="273"/>
      <c r="CT229" s="273"/>
      <c r="CU229" s="265"/>
      <c r="CV229" s="273"/>
      <c r="CW229" s="273"/>
      <c r="CX229" s="273"/>
      <c r="CY229" s="273"/>
      <c r="CZ229" s="273"/>
      <c r="DA229" s="265"/>
      <c r="DB229" s="273"/>
      <c r="DC229" s="273"/>
      <c r="DD229" s="273"/>
      <c r="DE229" s="273"/>
      <c r="DF229" s="273"/>
      <c r="DG229" s="265"/>
      <c r="DH229" s="273"/>
      <c r="DI229" s="273"/>
      <c r="DJ229" s="273"/>
      <c r="DK229" s="273"/>
      <c r="DL229" s="273"/>
      <c r="DM229" s="265"/>
      <c r="DN229" s="273"/>
      <c r="DO229" s="273"/>
      <c r="DP229" s="273"/>
      <c r="DQ229" s="273"/>
      <c r="DR229" s="273"/>
      <c r="DS229" s="265"/>
      <c r="DT229" s="273"/>
      <c r="DU229" s="273"/>
      <c r="DV229" s="273"/>
      <c r="DW229" s="273"/>
      <c r="DX229" s="273"/>
      <c r="DY229" s="265"/>
      <c r="DZ229" s="273"/>
      <c r="EA229" s="273"/>
      <c r="EB229" s="273"/>
      <c r="EC229" s="273"/>
      <c r="ED229" s="273"/>
      <c r="EE229" s="265"/>
      <c r="EF229" s="273"/>
      <c r="EG229" s="273"/>
      <c r="EH229" s="273"/>
      <c r="EI229" s="273"/>
      <c r="EJ229" s="273"/>
      <c r="EK229" s="265"/>
      <c r="EL229" s="273"/>
      <c r="EM229" s="273"/>
      <c r="EN229" s="273"/>
      <c r="EO229" s="273"/>
      <c r="EP229" s="273"/>
      <c r="EQ229" s="265"/>
      <c r="ER229" s="273"/>
      <c r="ES229" s="273"/>
      <c r="ET229" s="273"/>
      <c r="EU229" s="273"/>
      <c r="EV229" s="273"/>
      <c r="EW229" s="265"/>
      <c r="EX229" s="273"/>
      <c r="EY229" s="273"/>
      <c r="EZ229" s="273"/>
      <c r="FA229" s="273"/>
      <c r="FB229" s="273"/>
      <c r="FC229" s="265"/>
      <c r="FD229" s="273"/>
      <c r="FE229" s="273"/>
      <c r="FF229" s="273"/>
      <c r="FG229" s="273"/>
      <c r="FH229" s="273"/>
      <c r="FI229" s="265"/>
      <c r="FJ229" s="273"/>
      <c r="FK229" s="273"/>
      <c r="FL229" s="273"/>
      <c r="FM229" s="273"/>
      <c r="FN229" s="273"/>
      <c r="FO229" s="265"/>
      <c r="FP229" s="273"/>
      <c r="FQ229" s="273"/>
      <c r="FR229" s="273"/>
      <c r="FS229" s="273"/>
      <c r="FT229" s="273"/>
      <c r="FU229" s="265"/>
      <c r="FV229" s="273"/>
      <c r="FW229" s="273"/>
      <c r="FX229" s="273"/>
      <c r="FY229" s="273"/>
      <c r="FZ229" s="273"/>
      <c r="GA229" s="265"/>
      <c r="GB229" s="273"/>
      <c r="GC229" s="273"/>
      <c r="GD229" s="273"/>
      <c r="GE229" s="273"/>
      <c r="GF229" s="273"/>
      <c r="GG229" s="265"/>
      <c r="GH229" s="273"/>
      <c r="GI229" s="273"/>
      <c r="GJ229" s="273"/>
      <c r="GK229" s="273"/>
      <c r="GL229" s="273"/>
      <c r="GM229" s="265"/>
      <c r="GN229" s="273"/>
      <c r="GO229" s="273"/>
      <c r="GP229" s="273"/>
      <c r="GQ229" s="273"/>
      <c r="GR229" s="273"/>
      <c r="GS229" s="265"/>
      <c r="GT229" s="273"/>
      <c r="GU229" s="273"/>
      <c r="GV229" s="273"/>
      <c r="GW229" s="273"/>
      <c r="GX229" s="273"/>
      <c r="GY229" s="265"/>
      <c r="GZ229" s="273"/>
      <c r="HA229" s="273"/>
      <c r="HB229" s="273"/>
      <c r="HC229" s="273"/>
      <c r="HD229" s="273"/>
      <c r="HE229" s="265"/>
      <c r="HF229" s="273"/>
      <c r="HG229" s="273"/>
      <c r="HH229" s="273"/>
      <c r="HI229" s="273"/>
      <c r="HJ229" s="273"/>
      <c r="HK229" s="265"/>
      <c r="HL229" s="273"/>
      <c r="HM229" s="273"/>
      <c r="HN229" s="273"/>
      <c r="HO229" s="273"/>
      <c r="HP229" s="273"/>
      <c r="HQ229" s="265"/>
      <c r="HR229" s="273"/>
      <c r="HS229" s="273"/>
      <c r="HT229" s="273"/>
      <c r="HU229" s="273"/>
      <c r="HV229" s="273"/>
      <c r="HW229" s="265"/>
      <c r="HX229" s="273"/>
      <c r="HY229" s="273"/>
      <c r="HZ229" s="273"/>
      <c r="IA229" s="273"/>
      <c r="IB229" s="273"/>
      <c r="IC229" s="265"/>
      <c r="ID229" s="273"/>
      <c r="IE229" s="273"/>
      <c r="IF229" s="273"/>
      <c r="IG229" s="273"/>
      <c r="IH229" s="273"/>
      <c r="II229" s="265"/>
      <c r="IJ229" s="273"/>
      <c r="IK229" s="273"/>
      <c r="IL229" s="273"/>
      <c r="IM229" s="273"/>
      <c r="IN229" s="273"/>
      <c r="IO229" s="265"/>
      <c r="IP229" s="273"/>
      <c r="IQ229" s="273"/>
      <c r="IR229" s="273"/>
      <c r="IS229" s="273"/>
      <c r="IT229" s="273"/>
      <c r="IU229" s="265"/>
      <c r="IV229" s="273"/>
    </row>
    <row r="230" spans="1:256" ht="15.6">
      <c r="A230" s="282"/>
      <c r="B230" s="273"/>
      <c r="C230" s="414"/>
      <c r="D230" s="273"/>
      <c r="E230" s="290"/>
      <c r="F230" s="285"/>
      <c r="G230" s="805"/>
      <c r="H230" s="314"/>
      <c r="I230" s="314"/>
      <c r="J230" s="313"/>
      <c r="K230" s="325" t="s">
        <v>603</v>
      </c>
      <c r="L230" s="313"/>
      <c r="M230" s="313"/>
      <c r="N230" s="313"/>
      <c r="O230" s="454">
        <f>SUM(O223:O229)</f>
        <v>0</v>
      </c>
      <c r="P230" s="313"/>
      <c r="Q230" s="704"/>
      <c r="R230" s="313"/>
      <c r="S230" s="430"/>
      <c r="T230" s="273"/>
      <c r="U230" s="273"/>
      <c r="V230" s="273"/>
      <c r="W230" s="273"/>
      <c r="X230" s="273"/>
      <c r="Y230" s="273"/>
      <c r="Z230" s="273"/>
      <c r="AA230" s="273"/>
      <c r="AB230" s="273"/>
      <c r="AC230" s="273"/>
      <c r="AD230" s="273"/>
      <c r="AE230" s="273"/>
      <c r="AF230" s="273"/>
      <c r="AG230" s="273"/>
      <c r="AH230" s="273"/>
      <c r="AI230" s="273"/>
      <c r="AJ230" s="273"/>
      <c r="AK230" s="273"/>
      <c r="AL230" s="273"/>
      <c r="AM230" s="273"/>
      <c r="AN230" s="273"/>
      <c r="AO230" s="273"/>
      <c r="AP230" s="273"/>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73"/>
      <c r="BQ230" s="265"/>
      <c r="BR230" s="273"/>
      <c r="BS230" s="273"/>
      <c r="BT230" s="273"/>
      <c r="BU230" s="273"/>
      <c r="BV230" s="273"/>
      <c r="BW230" s="265"/>
      <c r="BX230" s="273"/>
      <c r="BY230" s="273"/>
      <c r="BZ230" s="273"/>
      <c r="CA230" s="273"/>
      <c r="CB230" s="273"/>
      <c r="CC230" s="265"/>
      <c r="CD230" s="273"/>
      <c r="CE230" s="273"/>
      <c r="CF230" s="273"/>
      <c r="CG230" s="273"/>
      <c r="CH230" s="273"/>
      <c r="CI230" s="265"/>
      <c r="CJ230" s="273"/>
      <c r="CK230" s="273"/>
      <c r="CL230" s="273"/>
      <c r="CM230" s="273"/>
      <c r="CN230" s="273"/>
      <c r="CO230" s="265"/>
      <c r="CP230" s="273"/>
      <c r="CQ230" s="273"/>
      <c r="CR230" s="273"/>
      <c r="CS230" s="273"/>
      <c r="CT230" s="273"/>
      <c r="CU230" s="265"/>
      <c r="CV230" s="273"/>
      <c r="CW230" s="273"/>
      <c r="CX230" s="273"/>
      <c r="CY230" s="273"/>
      <c r="CZ230" s="273"/>
      <c r="DA230" s="265"/>
      <c r="DB230" s="273"/>
      <c r="DC230" s="273"/>
      <c r="DD230" s="273"/>
      <c r="DE230" s="273"/>
      <c r="DF230" s="273"/>
      <c r="DG230" s="265"/>
      <c r="DH230" s="273"/>
      <c r="DI230" s="273"/>
      <c r="DJ230" s="273"/>
      <c r="DK230" s="273"/>
      <c r="DL230" s="273"/>
      <c r="DM230" s="265"/>
      <c r="DN230" s="273"/>
      <c r="DO230" s="273"/>
      <c r="DP230" s="273"/>
      <c r="DQ230" s="273"/>
      <c r="DR230" s="273"/>
      <c r="DS230" s="265"/>
      <c r="DT230" s="273"/>
      <c r="DU230" s="273"/>
      <c r="DV230" s="273"/>
      <c r="DW230" s="273"/>
      <c r="DX230" s="273"/>
      <c r="DY230" s="265"/>
      <c r="DZ230" s="273"/>
      <c r="EA230" s="273"/>
      <c r="EB230" s="273"/>
      <c r="EC230" s="273"/>
      <c r="ED230" s="273"/>
      <c r="EE230" s="265"/>
      <c r="EF230" s="273"/>
      <c r="EG230" s="273"/>
      <c r="EH230" s="273"/>
      <c r="EI230" s="273"/>
      <c r="EJ230" s="273"/>
      <c r="EK230" s="265"/>
      <c r="EL230" s="273"/>
      <c r="EM230" s="273"/>
      <c r="EN230" s="273"/>
      <c r="EO230" s="273"/>
      <c r="EP230" s="273"/>
      <c r="EQ230" s="265"/>
      <c r="ER230" s="273"/>
      <c r="ES230" s="273"/>
      <c r="ET230" s="273"/>
      <c r="EU230" s="273"/>
      <c r="EV230" s="273"/>
      <c r="EW230" s="265"/>
      <c r="EX230" s="273"/>
      <c r="EY230" s="273"/>
      <c r="EZ230" s="273"/>
      <c r="FA230" s="273"/>
      <c r="FB230" s="273"/>
      <c r="FC230" s="265"/>
      <c r="FD230" s="273"/>
      <c r="FE230" s="273"/>
      <c r="FF230" s="273"/>
      <c r="FG230" s="273"/>
      <c r="FH230" s="273"/>
      <c r="FI230" s="265"/>
      <c r="FJ230" s="273"/>
      <c r="FK230" s="273"/>
      <c r="FL230" s="273"/>
      <c r="FM230" s="273"/>
      <c r="FN230" s="273"/>
      <c r="FO230" s="265"/>
      <c r="FP230" s="273"/>
      <c r="FQ230" s="273"/>
      <c r="FR230" s="273"/>
      <c r="FS230" s="273"/>
      <c r="FT230" s="273"/>
      <c r="FU230" s="265"/>
      <c r="FV230" s="273"/>
      <c r="FW230" s="273"/>
      <c r="FX230" s="273"/>
      <c r="FY230" s="273"/>
      <c r="FZ230" s="273"/>
      <c r="GA230" s="265"/>
      <c r="GB230" s="273"/>
      <c r="GC230" s="273"/>
      <c r="GD230" s="273"/>
      <c r="GE230" s="273"/>
      <c r="GF230" s="273"/>
      <c r="GG230" s="265"/>
      <c r="GH230" s="273"/>
      <c r="GI230" s="273"/>
      <c r="GJ230" s="273"/>
      <c r="GK230" s="273"/>
      <c r="GL230" s="273"/>
      <c r="GM230" s="265"/>
      <c r="GN230" s="273"/>
      <c r="GO230" s="273"/>
      <c r="GP230" s="273"/>
      <c r="GQ230" s="273"/>
      <c r="GR230" s="273"/>
      <c r="GS230" s="265"/>
      <c r="GT230" s="273"/>
      <c r="GU230" s="273"/>
      <c r="GV230" s="273"/>
      <c r="GW230" s="273"/>
      <c r="GX230" s="273"/>
      <c r="GY230" s="265"/>
      <c r="GZ230" s="273"/>
      <c r="HA230" s="273"/>
      <c r="HB230" s="273"/>
      <c r="HC230" s="273"/>
      <c r="HD230" s="273"/>
      <c r="HE230" s="265"/>
      <c r="HF230" s="273"/>
      <c r="HG230" s="273"/>
      <c r="HH230" s="273"/>
      <c r="HI230" s="273"/>
      <c r="HJ230" s="273"/>
      <c r="HK230" s="265"/>
      <c r="HL230" s="273"/>
      <c r="HM230" s="273"/>
      <c r="HN230" s="273"/>
      <c r="HO230" s="273"/>
      <c r="HP230" s="273"/>
      <c r="HQ230" s="265"/>
      <c r="HR230" s="273"/>
      <c r="HS230" s="273"/>
      <c r="HT230" s="273"/>
      <c r="HU230" s="273"/>
      <c r="HV230" s="273"/>
      <c r="HW230" s="265"/>
      <c r="HX230" s="273"/>
      <c r="HY230" s="273"/>
      <c r="HZ230" s="273"/>
      <c r="IA230" s="273"/>
      <c r="IB230" s="273"/>
      <c r="IC230" s="265"/>
      <c r="ID230" s="273"/>
      <c r="IE230" s="273"/>
      <c r="IF230" s="273"/>
      <c r="IG230" s="273"/>
      <c r="IH230" s="273"/>
      <c r="II230" s="265"/>
      <c r="IJ230" s="273"/>
      <c r="IK230" s="273"/>
      <c r="IL230" s="273"/>
      <c r="IM230" s="273"/>
      <c r="IN230" s="273"/>
      <c r="IO230" s="265"/>
      <c r="IP230" s="273"/>
      <c r="IQ230" s="273"/>
      <c r="IR230" s="273"/>
      <c r="IS230" s="273"/>
      <c r="IT230" s="273"/>
      <c r="IU230" s="265"/>
      <c r="IV230" s="273"/>
    </row>
    <row r="231" spans="1:256" ht="15.6">
      <c r="A231" s="282"/>
      <c r="B231" s="273"/>
      <c r="C231" s="414"/>
      <c r="D231" s="273"/>
      <c r="E231" s="290"/>
      <c r="F231" s="285"/>
      <c r="G231" s="805"/>
      <c r="H231" s="314"/>
      <c r="I231" s="314"/>
      <c r="J231" s="313"/>
      <c r="K231" s="325"/>
      <c r="L231" s="313"/>
      <c r="M231" s="313"/>
      <c r="N231" s="313"/>
      <c r="O231" s="705"/>
      <c r="P231" s="313"/>
      <c r="Q231" s="313"/>
      <c r="R231" s="313"/>
      <c r="S231" s="430"/>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73"/>
      <c r="BQ231" s="265"/>
      <c r="BR231" s="273"/>
      <c r="BS231" s="273"/>
      <c r="BT231" s="273"/>
      <c r="BU231" s="273"/>
      <c r="BV231" s="273"/>
      <c r="BW231" s="265"/>
      <c r="BX231" s="273"/>
      <c r="BY231" s="273"/>
      <c r="BZ231" s="273"/>
      <c r="CA231" s="273"/>
      <c r="CB231" s="273"/>
      <c r="CC231" s="265"/>
      <c r="CD231" s="273"/>
      <c r="CE231" s="273"/>
      <c r="CF231" s="273"/>
      <c r="CG231" s="273"/>
      <c r="CH231" s="273"/>
      <c r="CI231" s="265"/>
      <c r="CJ231" s="273"/>
      <c r="CK231" s="273"/>
      <c r="CL231" s="273"/>
      <c r="CM231" s="273"/>
      <c r="CN231" s="273"/>
      <c r="CO231" s="265"/>
      <c r="CP231" s="273"/>
      <c r="CQ231" s="273"/>
      <c r="CR231" s="273"/>
      <c r="CS231" s="273"/>
      <c r="CT231" s="273"/>
      <c r="CU231" s="265"/>
      <c r="CV231" s="273"/>
      <c r="CW231" s="273"/>
      <c r="CX231" s="273"/>
      <c r="CY231" s="273"/>
      <c r="CZ231" s="273"/>
      <c r="DA231" s="265"/>
      <c r="DB231" s="273"/>
      <c r="DC231" s="273"/>
      <c r="DD231" s="273"/>
      <c r="DE231" s="273"/>
      <c r="DF231" s="273"/>
      <c r="DG231" s="265"/>
      <c r="DH231" s="273"/>
      <c r="DI231" s="273"/>
      <c r="DJ231" s="273"/>
      <c r="DK231" s="273"/>
      <c r="DL231" s="273"/>
      <c r="DM231" s="265"/>
      <c r="DN231" s="273"/>
      <c r="DO231" s="273"/>
      <c r="DP231" s="273"/>
      <c r="DQ231" s="273"/>
      <c r="DR231" s="273"/>
      <c r="DS231" s="265"/>
      <c r="DT231" s="273"/>
      <c r="DU231" s="273"/>
      <c r="DV231" s="273"/>
      <c r="DW231" s="273"/>
      <c r="DX231" s="273"/>
      <c r="DY231" s="265"/>
      <c r="DZ231" s="273"/>
      <c r="EA231" s="273"/>
      <c r="EB231" s="273"/>
      <c r="EC231" s="273"/>
      <c r="ED231" s="273"/>
      <c r="EE231" s="265"/>
      <c r="EF231" s="273"/>
      <c r="EG231" s="273"/>
      <c r="EH231" s="273"/>
      <c r="EI231" s="273"/>
      <c r="EJ231" s="273"/>
      <c r="EK231" s="265"/>
      <c r="EL231" s="273"/>
      <c r="EM231" s="273"/>
      <c r="EN231" s="273"/>
      <c r="EO231" s="273"/>
      <c r="EP231" s="273"/>
      <c r="EQ231" s="265"/>
      <c r="ER231" s="273"/>
      <c r="ES231" s="273"/>
      <c r="ET231" s="273"/>
      <c r="EU231" s="273"/>
      <c r="EV231" s="273"/>
      <c r="EW231" s="265"/>
      <c r="EX231" s="273"/>
      <c r="EY231" s="273"/>
      <c r="EZ231" s="273"/>
      <c r="FA231" s="273"/>
      <c r="FB231" s="273"/>
      <c r="FC231" s="265"/>
      <c r="FD231" s="273"/>
      <c r="FE231" s="273"/>
      <c r="FF231" s="273"/>
      <c r="FG231" s="273"/>
      <c r="FH231" s="273"/>
      <c r="FI231" s="265"/>
      <c r="FJ231" s="273"/>
      <c r="FK231" s="273"/>
      <c r="FL231" s="273"/>
      <c r="FM231" s="273"/>
      <c r="FN231" s="273"/>
      <c r="FO231" s="265"/>
      <c r="FP231" s="273"/>
      <c r="FQ231" s="273"/>
      <c r="FR231" s="273"/>
      <c r="FS231" s="273"/>
      <c r="FT231" s="273"/>
      <c r="FU231" s="265"/>
      <c r="FV231" s="273"/>
      <c r="FW231" s="273"/>
      <c r="FX231" s="273"/>
      <c r="FY231" s="273"/>
      <c r="FZ231" s="273"/>
      <c r="GA231" s="265"/>
      <c r="GB231" s="273"/>
      <c r="GC231" s="273"/>
      <c r="GD231" s="273"/>
      <c r="GE231" s="273"/>
      <c r="GF231" s="273"/>
      <c r="GG231" s="265"/>
      <c r="GH231" s="273"/>
      <c r="GI231" s="273"/>
      <c r="GJ231" s="273"/>
      <c r="GK231" s="273"/>
      <c r="GL231" s="273"/>
      <c r="GM231" s="265"/>
      <c r="GN231" s="273"/>
      <c r="GO231" s="273"/>
      <c r="GP231" s="273"/>
      <c r="GQ231" s="273"/>
      <c r="GR231" s="273"/>
      <c r="GS231" s="265"/>
      <c r="GT231" s="273"/>
      <c r="GU231" s="273"/>
      <c r="GV231" s="273"/>
      <c r="GW231" s="273"/>
      <c r="GX231" s="273"/>
      <c r="GY231" s="265"/>
      <c r="GZ231" s="273"/>
      <c r="HA231" s="273"/>
      <c r="HB231" s="273"/>
      <c r="HC231" s="273"/>
      <c r="HD231" s="273"/>
      <c r="HE231" s="265"/>
      <c r="HF231" s="273"/>
      <c r="HG231" s="273"/>
      <c r="HH231" s="273"/>
      <c r="HI231" s="273"/>
      <c r="HJ231" s="273"/>
      <c r="HK231" s="265"/>
      <c r="HL231" s="273"/>
      <c r="HM231" s="273"/>
      <c r="HN231" s="273"/>
      <c r="HO231" s="273"/>
      <c r="HP231" s="273"/>
      <c r="HQ231" s="265"/>
      <c r="HR231" s="273"/>
      <c r="HS231" s="273"/>
      <c r="HT231" s="273"/>
      <c r="HU231" s="273"/>
      <c r="HV231" s="273"/>
      <c r="HW231" s="265"/>
      <c r="HX231" s="273"/>
      <c r="HY231" s="273"/>
      <c r="HZ231" s="273"/>
      <c r="IA231" s="273"/>
      <c r="IB231" s="273"/>
      <c r="IC231" s="265"/>
      <c r="ID231" s="273"/>
      <c r="IE231" s="273"/>
      <c r="IF231" s="273"/>
      <c r="IG231" s="273"/>
      <c r="IH231" s="273"/>
      <c r="II231" s="265"/>
      <c r="IJ231" s="273"/>
      <c r="IK231" s="273"/>
      <c r="IL231" s="273"/>
      <c r="IM231" s="273"/>
      <c r="IN231" s="273"/>
      <c r="IO231" s="265"/>
      <c r="IP231" s="273"/>
      <c r="IQ231" s="273"/>
      <c r="IR231" s="273"/>
      <c r="IS231" s="273"/>
      <c r="IT231" s="273"/>
      <c r="IU231" s="265"/>
      <c r="IV231" s="273"/>
    </row>
    <row r="232" spans="1:256" ht="15.6">
      <c r="A232" s="282"/>
      <c r="B232" s="273"/>
      <c r="C232" s="414"/>
      <c r="D232" s="273"/>
      <c r="E232" s="290"/>
      <c r="F232" s="285"/>
      <c r="G232" s="805"/>
      <c r="H232" s="314"/>
      <c r="I232" s="314"/>
      <c r="J232" s="313"/>
      <c r="K232" s="703" t="s">
        <v>56</v>
      </c>
      <c r="L232" s="313"/>
      <c r="M232" s="313"/>
      <c r="N232" s="313"/>
      <c r="O232" s="705"/>
      <c r="P232" s="313"/>
      <c r="Q232" s="313"/>
      <c r="R232" s="313"/>
      <c r="S232" s="430"/>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73"/>
      <c r="BQ232" s="265"/>
      <c r="BR232" s="273"/>
      <c r="BS232" s="273"/>
      <c r="BT232" s="273"/>
      <c r="BU232" s="273"/>
      <c r="BV232" s="273"/>
      <c r="BW232" s="265"/>
      <c r="BX232" s="273"/>
      <c r="BY232" s="273"/>
      <c r="BZ232" s="273"/>
      <c r="CA232" s="273"/>
      <c r="CB232" s="273"/>
      <c r="CC232" s="265"/>
      <c r="CD232" s="273"/>
      <c r="CE232" s="273"/>
      <c r="CF232" s="273"/>
      <c r="CG232" s="273"/>
      <c r="CH232" s="273"/>
      <c r="CI232" s="265"/>
      <c r="CJ232" s="273"/>
      <c r="CK232" s="273"/>
      <c r="CL232" s="273"/>
      <c r="CM232" s="273"/>
      <c r="CN232" s="273"/>
      <c r="CO232" s="265"/>
      <c r="CP232" s="273"/>
      <c r="CQ232" s="273"/>
      <c r="CR232" s="273"/>
      <c r="CS232" s="273"/>
      <c r="CT232" s="273"/>
      <c r="CU232" s="265"/>
      <c r="CV232" s="273"/>
      <c r="CW232" s="273"/>
      <c r="CX232" s="273"/>
      <c r="CY232" s="273"/>
      <c r="CZ232" s="273"/>
      <c r="DA232" s="265"/>
      <c r="DB232" s="273"/>
      <c r="DC232" s="273"/>
      <c r="DD232" s="273"/>
      <c r="DE232" s="273"/>
      <c r="DF232" s="273"/>
      <c r="DG232" s="265"/>
      <c r="DH232" s="273"/>
      <c r="DI232" s="273"/>
      <c r="DJ232" s="273"/>
      <c r="DK232" s="273"/>
      <c r="DL232" s="273"/>
      <c r="DM232" s="265"/>
      <c r="DN232" s="273"/>
      <c r="DO232" s="273"/>
      <c r="DP232" s="273"/>
      <c r="DQ232" s="273"/>
      <c r="DR232" s="273"/>
      <c r="DS232" s="265"/>
      <c r="DT232" s="273"/>
      <c r="DU232" s="273"/>
      <c r="DV232" s="273"/>
      <c r="DW232" s="273"/>
      <c r="DX232" s="273"/>
      <c r="DY232" s="265"/>
      <c r="DZ232" s="273"/>
      <c r="EA232" s="273"/>
      <c r="EB232" s="273"/>
      <c r="EC232" s="273"/>
      <c r="ED232" s="273"/>
      <c r="EE232" s="265"/>
      <c r="EF232" s="273"/>
      <c r="EG232" s="273"/>
      <c r="EH232" s="273"/>
      <c r="EI232" s="273"/>
      <c r="EJ232" s="273"/>
      <c r="EK232" s="265"/>
      <c r="EL232" s="273"/>
      <c r="EM232" s="273"/>
      <c r="EN232" s="273"/>
      <c r="EO232" s="273"/>
      <c r="EP232" s="273"/>
      <c r="EQ232" s="265"/>
      <c r="ER232" s="273"/>
      <c r="ES232" s="273"/>
      <c r="ET232" s="273"/>
      <c r="EU232" s="273"/>
      <c r="EV232" s="273"/>
      <c r="EW232" s="265"/>
      <c r="EX232" s="273"/>
      <c r="EY232" s="273"/>
      <c r="EZ232" s="273"/>
      <c r="FA232" s="273"/>
      <c r="FB232" s="273"/>
      <c r="FC232" s="265"/>
      <c r="FD232" s="273"/>
      <c r="FE232" s="273"/>
      <c r="FF232" s="273"/>
      <c r="FG232" s="273"/>
      <c r="FH232" s="273"/>
      <c r="FI232" s="265"/>
      <c r="FJ232" s="273"/>
      <c r="FK232" s="273"/>
      <c r="FL232" s="273"/>
      <c r="FM232" s="273"/>
      <c r="FN232" s="273"/>
      <c r="FO232" s="265"/>
      <c r="FP232" s="273"/>
      <c r="FQ232" s="273"/>
      <c r="FR232" s="273"/>
      <c r="FS232" s="273"/>
      <c r="FT232" s="273"/>
      <c r="FU232" s="265"/>
      <c r="FV232" s="273"/>
      <c r="FW232" s="273"/>
      <c r="FX232" s="273"/>
      <c r="FY232" s="273"/>
      <c r="FZ232" s="273"/>
      <c r="GA232" s="265"/>
      <c r="GB232" s="273"/>
      <c r="GC232" s="273"/>
      <c r="GD232" s="273"/>
      <c r="GE232" s="273"/>
      <c r="GF232" s="273"/>
      <c r="GG232" s="265"/>
      <c r="GH232" s="273"/>
      <c r="GI232" s="273"/>
      <c r="GJ232" s="273"/>
      <c r="GK232" s="273"/>
      <c r="GL232" s="273"/>
      <c r="GM232" s="265"/>
      <c r="GN232" s="273"/>
      <c r="GO232" s="273"/>
      <c r="GP232" s="273"/>
      <c r="GQ232" s="273"/>
      <c r="GR232" s="273"/>
      <c r="GS232" s="265"/>
      <c r="GT232" s="273"/>
      <c r="GU232" s="273"/>
      <c r="GV232" s="273"/>
      <c r="GW232" s="273"/>
      <c r="GX232" s="273"/>
      <c r="GY232" s="265"/>
      <c r="GZ232" s="273"/>
      <c r="HA232" s="273"/>
      <c r="HB232" s="273"/>
      <c r="HC232" s="273"/>
      <c r="HD232" s="273"/>
      <c r="HE232" s="265"/>
      <c r="HF232" s="273"/>
      <c r="HG232" s="273"/>
      <c r="HH232" s="273"/>
      <c r="HI232" s="273"/>
      <c r="HJ232" s="273"/>
      <c r="HK232" s="265"/>
      <c r="HL232" s="273"/>
      <c r="HM232" s="273"/>
      <c r="HN232" s="273"/>
      <c r="HO232" s="273"/>
      <c r="HP232" s="273"/>
      <c r="HQ232" s="265"/>
      <c r="HR232" s="273"/>
      <c r="HS232" s="273"/>
      <c r="HT232" s="273"/>
      <c r="HU232" s="273"/>
      <c r="HV232" s="273"/>
      <c r="HW232" s="265"/>
      <c r="HX232" s="273"/>
      <c r="HY232" s="273"/>
      <c r="HZ232" s="273"/>
      <c r="IA232" s="273"/>
      <c r="IB232" s="273"/>
      <c r="IC232" s="265"/>
      <c r="ID232" s="273"/>
      <c r="IE232" s="273"/>
      <c r="IF232" s="273"/>
      <c r="IG232" s="273"/>
      <c r="IH232" s="273"/>
      <c r="II232" s="265"/>
      <c r="IJ232" s="273"/>
      <c r="IK232" s="273"/>
      <c r="IL232" s="273"/>
      <c r="IM232" s="273"/>
      <c r="IN232" s="273"/>
      <c r="IO232" s="265"/>
      <c r="IP232" s="273"/>
      <c r="IQ232" s="273"/>
      <c r="IR232" s="273"/>
      <c r="IS232" s="273"/>
      <c r="IT232" s="273"/>
      <c r="IU232" s="265"/>
      <c r="IV232" s="273"/>
    </row>
    <row r="233" spans="1:256" ht="15.6">
      <c r="A233" s="282"/>
      <c r="B233" s="273"/>
      <c r="C233" s="414"/>
      <c r="D233" s="273"/>
      <c r="E233" s="290"/>
      <c r="F233" s="285"/>
      <c r="G233" s="805"/>
      <c r="H233" s="314"/>
      <c r="I233" s="314"/>
      <c r="J233" s="313"/>
      <c r="K233" s="703" t="s">
        <v>57</v>
      </c>
      <c r="L233" s="313"/>
      <c r="M233" s="313"/>
      <c r="N233" s="313"/>
      <c r="O233" s="313"/>
      <c r="P233" s="313"/>
      <c r="Q233" s="313"/>
      <c r="R233" s="313"/>
      <c r="S233" s="430"/>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73"/>
      <c r="BQ233" s="265"/>
      <c r="BR233" s="273"/>
      <c r="BS233" s="273"/>
      <c r="BT233" s="273"/>
      <c r="BU233" s="273"/>
      <c r="BV233" s="273"/>
      <c r="BW233" s="265"/>
      <c r="BX233" s="273"/>
      <c r="BY233" s="273"/>
      <c r="BZ233" s="273"/>
      <c r="CA233" s="273"/>
      <c r="CB233" s="273"/>
      <c r="CC233" s="265"/>
      <c r="CD233" s="273"/>
      <c r="CE233" s="273"/>
      <c r="CF233" s="273"/>
      <c r="CG233" s="273"/>
      <c r="CH233" s="273"/>
      <c r="CI233" s="265"/>
      <c r="CJ233" s="273"/>
      <c r="CK233" s="273"/>
      <c r="CL233" s="273"/>
      <c r="CM233" s="273"/>
      <c r="CN233" s="273"/>
      <c r="CO233" s="265"/>
      <c r="CP233" s="273"/>
      <c r="CQ233" s="273"/>
      <c r="CR233" s="273"/>
      <c r="CS233" s="273"/>
      <c r="CT233" s="273"/>
      <c r="CU233" s="265"/>
      <c r="CV233" s="273"/>
      <c r="CW233" s="273"/>
      <c r="CX233" s="273"/>
      <c r="CY233" s="273"/>
      <c r="CZ233" s="273"/>
      <c r="DA233" s="265"/>
      <c r="DB233" s="273"/>
      <c r="DC233" s="273"/>
      <c r="DD233" s="273"/>
      <c r="DE233" s="273"/>
      <c r="DF233" s="273"/>
      <c r="DG233" s="265"/>
      <c r="DH233" s="273"/>
      <c r="DI233" s="273"/>
      <c r="DJ233" s="273"/>
      <c r="DK233" s="273"/>
      <c r="DL233" s="273"/>
      <c r="DM233" s="265"/>
      <c r="DN233" s="273"/>
      <c r="DO233" s="273"/>
      <c r="DP233" s="273"/>
      <c r="DQ233" s="273"/>
      <c r="DR233" s="273"/>
      <c r="DS233" s="265"/>
      <c r="DT233" s="273"/>
      <c r="DU233" s="273"/>
      <c r="DV233" s="273"/>
      <c r="DW233" s="273"/>
      <c r="DX233" s="273"/>
      <c r="DY233" s="265"/>
      <c r="DZ233" s="273"/>
      <c r="EA233" s="273"/>
      <c r="EB233" s="273"/>
      <c r="EC233" s="273"/>
      <c r="ED233" s="273"/>
      <c r="EE233" s="265"/>
      <c r="EF233" s="273"/>
      <c r="EG233" s="273"/>
      <c r="EH233" s="273"/>
      <c r="EI233" s="273"/>
      <c r="EJ233" s="273"/>
      <c r="EK233" s="265"/>
      <c r="EL233" s="273"/>
      <c r="EM233" s="273"/>
      <c r="EN233" s="273"/>
      <c r="EO233" s="273"/>
      <c r="EP233" s="273"/>
      <c r="EQ233" s="265"/>
      <c r="ER233" s="273"/>
      <c r="ES233" s="273"/>
      <c r="ET233" s="273"/>
      <c r="EU233" s="273"/>
      <c r="EV233" s="273"/>
      <c r="EW233" s="265"/>
      <c r="EX233" s="273"/>
      <c r="EY233" s="273"/>
      <c r="EZ233" s="273"/>
      <c r="FA233" s="273"/>
      <c r="FB233" s="273"/>
      <c r="FC233" s="265"/>
      <c r="FD233" s="273"/>
      <c r="FE233" s="273"/>
      <c r="FF233" s="273"/>
      <c r="FG233" s="273"/>
      <c r="FH233" s="273"/>
      <c r="FI233" s="265"/>
      <c r="FJ233" s="273"/>
      <c r="FK233" s="273"/>
      <c r="FL233" s="273"/>
      <c r="FM233" s="273"/>
      <c r="FN233" s="273"/>
      <c r="FO233" s="265"/>
      <c r="FP233" s="273"/>
      <c r="FQ233" s="273"/>
      <c r="FR233" s="273"/>
      <c r="FS233" s="273"/>
      <c r="FT233" s="273"/>
      <c r="FU233" s="265"/>
      <c r="FV233" s="273"/>
      <c r="FW233" s="273"/>
      <c r="FX233" s="273"/>
      <c r="FY233" s="273"/>
      <c r="FZ233" s="273"/>
      <c r="GA233" s="265"/>
      <c r="GB233" s="273"/>
      <c r="GC233" s="273"/>
      <c r="GD233" s="273"/>
      <c r="GE233" s="273"/>
      <c r="GF233" s="273"/>
      <c r="GG233" s="265"/>
      <c r="GH233" s="273"/>
      <c r="GI233" s="273"/>
      <c r="GJ233" s="273"/>
      <c r="GK233" s="273"/>
      <c r="GL233" s="273"/>
      <c r="GM233" s="265"/>
      <c r="GN233" s="273"/>
      <c r="GO233" s="273"/>
      <c r="GP233" s="273"/>
      <c r="GQ233" s="273"/>
      <c r="GR233" s="273"/>
      <c r="GS233" s="265"/>
      <c r="GT233" s="273"/>
      <c r="GU233" s="273"/>
      <c r="GV233" s="273"/>
      <c r="GW233" s="273"/>
      <c r="GX233" s="273"/>
      <c r="GY233" s="265"/>
      <c r="GZ233" s="273"/>
      <c r="HA233" s="273"/>
      <c r="HB233" s="273"/>
      <c r="HC233" s="273"/>
      <c r="HD233" s="273"/>
      <c r="HE233" s="265"/>
      <c r="HF233" s="273"/>
      <c r="HG233" s="273"/>
      <c r="HH233" s="273"/>
      <c r="HI233" s="273"/>
      <c r="HJ233" s="273"/>
      <c r="HK233" s="265"/>
      <c r="HL233" s="273"/>
      <c r="HM233" s="273"/>
      <c r="HN233" s="273"/>
      <c r="HO233" s="273"/>
      <c r="HP233" s="273"/>
      <c r="HQ233" s="265"/>
      <c r="HR233" s="273"/>
      <c r="HS233" s="273"/>
      <c r="HT233" s="273"/>
      <c r="HU233" s="273"/>
      <c r="HV233" s="273"/>
      <c r="HW233" s="265"/>
      <c r="HX233" s="273"/>
      <c r="HY233" s="273"/>
      <c r="HZ233" s="273"/>
      <c r="IA233" s="273"/>
      <c r="IB233" s="273"/>
      <c r="IC233" s="265"/>
      <c r="ID233" s="273"/>
      <c r="IE233" s="273"/>
      <c r="IF233" s="273"/>
      <c r="IG233" s="273"/>
      <c r="IH233" s="273"/>
      <c r="II233" s="265"/>
      <c r="IJ233" s="273"/>
      <c r="IK233" s="273"/>
      <c r="IL233" s="273"/>
      <c r="IM233" s="273"/>
      <c r="IN233" s="273"/>
      <c r="IO233" s="265"/>
      <c r="IP233" s="273"/>
      <c r="IQ233" s="273"/>
      <c r="IR233" s="273"/>
      <c r="IS233" s="273"/>
      <c r="IT233" s="273"/>
      <c r="IU233" s="265"/>
      <c r="IV233" s="273"/>
    </row>
    <row r="234" spans="1:256" ht="15.6">
      <c r="A234" s="282"/>
      <c r="B234" s="273"/>
      <c r="C234" s="414"/>
      <c r="D234" s="273"/>
      <c r="E234" s="290"/>
      <c r="F234" s="285"/>
      <c r="G234" s="805"/>
      <c r="H234" s="314"/>
      <c r="I234" s="314"/>
      <c r="J234" s="313"/>
      <c r="K234" s="703" t="s">
        <v>58</v>
      </c>
      <c r="L234" s="313"/>
      <c r="M234" s="313"/>
      <c r="N234" s="313"/>
      <c r="O234" s="313"/>
      <c r="P234" s="313"/>
      <c r="Q234" s="313"/>
      <c r="R234" s="313"/>
      <c r="S234" s="430"/>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65"/>
      <c r="BR234" s="273"/>
      <c r="BS234" s="273"/>
      <c r="BT234" s="273"/>
      <c r="BU234" s="273"/>
      <c r="BV234" s="273"/>
      <c r="BW234" s="265"/>
      <c r="BX234" s="273"/>
      <c r="BY234" s="273"/>
      <c r="BZ234" s="273"/>
      <c r="CA234" s="273"/>
      <c r="CB234" s="273"/>
      <c r="CC234" s="265"/>
      <c r="CD234" s="273"/>
      <c r="CE234" s="273"/>
      <c r="CF234" s="273"/>
      <c r="CG234" s="273"/>
      <c r="CH234" s="273"/>
      <c r="CI234" s="265"/>
      <c r="CJ234" s="273"/>
      <c r="CK234" s="273"/>
      <c r="CL234" s="273"/>
      <c r="CM234" s="273"/>
      <c r="CN234" s="273"/>
      <c r="CO234" s="265"/>
      <c r="CP234" s="273"/>
      <c r="CQ234" s="273"/>
      <c r="CR234" s="273"/>
      <c r="CS234" s="273"/>
      <c r="CT234" s="273"/>
      <c r="CU234" s="265"/>
      <c r="CV234" s="273"/>
      <c r="CW234" s="273"/>
      <c r="CX234" s="273"/>
      <c r="CY234" s="273"/>
      <c r="CZ234" s="273"/>
      <c r="DA234" s="265"/>
      <c r="DB234" s="273"/>
      <c r="DC234" s="273"/>
      <c r="DD234" s="273"/>
      <c r="DE234" s="273"/>
      <c r="DF234" s="273"/>
      <c r="DG234" s="265"/>
      <c r="DH234" s="273"/>
      <c r="DI234" s="273"/>
      <c r="DJ234" s="273"/>
      <c r="DK234" s="273"/>
      <c r="DL234" s="273"/>
      <c r="DM234" s="265"/>
      <c r="DN234" s="273"/>
      <c r="DO234" s="273"/>
      <c r="DP234" s="273"/>
      <c r="DQ234" s="273"/>
      <c r="DR234" s="273"/>
      <c r="DS234" s="265"/>
      <c r="DT234" s="273"/>
      <c r="DU234" s="273"/>
      <c r="DV234" s="273"/>
      <c r="DW234" s="273"/>
      <c r="DX234" s="273"/>
      <c r="DY234" s="265"/>
      <c r="DZ234" s="273"/>
      <c r="EA234" s="273"/>
      <c r="EB234" s="273"/>
      <c r="EC234" s="273"/>
      <c r="ED234" s="273"/>
      <c r="EE234" s="265"/>
      <c r="EF234" s="273"/>
      <c r="EG234" s="273"/>
      <c r="EH234" s="273"/>
      <c r="EI234" s="273"/>
      <c r="EJ234" s="273"/>
      <c r="EK234" s="265"/>
      <c r="EL234" s="273"/>
      <c r="EM234" s="273"/>
      <c r="EN234" s="273"/>
      <c r="EO234" s="273"/>
      <c r="EP234" s="273"/>
      <c r="EQ234" s="265"/>
      <c r="ER234" s="273"/>
      <c r="ES234" s="273"/>
      <c r="ET234" s="273"/>
      <c r="EU234" s="273"/>
      <c r="EV234" s="273"/>
      <c r="EW234" s="265"/>
      <c r="EX234" s="273"/>
      <c r="EY234" s="273"/>
      <c r="EZ234" s="273"/>
      <c r="FA234" s="273"/>
      <c r="FB234" s="273"/>
      <c r="FC234" s="265"/>
      <c r="FD234" s="273"/>
      <c r="FE234" s="273"/>
      <c r="FF234" s="273"/>
      <c r="FG234" s="273"/>
      <c r="FH234" s="273"/>
      <c r="FI234" s="265"/>
      <c r="FJ234" s="273"/>
      <c r="FK234" s="273"/>
      <c r="FL234" s="273"/>
      <c r="FM234" s="273"/>
      <c r="FN234" s="273"/>
      <c r="FO234" s="265"/>
      <c r="FP234" s="273"/>
      <c r="FQ234" s="273"/>
      <c r="FR234" s="273"/>
      <c r="FS234" s="273"/>
      <c r="FT234" s="273"/>
      <c r="FU234" s="265"/>
      <c r="FV234" s="273"/>
      <c r="FW234" s="273"/>
      <c r="FX234" s="273"/>
      <c r="FY234" s="273"/>
      <c r="FZ234" s="273"/>
      <c r="GA234" s="265"/>
      <c r="GB234" s="273"/>
      <c r="GC234" s="273"/>
      <c r="GD234" s="273"/>
      <c r="GE234" s="273"/>
      <c r="GF234" s="273"/>
      <c r="GG234" s="265"/>
      <c r="GH234" s="273"/>
      <c r="GI234" s="273"/>
      <c r="GJ234" s="273"/>
      <c r="GK234" s="273"/>
      <c r="GL234" s="273"/>
      <c r="GM234" s="265"/>
      <c r="GN234" s="273"/>
      <c r="GO234" s="273"/>
      <c r="GP234" s="273"/>
      <c r="GQ234" s="273"/>
      <c r="GR234" s="273"/>
      <c r="GS234" s="265"/>
      <c r="GT234" s="273"/>
      <c r="GU234" s="273"/>
      <c r="GV234" s="273"/>
      <c r="GW234" s="273"/>
      <c r="GX234" s="273"/>
      <c r="GY234" s="265"/>
      <c r="GZ234" s="273"/>
      <c r="HA234" s="273"/>
      <c r="HB234" s="273"/>
      <c r="HC234" s="273"/>
      <c r="HD234" s="273"/>
      <c r="HE234" s="265"/>
      <c r="HF234" s="273"/>
      <c r="HG234" s="273"/>
      <c r="HH234" s="273"/>
      <c r="HI234" s="273"/>
      <c r="HJ234" s="273"/>
      <c r="HK234" s="265"/>
      <c r="HL234" s="273"/>
      <c r="HM234" s="273"/>
      <c r="HN234" s="273"/>
      <c r="HO234" s="273"/>
      <c r="HP234" s="273"/>
      <c r="HQ234" s="265"/>
      <c r="HR234" s="273"/>
      <c r="HS234" s="273"/>
      <c r="HT234" s="273"/>
      <c r="HU234" s="273"/>
      <c r="HV234" s="273"/>
      <c r="HW234" s="265"/>
      <c r="HX234" s="273"/>
      <c r="HY234" s="273"/>
      <c r="HZ234" s="273"/>
      <c r="IA234" s="273"/>
      <c r="IB234" s="273"/>
      <c r="IC234" s="265"/>
      <c r="ID234" s="273"/>
      <c r="IE234" s="273"/>
      <c r="IF234" s="273"/>
      <c r="IG234" s="273"/>
      <c r="IH234" s="273"/>
      <c r="II234" s="265"/>
      <c r="IJ234" s="273"/>
      <c r="IK234" s="273"/>
      <c r="IL234" s="273"/>
      <c r="IM234" s="273"/>
      <c r="IN234" s="273"/>
      <c r="IO234" s="265"/>
      <c r="IP234" s="273"/>
      <c r="IQ234" s="273"/>
      <c r="IR234" s="273"/>
      <c r="IS234" s="273"/>
      <c r="IT234" s="273"/>
      <c r="IU234" s="265"/>
      <c r="IV234" s="273"/>
    </row>
    <row r="235" spans="1:256" ht="15.6">
      <c r="A235" s="282"/>
      <c r="B235" s="273"/>
      <c r="C235" s="414"/>
      <c r="D235" s="273"/>
      <c r="E235" s="290"/>
      <c r="F235" s="285"/>
      <c r="G235" s="805"/>
      <c r="H235" s="314"/>
      <c r="I235" s="314"/>
      <c r="J235" s="313"/>
      <c r="K235" s="703" t="s">
        <v>59</v>
      </c>
      <c r="L235" s="313"/>
      <c r="M235" s="313"/>
      <c r="N235" s="313"/>
      <c r="O235" s="313"/>
      <c r="P235" s="313"/>
      <c r="Q235" s="313"/>
      <c r="R235" s="313"/>
      <c r="S235" s="430"/>
      <c r="T235" s="273"/>
      <c r="U235" s="273"/>
      <c r="V235" s="273"/>
      <c r="W235" s="273"/>
      <c r="X235" s="273"/>
      <c r="Y235" s="273"/>
      <c r="Z235" s="273"/>
      <c r="AA235" s="273"/>
      <c r="AB235" s="273"/>
      <c r="AC235" s="273"/>
      <c r="AD235" s="273"/>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73"/>
      <c r="BQ235" s="265"/>
      <c r="BR235" s="273"/>
      <c r="BS235" s="273"/>
      <c r="BT235" s="273"/>
      <c r="BU235" s="273"/>
      <c r="BV235" s="273"/>
      <c r="BW235" s="265"/>
      <c r="BX235" s="273"/>
      <c r="BY235" s="273"/>
      <c r="BZ235" s="273"/>
      <c r="CA235" s="273"/>
      <c r="CB235" s="273"/>
      <c r="CC235" s="265"/>
      <c r="CD235" s="273"/>
      <c r="CE235" s="273"/>
      <c r="CF235" s="273"/>
      <c r="CG235" s="273"/>
      <c r="CH235" s="273"/>
      <c r="CI235" s="265"/>
      <c r="CJ235" s="273"/>
      <c r="CK235" s="273"/>
      <c r="CL235" s="273"/>
      <c r="CM235" s="273"/>
      <c r="CN235" s="273"/>
      <c r="CO235" s="265"/>
      <c r="CP235" s="273"/>
      <c r="CQ235" s="273"/>
      <c r="CR235" s="273"/>
      <c r="CS235" s="273"/>
      <c r="CT235" s="273"/>
      <c r="CU235" s="265"/>
      <c r="CV235" s="273"/>
      <c r="CW235" s="273"/>
      <c r="CX235" s="273"/>
      <c r="CY235" s="273"/>
      <c r="CZ235" s="273"/>
      <c r="DA235" s="265"/>
      <c r="DB235" s="273"/>
      <c r="DC235" s="273"/>
      <c r="DD235" s="273"/>
      <c r="DE235" s="273"/>
      <c r="DF235" s="273"/>
      <c r="DG235" s="265"/>
      <c r="DH235" s="273"/>
      <c r="DI235" s="273"/>
      <c r="DJ235" s="273"/>
      <c r="DK235" s="273"/>
      <c r="DL235" s="273"/>
      <c r="DM235" s="265"/>
      <c r="DN235" s="273"/>
      <c r="DO235" s="273"/>
      <c r="DP235" s="273"/>
      <c r="DQ235" s="273"/>
      <c r="DR235" s="273"/>
      <c r="DS235" s="265"/>
      <c r="DT235" s="273"/>
      <c r="DU235" s="273"/>
      <c r="DV235" s="273"/>
      <c r="DW235" s="273"/>
      <c r="DX235" s="273"/>
      <c r="DY235" s="265"/>
      <c r="DZ235" s="273"/>
      <c r="EA235" s="273"/>
      <c r="EB235" s="273"/>
      <c r="EC235" s="273"/>
      <c r="ED235" s="273"/>
      <c r="EE235" s="265"/>
      <c r="EF235" s="273"/>
      <c r="EG235" s="273"/>
      <c r="EH235" s="273"/>
      <c r="EI235" s="273"/>
      <c r="EJ235" s="273"/>
      <c r="EK235" s="265"/>
      <c r="EL235" s="273"/>
      <c r="EM235" s="273"/>
      <c r="EN235" s="273"/>
      <c r="EO235" s="273"/>
      <c r="EP235" s="273"/>
      <c r="EQ235" s="265"/>
      <c r="ER235" s="273"/>
      <c r="ES235" s="273"/>
      <c r="ET235" s="273"/>
      <c r="EU235" s="273"/>
      <c r="EV235" s="273"/>
      <c r="EW235" s="265"/>
      <c r="EX235" s="273"/>
      <c r="EY235" s="273"/>
      <c r="EZ235" s="273"/>
      <c r="FA235" s="273"/>
      <c r="FB235" s="273"/>
      <c r="FC235" s="265"/>
      <c r="FD235" s="273"/>
      <c r="FE235" s="273"/>
      <c r="FF235" s="273"/>
      <c r="FG235" s="273"/>
      <c r="FH235" s="273"/>
      <c r="FI235" s="265"/>
      <c r="FJ235" s="273"/>
      <c r="FK235" s="273"/>
      <c r="FL235" s="273"/>
      <c r="FM235" s="273"/>
      <c r="FN235" s="273"/>
      <c r="FO235" s="265"/>
      <c r="FP235" s="273"/>
      <c r="FQ235" s="273"/>
      <c r="FR235" s="273"/>
      <c r="FS235" s="273"/>
      <c r="FT235" s="273"/>
      <c r="FU235" s="265"/>
      <c r="FV235" s="273"/>
      <c r="FW235" s="273"/>
      <c r="FX235" s="273"/>
      <c r="FY235" s="273"/>
      <c r="FZ235" s="273"/>
      <c r="GA235" s="265"/>
      <c r="GB235" s="273"/>
      <c r="GC235" s="273"/>
      <c r="GD235" s="273"/>
      <c r="GE235" s="273"/>
      <c r="GF235" s="273"/>
      <c r="GG235" s="265"/>
      <c r="GH235" s="273"/>
      <c r="GI235" s="273"/>
      <c r="GJ235" s="273"/>
      <c r="GK235" s="273"/>
      <c r="GL235" s="273"/>
      <c r="GM235" s="265"/>
      <c r="GN235" s="273"/>
      <c r="GO235" s="273"/>
      <c r="GP235" s="273"/>
      <c r="GQ235" s="273"/>
      <c r="GR235" s="273"/>
      <c r="GS235" s="265"/>
      <c r="GT235" s="273"/>
      <c r="GU235" s="273"/>
      <c r="GV235" s="273"/>
      <c r="GW235" s="273"/>
      <c r="GX235" s="273"/>
      <c r="GY235" s="265"/>
      <c r="GZ235" s="273"/>
      <c r="HA235" s="273"/>
      <c r="HB235" s="273"/>
      <c r="HC235" s="273"/>
      <c r="HD235" s="273"/>
      <c r="HE235" s="265"/>
      <c r="HF235" s="273"/>
      <c r="HG235" s="273"/>
      <c r="HH235" s="273"/>
      <c r="HI235" s="273"/>
      <c r="HJ235" s="273"/>
      <c r="HK235" s="265"/>
      <c r="HL235" s="273"/>
      <c r="HM235" s="273"/>
      <c r="HN235" s="273"/>
      <c r="HO235" s="273"/>
      <c r="HP235" s="273"/>
      <c r="HQ235" s="265"/>
      <c r="HR235" s="273"/>
      <c r="HS235" s="273"/>
      <c r="HT235" s="273"/>
      <c r="HU235" s="273"/>
      <c r="HV235" s="273"/>
      <c r="HW235" s="265"/>
      <c r="HX235" s="273"/>
      <c r="HY235" s="273"/>
      <c r="HZ235" s="273"/>
      <c r="IA235" s="273"/>
      <c r="IB235" s="273"/>
      <c r="IC235" s="265"/>
      <c r="ID235" s="273"/>
      <c r="IE235" s="273"/>
      <c r="IF235" s="273"/>
      <c r="IG235" s="273"/>
      <c r="IH235" s="273"/>
      <c r="II235" s="265"/>
      <c r="IJ235" s="273"/>
      <c r="IK235" s="273"/>
      <c r="IL235" s="273"/>
      <c r="IM235" s="273"/>
      <c r="IN235" s="273"/>
      <c r="IO235" s="265"/>
      <c r="IP235" s="273"/>
      <c r="IQ235" s="273"/>
      <c r="IR235" s="273"/>
      <c r="IS235" s="273"/>
      <c r="IT235" s="273"/>
      <c r="IU235" s="265"/>
      <c r="IV235" s="273"/>
    </row>
    <row r="236" spans="1:256" ht="15.6">
      <c r="A236" s="282"/>
      <c r="B236" s="273"/>
      <c r="C236" s="414"/>
      <c r="D236" s="273"/>
      <c r="E236" s="290"/>
      <c r="F236" s="285"/>
      <c r="G236" s="805"/>
      <c r="H236" s="314"/>
      <c r="I236" s="314"/>
      <c r="J236" s="313"/>
      <c r="K236" s="703" t="s">
        <v>60</v>
      </c>
      <c r="L236" s="313"/>
      <c r="M236" s="313"/>
      <c r="N236" s="313"/>
      <c r="O236" s="313"/>
      <c r="P236" s="313"/>
      <c r="Q236" s="313"/>
      <c r="R236" s="313"/>
      <c r="S236" s="430"/>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73"/>
      <c r="BQ236" s="265"/>
      <c r="BR236" s="273"/>
      <c r="BS236" s="273"/>
      <c r="BT236" s="273"/>
      <c r="BU236" s="273"/>
      <c r="BV236" s="273"/>
      <c r="BW236" s="265"/>
      <c r="BX236" s="273"/>
      <c r="BY236" s="273"/>
      <c r="BZ236" s="273"/>
      <c r="CA236" s="273"/>
      <c r="CB236" s="273"/>
      <c r="CC236" s="265"/>
      <c r="CD236" s="273"/>
      <c r="CE236" s="273"/>
      <c r="CF236" s="273"/>
      <c r="CG236" s="273"/>
      <c r="CH236" s="273"/>
      <c r="CI236" s="265"/>
      <c r="CJ236" s="273"/>
      <c r="CK236" s="273"/>
      <c r="CL236" s="273"/>
      <c r="CM236" s="273"/>
      <c r="CN236" s="273"/>
      <c r="CO236" s="265"/>
      <c r="CP236" s="273"/>
      <c r="CQ236" s="273"/>
      <c r="CR236" s="273"/>
      <c r="CS236" s="273"/>
      <c r="CT236" s="273"/>
      <c r="CU236" s="265"/>
      <c r="CV236" s="273"/>
      <c r="CW236" s="273"/>
      <c r="CX236" s="273"/>
      <c r="CY236" s="273"/>
      <c r="CZ236" s="273"/>
      <c r="DA236" s="265"/>
      <c r="DB236" s="273"/>
      <c r="DC236" s="273"/>
      <c r="DD236" s="273"/>
      <c r="DE236" s="273"/>
      <c r="DF236" s="273"/>
      <c r="DG236" s="265"/>
      <c r="DH236" s="273"/>
      <c r="DI236" s="273"/>
      <c r="DJ236" s="273"/>
      <c r="DK236" s="273"/>
      <c r="DL236" s="273"/>
      <c r="DM236" s="265"/>
      <c r="DN236" s="273"/>
      <c r="DO236" s="273"/>
      <c r="DP236" s="273"/>
      <c r="DQ236" s="273"/>
      <c r="DR236" s="273"/>
      <c r="DS236" s="265"/>
      <c r="DT236" s="273"/>
      <c r="DU236" s="273"/>
      <c r="DV236" s="273"/>
      <c r="DW236" s="273"/>
      <c r="DX236" s="273"/>
      <c r="DY236" s="265"/>
      <c r="DZ236" s="273"/>
      <c r="EA236" s="273"/>
      <c r="EB236" s="273"/>
      <c r="EC236" s="273"/>
      <c r="ED236" s="273"/>
      <c r="EE236" s="265"/>
      <c r="EF236" s="273"/>
      <c r="EG236" s="273"/>
      <c r="EH236" s="273"/>
      <c r="EI236" s="273"/>
      <c r="EJ236" s="273"/>
      <c r="EK236" s="265"/>
      <c r="EL236" s="273"/>
      <c r="EM236" s="273"/>
      <c r="EN236" s="273"/>
      <c r="EO236" s="273"/>
      <c r="EP236" s="273"/>
      <c r="EQ236" s="265"/>
      <c r="ER236" s="273"/>
      <c r="ES236" s="273"/>
      <c r="ET236" s="273"/>
      <c r="EU236" s="273"/>
      <c r="EV236" s="273"/>
      <c r="EW236" s="265"/>
      <c r="EX236" s="273"/>
      <c r="EY236" s="273"/>
      <c r="EZ236" s="273"/>
      <c r="FA236" s="273"/>
      <c r="FB236" s="273"/>
      <c r="FC236" s="265"/>
      <c r="FD236" s="273"/>
      <c r="FE236" s="273"/>
      <c r="FF236" s="273"/>
      <c r="FG236" s="273"/>
      <c r="FH236" s="273"/>
      <c r="FI236" s="265"/>
      <c r="FJ236" s="273"/>
      <c r="FK236" s="273"/>
      <c r="FL236" s="273"/>
      <c r="FM236" s="273"/>
      <c r="FN236" s="273"/>
      <c r="FO236" s="265"/>
      <c r="FP236" s="273"/>
      <c r="FQ236" s="273"/>
      <c r="FR236" s="273"/>
      <c r="FS236" s="273"/>
      <c r="FT236" s="273"/>
      <c r="FU236" s="265"/>
      <c r="FV236" s="273"/>
      <c r="FW236" s="273"/>
      <c r="FX236" s="273"/>
      <c r="FY236" s="273"/>
      <c r="FZ236" s="273"/>
      <c r="GA236" s="265"/>
      <c r="GB236" s="273"/>
      <c r="GC236" s="273"/>
      <c r="GD236" s="273"/>
      <c r="GE236" s="273"/>
      <c r="GF236" s="273"/>
      <c r="GG236" s="265"/>
      <c r="GH236" s="273"/>
      <c r="GI236" s="273"/>
      <c r="GJ236" s="273"/>
      <c r="GK236" s="273"/>
      <c r="GL236" s="273"/>
      <c r="GM236" s="265"/>
      <c r="GN236" s="273"/>
      <c r="GO236" s="273"/>
      <c r="GP236" s="273"/>
      <c r="GQ236" s="273"/>
      <c r="GR236" s="273"/>
      <c r="GS236" s="265"/>
      <c r="GT236" s="273"/>
      <c r="GU236" s="273"/>
      <c r="GV236" s="273"/>
      <c r="GW236" s="273"/>
      <c r="GX236" s="273"/>
      <c r="GY236" s="265"/>
      <c r="GZ236" s="273"/>
      <c r="HA236" s="273"/>
      <c r="HB236" s="273"/>
      <c r="HC236" s="273"/>
      <c r="HD236" s="273"/>
      <c r="HE236" s="265"/>
      <c r="HF236" s="273"/>
      <c r="HG236" s="273"/>
      <c r="HH236" s="273"/>
      <c r="HI236" s="273"/>
      <c r="HJ236" s="273"/>
      <c r="HK236" s="265"/>
      <c r="HL236" s="273"/>
      <c r="HM236" s="273"/>
      <c r="HN236" s="273"/>
      <c r="HO236" s="273"/>
      <c r="HP236" s="273"/>
      <c r="HQ236" s="265"/>
      <c r="HR236" s="273"/>
      <c r="HS236" s="273"/>
      <c r="HT236" s="273"/>
      <c r="HU236" s="273"/>
      <c r="HV236" s="273"/>
      <c r="HW236" s="265"/>
      <c r="HX236" s="273"/>
      <c r="HY236" s="273"/>
      <c r="HZ236" s="273"/>
      <c r="IA236" s="273"/>
      <c r="IB236" s="273"/>
      <c r="IC236" s="265"/>
      <c r="ID236" s="273"/>
      <c r="IE236" s="273"/>
      <c r="IF236" s="273"/>
      <c r="IG236" s="273"/>
      <c r="IH236" s="273"/>
      <c r="II236" s="265"/>
      <c r="IJ236" s="273"/>
      <c r="IK236" s="273"/>
      <c r="IL236" s="273"/>
      <c r="IM236" s="273"/>
      <c r="IN236" s="273"/>
      <c r="IO236" s="265"/>
      <c r="IP236" s="273"/>
      <c r="IQ236" s="273"/>
      <c r="IR236" s="273"/>
      <c r="IS236" s="273"/>
      <c r="IT236" s="273"/>
      <c r="IU236" s="265"/>
      <c r="IV236" s="273"/>
    </row>
    <row r="237" spans="1:256" ht="15.6">
      <c r="A237" s="282"/>
      <c r="B237" s="273"/>
      <c r="C237" s="414"/>
      <c r="D237" s="273"/>
      <c r="E237" s="290"/>
      <c r="F237" s="285"/>
      <c r="G237" s="805"/>
      <c r="H237" s="314"/>
      <c r="I237" s="314"/>
      <c r="J237" s="313"/>
      <c r="K237" s="703" t="s">
        <v>61</v>
      </c>
      <c r="L237" s="313"/>
      <c r="M237" s="313"/>
      <c r="N237" s="313"/>
      <c r="O237" s="313"/>
      <c r="P237" s="313"/>
      <c r="Q237" s="313"/>
      <c r="R237" s="313"/>
      <c r="S237" s="430"/>
      <c r="T237" s="273"/>
      <c r="U237" s="273"/>
      <c r="V237" s="273"/>
      <c r="W237" s="273"/>
      <c r="X237" s="273"/>
      <c r="Y237" s="273"/>
      <c r="Z237" s="273"/>
      <c r="AA237" s="273"/>
      <c r="AB237" s="273"/>
      <c r="AC237" s="273"/>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73"/>
      <c r="BQ237" s="265"/>
      <c r="BR237" s="273"/>
      <c r="BS237" s="273"/>
      <c r="BT237" s="273"/>
      <c r="BU237" s="273"/>
      <c r="BV237" s="273"/>
      <c r="BW237" s="265"/>
      <c r="BX237" s="273"/>
      <c r="BY237" s="273"/>
      <c r="BZ237" s="273"/>
      <c r="CA237" s="273"/>
      <c r="CB237" s="273"/>
      <c r="CC237" s="265"/>
      <c r="CD237" s="273"/>
      <c r="CE237" s="273"/>
      <c r="CF237" s="273"/>
      <c r="CG237" s="273"/>
      <c r="CH237" s="273"/>
      <c r="CI237" s="265"/>
      <c r="CJ237" s="273"/>
      <c r="CK237" s="273"/>
      <c r="CL237" s="273"/>
      <c r="CM237" s="273"/>
      <c r="CN237" s="273"/>
      <c r="CO237" s="265"/>
      <c r="CP237" s="273"/>
      <c r="CQ237" s="273"/>
      <c r="CR237" s="273"/>
      <c r="CS237" s="273"/>
      <c r="CT237" s="273"/>
      <c r="CU237" s="265"/>
      <c r="CV237" s="273"/>
      <c r="CW237" s="273"/>
      <c r="CX237" s="273"/>
      <c r="CY237" s="273"/>
      <c r="CZ237" s="273"/>
      <c r="DA237" s="265"/>
      <c r="DB237" s="273"/>
      <c r="DC237" s="273"/>
      <c r="DD237" s="273"/>
      <c r="DE237" s="273"/>
      <c r="DF237" s="273"/>
      <c r="DG237" s="265"/>
      <c r="DH237" s="273"/>
      <c r="DI237" s="273"/>
      <c r="DJ237" s="273"/>
      <c r="DK237" s="273"/>
      <c r="DL237" s="273"/>
      <c r="DM237" s="265"/>
      <c r="DN237" s="273"/>
      <c r="DO237" s="273"/>
      <c r="DP237" s="273"/>
      <c r="DQ237" s="273"/>
      <c r="DR237" s="273"/>
      <c r="DS237" s="265"/>
      <c r="DT237" s="273"/>
      <c r="DU237" s="273"/>
      <c r="DV237" s="273"/>
      <c r="DW237" s="273"/>
      <c r="DX237" s="273"/>
      <c r="DY237" s="265"/>
      <c r="DZ237" s="273"/>
      <c r="EA237" s="273"/>
      <c r="EB237" s="273"/>
      <c r="EC237" s="273"/>
      <c r="ED237" s="273"/>
      <c r="EE237" s="265"/>
      <c r="EF237" s="273"/>
      <c r="EG237" s="273"/>
      <c r="EH237" s="273"/>
      <c r="EI237" s="273"/>
      <c r="EJ237" s="273"/>
      <c r="EK237" s="265"/>
      <c r="EL237" s="273"/>
      <c r="EM237" s="273"/>
      <c r="EN237" s="273"/>
      <c r="EO237" s="273"/>
      <c r="EP237" s="273"/>
      <c r="EQ237" s="265"/>
      <c r="ER237" s="273"/>
      <c r="ES237" s="273"/>
      <c r="ET237" s="273"/>
      <c r="EU237" s="273"/>
      <c r="EV237" s="273"/>
      <c r="EW237" s="265"/>
      <c r="EX237" s="273"/>
      <c r="EY237" s="273"/>
      <c r="EZ237" s="273"/>
      <c r="FA237" s="273"/>
      <c r="FB237" s="273"/>
      <c r="FC237" s="265"/>
      <c r="FD237" s="273"/>
      <c r="FE237" s="273"/>
      <c r="FF237" s="273"/>
      <c r="FG237" s="273"/>
      <c r="FH237" s="273"/>
      <c r="FI237" s="265"/>
      <c r="FJ237" s="273"/>
      <c r="FK237" s="273"/>
      <c r="FL237" s="273"/>
      <c r="FM237" s="273"/>
      <c r="FN237" s="273"/>
      <c r="FO237" s="265"/>
      <c r="FP237" s="273"/>
      <c r="FQ237" s="273"/>
      <c r="FR237" s="273"/>
      <c r="FS237" s="273"/>
      <c r="FT237" s="273"/>
      <c r="FU237" s="265"/>
      <c r="FV237" s="273"/>
      <c r="FW237" s="273"/>
      <c r="FX237" s="273"/>
      <c r="FY237" s="273"/>
      <c r="FZ237" s="273"/>
      <c r="GA237" s="265"/>
      <c r="GB237" s="273"/>
      <c r="GC237" s="273"/>
      <c r="GD237" s="273"/>
      <c r="GE237" s="273"/>
      <c r="GF237" s="273"/>
      <c r="GG237" s="265"/>
      <c r="GH237" s="273"/>
      <c r="GI237" s="273"/>
      <c r="GJ237" s="273"/>
      <c r="GK237" s="273"/>
      <c r="GL237" s="273"/>
      <c r="GM237" s="265"/>
      <c r="GN237" s="273"/>
      <c r="GO237" s="273"/>
      <c r="GP237" s="273"/>
      <c r="GQ237" s="273"/>
      <c r="GR237" s="273"/>
      <c r="GS237" s="265"/>
      <c r="GT237" s="273"/>
      <c r="GU237" s="273"/>
      <c r="GV237" s="273"/>
      <c r="GW237" s="273"/>
      <c r="GX237" s="273"/>
      <c r="GY237" s="265"/>
      <c r="GZ237" s="273"/>
      <c r="HA237" s="273"/>
      <c r="HB237" s="273"/>
      <c r="HC237" s="273"/>
      <c r="HD237" s="273"/>
      <c r="HE237" s="265"/>
      <c r="HF237" s="273"/>
      <c r="HG237" s="273"/>
      <c r="HH237" s="273"/>
      <c r="HI237" s="273"/>
      <c r="HJ237" s="273"/>
      <c r="HK237" s="265"/>
      <c r="HL237" s="273"/>
      <c r="HM237" s="273"/>
      <c r="HN237" s="273"/>
      <c r="HO237" s="273"/>
      <c r="HP237" s="273"/>
      <c r="HQ237" s="265"/>
      <c r="HR237" s="273"/>
      <c r="HS237" s="273"/>
      <c r="HT237" s="273"/>
      <c r="HU237" s="273"/>
      <c r="HV237" s="273"/>
      <c r="HW237" s="265"/>
      <c r="HX237" s="273"/>
      <c r="HY237" s="273"/>
      <c r="HZ237" s="273"/>
      <c r="IA237" s="273"/>
      <c r="IB237" s="273"/>
      <c r="IC237" s="265"/>
      <c r="ID237" s="273"/>
      <c r="IE237" s="273"/>
      <c r="IF237" s="273"/>
      <c r="IG237" s="273"/>
      <c r="IH237" s="273"/>
      <c r="II237" s="265"/>
      <c r="IJ237" s="273"/>
      <c r="IK237" s="273"/>
      <c r="IL237" s="273"/>
      <c r="IM237" s="273"/>
      <c r="IN237" s="273"/>
      <c r="IO237" s="265"/>
      <c r="IP237" s="273"/>
      <c r="IQ237" s="273"/>
      <c r="IR237" s="273"/>
      <c r="IS237" s="273"/>
      <c r="IT237" s="273"/>
      <c r="IU237" s="265"/>
      <c r="IV237" s="273"/>
    </row>
    <row r="238" spans="1:256" ht="15.6">
      <c r="A238" s="282"/>
      <c r="B238" s="273"/>
      <c r="C238" s="414"/>
      <c r="D238" s="273"/>
      <c r="E238" s="290"/>
      <c r="F238" s="285"/>
      <c r="G238" s="805"/>
      <c r="H238" s="314"/>
      <c r="I238" s="314"/>
      <c r="J238" s="313"/>
      <c r="K238" s="703" t="s">
        <v>62</v>
      </c>
      <c r="L238" s="313"/>
      <c r="M238" s="313"/>
      <c r="N238" s="313"/>
      <c r="O238" s="313"/>
      <c r="P238" s="313"/>
      <c r="Q238" s="313"/>
      <c r="R238" s="313"/>
      <c r="S238" s="430"/>
      <c r="T238" s="273"/>
      <c r="U238" s="273"/>
      <c r="V238" s="273"/>
      <c r="W238" s="273"/>
      <c r="X238" s="273"/>
      <c r="Y238" s="273"/>
      <c r="Z238" s="273"/>
      <c r="AA238" s="273"/>
      <c r="AB238" s="273"/>
      <c r="AC238" s="273"/>
      <c r="AD238" s="273"/>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73"/>
      <c r="BQ238" s="265"/>
      <c r="BR238" s="273"/>
      <c r="BS238" s="273"/>
      <c r="BT238" s="273"/>
      <c r="BU238" s="273"/>
      <c r="BV238" s="273"/>
      <c r="BW238" s="265"/>
      <c r="BX238" s="273"/>
      <c r="BY238" s="273"/>
      <c r="BZ238" s="273"/>
      <c r="CA238" s="273"/>
      <c r="CB238" s="273"/>
      <c r="CC238" s="265"/>
      <c r="CD238" s="273"/>
      <c r="CE238" s="273"/>
      <c r="CF238" s="273"/>
      <c r="CG238" s="273"/>
      <c r="CH238" s="273"/>
      <c r="CI238" s="265"/>
      <c r="CJ238" s="273"/>
      <c r="CK238" s="273"/>
      <c r="CL238" s="273"/>
      <c r="CM238" s="273"/>
      <c r="CN238" s="273"/>
      <c r="CO238" s="265"/>
      <c r="CP238" s="273"/>
      <c r="CQ238" s="273"/>
      <c r="CR238" s="273"/>
      <c r="CS238" s="273"/>
      <c r="CT238" s="273"/>
      <c r="CU238" s="265"/>
      <c r="CV238" s="273"/>
      <c r="CW238" s="273"/>
      <c r="CX238" s="273"/>
      <c r="CY238" s="273"/>
      <c r="CZ238" s="273"/>
      <c r="DA238" s="265"/>
      <c r="DB238" s="273"/>
      <c r="DC238" s="273"/>
      <c r="DD238" s="273"/>
      <c r="DE238" s="273"/>
      <c r="DF238" s="273"/>
      <c r="DG238" s="265"/>
      <c r="DH238" s="273"/>
      <c r="DI238" s="273"/>
      <c r="DJ238" s="273"/>
      <c r="DK238" s="273"/>
      <c r="DL238" s="273"/>
      <c r="DM238" s="265"/>
      <c r="DN238" s="273"/>
      <c r="DO238" s="273"/>
      <c r="DP238" s="273"/>
      <c r="DQ238" s="273"/>
      <c r="DR238" s="273"/>
      <c r="DS238" s="265"/>
      <c r="DT238" s="273"/>
      <c r="DU238" s="273"/>
      <c r="DV238" s="273"/>
      <c r="DW238" s="273"/>
      <c r="DX238" s="273"/>
      <c r="DY238" s="265"/>
      <c r="DZ238" s="273"/>
      <c r="EA238" s="273"/>
      <c r="EB238" s="273"/>
      <c r="EC238" s="273"/>
      <c r="ED238" s="273"/>
      <c r="EE238" s="265"/>
      <c r="EF238" s="273"/>
      <c r="EG238" s="273"/>
      <c r="EH238" s="273"/>
      <c r="EI238" s="273"/>
      <c r="EJ238" s="273"/>
      <c r="EK238" s="265"/>
      <c r="EL238" s="273"/>
      <c r="EM238" s="273"/>
      <c r="EN238" s="273"/>
      <c r="EO238" s="273"/>
      <c r="EP238" s="273"/>
      <c r="EQ238" s="265"/>
      <c r="ER238" s="273"/>
      <c r="ES238" s="273"/>
      <c r="ET238" s="273"/>
      <c r="EU238" s="273"/>
      <c r="EV238" s="273"/>
      <c r="EW238" s="265"/>
      <c r="EX238" s="273"/>
      <c r="EY238" s="273"/>
      <c r="EZ238" s="273"/>
      <c r="FA238" s="273"/>
      <c r="FB238" s="273"/>
      <c r="FC238" s="265"/>
      <c r="FD238" s="273"/>
      <c r="FE238" s="273"/>
      <c r="FF238" s="273"/>
      <c r="FG238" s="273"/>
      <c r="FH238" s="273"/>
      <c r="FI238" s="265"/>
      <c r="FJ238" s="273"/>
      <c r="FK238" s="273"/>
      <c r="FL238" s="273"/>
      <c r="FM238" s="273"/>
      <c r="FN238" s="273"/>
      <c r="FO238" s="265"/>
      <c r="FP238" s="273"/>
      <c r="FQ238" s="273"/>
      <c r="FR238" s="273"/>
      <c r="FS238" s="273"/>
      <c r="FT238" s="273"/>
      <c r="FU238" s="265"/>
      <c r="FV238" s="273"/>
      <c r="FW238" s="273"/>
      <c r="FX238" s="273"/>
      <c r="FY238" s="273"/>
      <c r="FZ238" s="273"/>
      <c r="GA238" s="265"/>
      <c r="GB238" s="273"/>
      <c r="GC238" s="273"/>
      <c r="GD238" s="273"/>
      <c r="GE238" s="273"/>
      <c r="GF238" s="273"/>
      <c r="GG238" s="265"/>
      <c r="GH238" s="273"/>
      <c r="GI238" s="273"/>
      <c r="GJ238" s="273"/>
      <c r="GK238" s="273"/>
      <c r="GL238" s="273"/>
      <c r="GM238" s="265"/>
      <c r="GN238" s="273"/>
      <c r="GO238" s="273"/>
      <c r="GP238" s="273"/>
      <c r="GQ238" s="273"/>
      <c r="GR238" s="273"/>
      <c r="GS238" s="265"/>
      <c r="GT238" s="273"/>
      <c r="GU238" s="273"/>
      <c r="GV238" s="273"/>
      <c r="GW238" s="273"/>
      <c r="GX238" s="273"/>
      <c r="GY238" s="265"/>
      <c r="GZ238" s="273"/>
      <c r="HA238" s="273"/>
      <c r="HB238" s="273"/>
      <c r="HC238" s="273"/>
      <c r="HD238" s="273"/>
      <c r="HE238" s="265"/>
      <c r="HF238" s="273"/>
      <c r="HG238" s="273"/>
      <c r="HH238" s="273"/>
      <c r="HI238" s="273"/>
      <c r="HJ238" s="273"/>
      <c r="HK238" s="265"/>
      <c r="HL238" s="273"/>
      <c r="HM238" s="273"/>
      <c r="HN238" s="273"/>
      <c r="HO238" s="273"/>
      <c r="HP238" s="273"/>
      <c r="HQ238" s="265"/>
      <c r="HR238" s="273"/>
      <c r="HS238" s="273"/>
      <c r="HT238" s="273"/>
      <c r="HU238" s="273"/>
      <c r="HV238" s="273"/>
      <c r="HW238" s="265"/>
      <c r="HX238" s="273"/>
      <c r="HY238" s="273"/>
      <c r="HZ238" s="273"/>
      <c r="IA238" s="273"/>
      <c r="IB238" s="273"/>
      <c r="IC238" s="265"/>
      <c r="ID238" s="273"/>
      <c r="IE238" s="273"/>
      <c r="IF238" s="273"/>
      <c r="IG238" s="273"/>
      <c r="IH238" s="273"/>
      <c r="II238" s="265"/>
      <c r="IJ238" s="273"/>
      <c r="IK238" s="273"/>
      <c r="IL238" s="273"/>
      <c r="IM238" s="273"/>
      <c r="IN238" s="273"/>
      <c r="IO238" s="265"/>
      <c r="IP238" s="273"/>
      <c r="IQ238" s="273"/>
      <c r="IR238" s="273"/>
      <c r="IS238" s="273"/>
      <c r="IT238" s="273"/>
      <c r="IU238" s="265"/>
      <c r="IV238" s="273"/>
    </row>
    <row r="239" spans="1:256" ht="15.6">
      <c r="A239" s="282"/>
      <c r="B239" s="273"/>
      <c r="C239" s="414"/>
      <c r="D239" s="273"/>
      <c r="E239" s="290"/>
      <c r="F239" s="285"/>
      <c r="G239" s="805"/>
      <c r="H239" s="314"/>
      <c r="I239" s="314"/>
      <c r="J239" s="313"/>
      <c r="K239" s="703" t="s">
        <v>63</v>
      </c>
      <c r="L239" s="313"/>
      <c r="M239" s="313"/>
      <c r="N239" s="313"/>
      <c r="O239" s="313"/>
      <c r="P239" s="313"/>
      <c r="Q239" s="313"/>
      <c r="R239" s="313"/>
      <c r="S239" s="430"/>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65"/>
      <c r="BR239" s="273"/>
      <c r="BS239" s="273"/>
      <c r="BT239" s="273"/>
      <c r="BU239" s="273"/>
      <c r="BV239" s="273"/>
      <c r="BW239" s="265"/>
      <c r="BX239" s="273"/>
      <c r="BY239" s="273"/>
      <c r="BZ239" s="273"/>
      <c r="CA239" s="273"/>
      <c r="CB239" s="273"/>
      <c r="CC239" s="265"/>
      <c r="CD239" s="273"/>
      <c r="CE239" s="273"/>
      <c r="CF239" s="273"/>
      <c r="CG239" s="273"/>
      <c r="CH239" s="273"/>
      <c r="CI239" s="265"/>
      <c r="CJ239" s="273"/>
      <c r="CK239" s="273"/>
      <c r="CL239" s="273"/>
      <c r="CM239" s="273"/>
      <c r="CN239" s="273"/>
      <c r="CO239" s="265"/>
      <c r="CP239" s="273"/>
      <c r="CQ239" s="273"/>
      <c r="CR239" s="273"/>
      <c r="CS239" s="273"/>
      <c r="CT239" s="273"/>
      <c r="CU239" s="265"/>
      <c r="CV239" s="273"/>
      <c r="CW239" s="273"/>
      <c r="CX239" s="273"/>
      <c r="CY239" s="273"/>
      <c r="CZ239" s="273"/>
      <c r="DA239" s="265"/>
      <c r="DB239" s="273"/>
      <c r="DC239" s="273"/>
      <c r="DD239" s="273"/>
      <c r="DE239" s="273"/>
      <c r="DF239" s="273"/>
      <c r="DG239" s="265"/>
      <c r="DH239" s="273"/>
      <c r="DI239" s="273"/>
      <c r="DJ239" s="273"/>
      <c r="DK239" s="273"/>
      <c r="DL239" s="273"/>
      <c r="DM239" s="265"/>
      <c r="DN239" s="273"/>
      <c r="DO239" s="273"/>
      <c r="DP239" s="273"/>
      <c r="DQ239" s="273"/>
      <c r="DR239" s="273"/>
      <c r="DS239" s="265"/>
      <c r="DT239" s="273"/>
      <c r="DU239" s="273"/>
      <c r="DV239" s="273"/>
      <c r="DW239" s="273"/>
      <c r="DX239" s="273"/>
      <c r="DY239" s="265"/>
      <c r="DZ239" s="273"/>
      <c r="EA239" s="273"/>
      <c r="EB239" s="273"/>
      <c r="EC239" s="273"/>
      <c r="ED239" s="273"/>
      <c r="EE239" s="265"/>
      <c r="EF239" s="273"/>
      <c r="EG239" s="273"/>
      <c r="EH239" s="273"/>
      <c r="EI239" s="273"/>
      <c r="EJ239" s="273"/>
      <c r="EK239" s="265"/>
      <c r="EL239" s="273"/>
      <c r="EM239" s="273"/>
      <c r="EN239" s="273"/>
      <c r="EO239" s="273"/>
      <c r="EP239" s="273"/>
      <c r="EQ239" s="265"/>
      <c r="ER239" s="273"/>
      <c r="ES239" s="273"/>
      <c r="ET239" s="273"/>
      <c r="EU239" s="273"/>
      <c r="EV239" s="273"/>
      <c r="EW239" s="265"/>
      <c r="EX239" s="273"/>
      <c r="EY239" s="273"/>
      <c r="EZ239" s="273"/>
      <c r="FA239" s="273"/>
      <c r="FB239" s="273"/>
      <c r="FC239" s="265"/>
      <c r="FD239" s="273"/>
      <c r="FE239" s="273"/>
      <c r="FF239" s="273"/>
      <c r="FG239" s="273"/>
      <c r="FH239" s="273"/>
      <c r="FI239" s="265"/>
      <c r="FJ239" s="273"/>
      <c r="FK239" s="273"/>
      <c r="FL239" s="273"/>
      <c r="FM239" s="273"/>
      <c r="FN239" s="273"/>
      <c r="FO239" s="265"/>
      <c r="FP239" s="273"/>
      <c r="FQ239" s="273"/>
      <c r="FR239" s="273"/>
      <c r="FS239" s="273"/>
      <c r="FT239" s="273"/>
      <c r="FU239" s="265"/>
      <c r="FV239" s="273"/>
      <c r="FW239" s="273"/>
      <c r="FX239" s="273"/>
      <c r="FY239" s="273"/>
      <c r="FZ239" s="273"/>
      <c r="GA239" s="265"/>
      <c r="GB239" s="273"/>
      <c r="GC239" s="273"/>
      <c r="GD239" s="273"/>
      <c r="GE239" s="273"/>
      <c r="GF239" s="273"/>
      <c r="GG239" s="265"/>
      <c r="GH239" s="273"/>
      <c r="GI239" s="273"/>
      <c r="GJ239" s="273"/>
      <c r="GK239" s="273"/>
      <c r="GL239" s="273"/>
      <c r="GM239" s="265"/>
      <c r="GN239" s="273"/>
      <c r="GO239" s="273"/>
      <c r="GP239" s="273"/>
      <c r="GQ239" s="273"/>
      <c r="GR239" s="273"/>
      <c r="GS239" s="265"/>
      <c r="GT239" s="273"/>
      <c r="GU239" s="273"/>
      <c r="GV239" s="273"/>
      <c r="GW239" s="273"/>
      <c r="GX239" s="273"/>
      <c r="GY239" s="265"/>
      <c r="GZ239" s="273"/>
      <c r="HA239" s="273"/>
      <c r="HB239" s="273"/>
      <c r="HC239" s="273"/>
      <c r="HD239" s="273"/>
      <c r="HE239" s="265"/>
      <c r="HF239" s="273"/>
      <c r="HG239" s="273"/>
      <c r="HH239" s="273"/>
      <c r="HI239" s="273"/>
      <c r="HJ239" s="273"/>
      <c r="HK239" s="265"/>
      <c r="HL239" s="273"/>
      <c r="HM239" s="273"/>
      <c r="HN239" s="273"/>
      <c r="HO239" s="273"/>
      <c r="HP239" s="273"/>
      <c r="HQ239" s="265"/>
      <c r="HR239" s="273"/>
      <c r="HS239" s="273"/>
      <c r="HT239" s="273"/>
      <c r="HU239" s="273"/>
      <c r="HV239" s="273"/>
      <c r="HW239" s="265"/>
      <c r="HX239" s="273"/>
      <c r="HY239" s="273"/>
      <c r="HZ239" s="273"/>
      <c r="IA239" s="273"/>
      <c r="IB239" s="273"/>
      <c r="IC239" s="265"/>
      <c r="ID239" s="273"/>
      <c r="IE239" s="273"/>
      <c r="IF239" s="273"/>
      <c r="IG239" s="273"/>
      <c r="IH239" s="273"/>
      <c r="II239" s="265"/>
      <c r="IJ239" s="273"/>
      <c r="IK239" s="273"/>
      <c r="IL239" s="273"/>
      <c r="IM239" s="273"/>
      <c r="IN239" s="273"/>
      <c r="IO239" s="265"/>
      <c r="IP239" s="273"/>
      <c r="IQ239" s="273"/>
      <c r="IR239" s="273"/>
      <c r="IS239" s="273"/>
      <c r="IT239" s="273"/>
      <c r="IU239" s="265"/>
      <c r="IV239" s="273"/>
    </row>
    <row r="240" spans="1:256" ht="15.6">
      <c r="A240" s="282"/>
      <c r="B240" s="273"/>
      <c r="C240" s="414"/>
      <c r="D240" s="273"/>
      <c r="E240" s="290"/>
      <c r="F240" s="285"/>
      <c r="G240" s="805"/>
      <c r="H240" s="314"/>
      <c r="I240" s="314"/>
      <c r="J240" s="313"/>
      <c r="K240" s="703" t="s">
        <v>64</v>
      </c>
      <c r="L240" s="313"/>
      <c r="M240" s="313"/>
      <c r="N240" s="313"/>
      <c r="O240" s="313"/>
      <c r="P240" s="313"/>
      <c r="Q240" s="313"/>
      <c r="R240" s="313"/>
      <c r="S240" s="430"/>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73"/>
      <c r="BQ240" s="265"/>
      <c r="BR240" s="273"/>
      <c r="BS240" s="273"/>
      <c r="BT240" s="273"/>
      <c r="BU240" s="273"/>
      <c r="BV240" s="273"/>
      <c r="BW240" s="265"/>
      <c r="BX240" s="273"/>
      <c r="BY240" s="273"/>
      <c r="BZ240" s="273"/>
      <c r="CA240" s="273"/>
      <c r="CB240" s="273"/>
      <c r="CC240" s="265"/>
      <c r="CD240" s="273"/>
      <c r="CE240" s="273"/>
      <c r="CF240" s="273"/>
      <c r="CG240" s="273"/>
      <c r="CH240" s="273"/>
      <c r="CI240" s="265"/>
      <c r="CJ240" s="273"/>
      <c r="CK240" s="273"/>
      <c r="CL240" s="273"/>
      <c r="CM240" s="273"/>
      <c r="CN240" s="273"/>
      <c r="CO240" s="265"/>
      <c r="CP240" s="273"/>
      <c r="CQ240" s="273"/>
      <c r="CR240" s="273"/>
      <c r="CS240" s="273"/>
      <c r="CT240" s="273"/>
      <c r="CU240" s="265"/>
      <c r="CV240" s="273"/>
      <c r="CW240" s="273"/>
      <c r="CX240" s="273"/>
      <c r="CY240" s="273"/>
      <c r="CZ240" s="273"/>
      <c r="DA240" s="265"/>
      <c r="DB240" s="273"/>
      <c r="DC240" s="273"/>
      <c r="DD240" s="273"/>
      <c r="DE240" s="273"/>
      <c r="DF240" s="273"/>
      <c r="DG240" s="265"/>
      <c r="DH240" s="273"/>
      <c r="DI240" s="273"/>
      <c r="DJ240" s="273"/>
      <c r="DK240" s="273"/>
      <c r="DL240" s="273"/>
      <c r="DM240" s="265"/>
      <c r="DN240" s="273"/>
      <c r="DO240" s="273"/>
      <c r="DP240" s="273"/>
      <c r="DQ240" s="273"/>
      <c r="DR240" s="273"/>
      <c r="DS240" s="265"/>
      <c r="DT240" s="273"/>
      <c r="DU240" s="273"/>
      <c r="DV240" s="273"/>
      <c r="DW240" s="273"/>
      <c r="DX240" s="273"/>
      <c r="DY240" s="265"/>
      <c r="DZ240" s="273"/>
      <c r="EA240" s="273"/>
      <c r="EB240" s="273"/>
      <c r="EC240" s="273"/>
      <c r="ED240" s="273"/>
      <c r="EE240" s="265"/>
      <c r="EF240" s="273"/>
      <c r="EG240" s="273"/>
      <c r="EH240" s="273"/>
      <c r="EI240" s="273"/>
      <c r="EJ240" s="273"/>
      <c r="EK240" s="265"/>
      <c r="EL240" s="273"/>
      <c r="EM240" s="273"/>
      <c r="EN240" s="273"/>
      <c r="EO240" s="273"/>
      <c r="EP240" s="273"/>
      <c r="EQ240" s="265"/>
      <c r="ER240" s="273"/>
      <c r="ES240" s="273"/>
      <c r="ET240" s="273"/>
      <c r="EU240" s="273"/>
      <c r="EV240" s="273"/>
      <c r="EW240" s="265"/>
      <c r="EX240" s="273"/>
      <c r="EY240" s="273"/>
      <c r="EZ240" s="273"/>
      <c r="FA240" s="273"/>
      <c r="FB240" s="273"/>
      <c r="FC240" s="265"/>
      <c r="FD240" s="273"/>
      <c r="FE240" s="273"/>
      <c r="FF240" s="273"/>
      <c r="FG240" s="273"/>
      <c r="FH240" s="273"/>
      <c r="FI240" s="265"/>
      <c r="FJ240" s="273"/>
      <c r="FK240" s="273"/>
      <c r="FL240" s="273"/>
      <c r="FM240" s="273"/>
      <c r="FN240" s="273"/>
      <c r="FO240" s="265"/>
      <c r="FP240" s="273"/>
      <c r="FQ240" s="273"/>
      <c r="FR240" s="273"/>
      <c r="FS240" s="273"/>
      <c r="FT240" s="273"/>
      <c r="FU240" s="265"/>
      <c r="FV240" s="273"/>
      <c r="FW240" s="273"/>
      <c r="FX240" s="273"/>
      <c r="FY240" s="273"/>
      <c r="FZ240" s="273"/>
      <c r="GA240" s="265"/>
      <c r="GB240" s="273"/>
      <c r="GC240" s="273"/>
      <c r="GD240" s="273"/>
      <c r="GE240" s="273"/>
      <c r="GF240" s="273"/>
      <c r="GG240" s="265"/>
      <c r="GH240" s="273"/>
      <c r="GI240" s="273"/>
      <c r="GJ240" s="273"/>
      <c r="GK240" s="273"/>
      <c r="GL240" s="273"/>
      <c r="GM240" s="265"/>
      <c r="GN240" s="273"/>
      <c r="GO240" s="273"/>
      <c r="GP240" s="273"/>
      <c r="GQ240" s="273"/>
      <c r="GR240" s="273"/>
      <c r="GS240" s="265"/>
      <c r="GT240" s="273"/>
      <c r="GU240" s="273"/>
      <c r="GV240" s="273"/>
      <c r="GW240" s="273"/>
      <c r="GX240" s="273"/>
      <c r="GY240" s="265"/>
      <c r="GZ240" s="273"/>
      <c r="HA240" s="273"/>
      <c r="HB240" s="273"/>
      <c r="HC240" s="273"/>
      <c r="HD240" s="273"/>
      <c r="HE240" s="265"/>
      <c r="HF240" s="273"/>
      <c r="HG240" s="273"/>
      <c r="HH240" s="273"/>
      <c r="HI240" s="273"/>
      <c r="HJ240" s="273"/>
      <c r="HK240" s="265"/>
      <c r="HL240" s="273"/>
      <c r="HM240" s="273"/>
      <c r="HN240" s="273"/>
      <c r="HO240" s="273"/>
      <c r="HP240" s="273"/>
      <c r="HQ240" s="265"/>
      <c r="HR240" s="273"/>
      <c r="HS240" s="273"/>
      <c r="HT240" s="273"/>
      <c r="HU240" s="273"/>
      <c r="HV240" s="273"/>
      <c r="HW240" s="265"/>
      <c r="HX240" s="273"/>
      <c r="HY240" s="273"/>
      <c r="HZ240" s="273"/>
      <c r="IA240" s="273"/>
      <c r="IB240" s="273"/>
      <c r="IC240" s="265"/>
      <c r="ID240" s="273"/>
      <c r="IE240" s="273"/>
      <c r="IF240" s="273"/>
      <c r="IG240" s="273"/>
      <c r="IH240" s="273"/>
      <c r="II240" s="265"/>
      <c r="IJ240" s="273"/>
      <c r="IK240" s="273"/>
      <c r="IL240" s="273"/>
      <c r="IM240" s="273"/>
      <c r="IN240" s="273"/>
      <c r="IO240" s="265"/>
      <c r="IP240" s="273"/>
      <c r="IQ240" s="273"/>
      <c r="IR240" s="273"/>
      <c r="IS240" s="273"/>
      <c r="IT240" s="273"/>
      <c r="IU240" s="265"/>
      <c r="IV240" s="273"/>
    </row>
    <row r="241" spans="1:256" ht="15.6">
      <c r="A241" s="282"/>
      <c r="B241" s="273"/>
      <c r="C241" s="414"/>
      <c r="D241" s="273"/>
      <c r="E241" s="290"/>
      <c r="F241" s="285"/>
      <c r="G241" s="805"/>
      <c r="H241" s="314"/>
      <c r="I241" s="314"/>
      <c r="J241" s="313"/>
      <c r="K241" s="703" t="s">
        <v>237</v>
      </c>
      <c r="L241" s="313"/>
      <c r="M241" s="313"/>
      <c r="N241" s="313"/>
      <c r="O241" s="313"/>
      <c r="P241" s="313"/>
      <c r="Q241" s="313"/>
      <c r="R241" s="313"/>
      <c r="S241" s="430"/>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73"/>
      <c r="BQ241" s="265"/>
      <c r="BR241" s="273"/>
      <c r="BS241" s="273"/>
      <c r="BT241" s="273"/>
      <c r="BU241" s="273"/>
      <c r="BV241" s="273"/>
      <c r="BW241" s="265"/>
      <c r="BX241" s="273"/>
      <c r="BY241" s="273"/>
      <c r="BZ241" s="273"/>
      <c r="CA241" s="273"/>
      <c r="CB241" s="273"/>
      <c r="CC241" s="265"/>
      <c r="CD241" s="273"/>
      <c r="CE241" s="273"/>
      <c r="CF241" s="273"/>
      <c r="CG241" s="273"/>
      <c r="CH241" s="273"/>
      <c r="CI241" s="265"/>
      <c r="CJ241" s="273"/>
      <c r="CK241" s="273"/>
      <c r="CL241" s="273"/>
      <c r="CM241" s="273"/>
      <c r="CN241" s="273"/>
      <c r="CO241" s="265"/>
      <c r="CP241" s="273"/>
      <c r="CQ241" s="273"/>
      <c r="CR241" s="273"/>
      <c r="CS241" s="273"/>
      <c r="CT241" s="273"/>
      <c r="CU241" s="265"/>
      <c r="CV241" s="273"/>
      <c r="CW241" s="273"/>
      <c r="CX241" s="273"/>
      <c r="CY241" s="273"/>
      <c r="CZ241" s="273"/>
      <c r="DA241" s="265"/>
      <c r="DB241" s="273"/>
      <c r="DC241" s="273"/>
      <c r="DD241" s="273"/>
      <c r="DE241" s="273"/>
      <c r="DF241" s="273"/>
      <c r="DG241" s="265"/>
      <c r="DH241" s="273"/>
      <c r="DI241" s="273"/>
      <c r="DJ241" s="273"/>
      <c r="DK241" s="273"/>
      <c r="DL241" s="273"/>
      <c r="DM241" s="265"/>
      <c r="DN241" s="273"/>
      <c r="DO241" s="273"/>
      <c r="DP241" s="273"/>
      <c r="DQ241" s="273"/>
      <c r="DR241" s="273"/>
      <c r="DS241" s="265"/>
      <c r="DT241" s="273"/>
      <c r="DU241" s="273"/>
      <c r="DV241" s="273"/>
      <c r="DW241" s="273"/>
      <c r="DX241" s="273"/>
      <c r="DY241" s="265"/>
      <c r="DZ241" s="273"/>
      <c r="EA241" s="273"/>
      <c r="EB241" s="273"/>
      <c r="EC241" s="273"/>
      <c r="ED241" s="273"/>
      <c r="EE241" s="265"/>
      <c r="EF241" s="273"/>
      <c r="EG241" s="273"/>
      <c r="EH241" s="273"/>
      <c r="EI241" s="273"/>
      <c r="EJ241" s="273"/>
      <c r="EK241" s="265"/>
      <c r="EL241" s="273"/>
      <c r="EM241" s="273"/>
      <c r="EN241" s="273"/>
      <c r="EO241" s="273"/>
      <c r="EP241" s="273"/>
      <c r="EQ241" s="265"/>
      <c r="ER241" s="273"/>
      <c r="ES241" s="273"/>
      <c r="ET241" s="273"/>
      <c r="EU241" s="273"/>
      <c r="EV241" s="273"/>
      <c r="EW241" s="265"/>
      <c r="EX241" s="273"/>
      <c r="EY241" s="273"/>
      <c r="EZ241" s="273"/>
      <c r="FA241" s="273"/>
      <c r="FB241" s="273"/>
      <c r="FC241" s="265"/>
      <c r="FD241" s="273"/>
      <c r="FE241" s="273"/>
      <c r="FF241" s="273"/>
      <c r="FG241" s="273"/>
      <c r="FH241" s="273"/>
      <c r="FI241" s="265"/>
      <c r="FJ241" s="273"/>
      <c r="FK241" s="273"/>
      <c r="FL241" s="273"/>
      <c r="FM241" s="273"/>
      <c r="FN241" s="273"/>
      <c r="FO241" s="265"/>
      <c r="FP241" s="273"/>
      <c r="FQ241" s="273"/>
      <c r="FR241" s="273"/>
      <c r="FS241" s="273"/>
      <c r="FT241" s="273"/>
      <c r="FU241" s="265"/>
      <c r="FV241" s="273"/>
      <c r="FW241" s="273"/>
      <c r="FX241" s="273"/>
      <c r="FY241" s="273"/>
      <c r="FZ241" s="273"/>
      <c r="GA241" s="265"/>
      <c r="GB241" s="273"/>
      <c r="GC241" s="273"/>
      <c r="GD241" s="273"/>
      <c r="GE241" s="273"/>
      <c r="GF241" s="273"/>
      <c r="GG241" s="265"/>
      <c r="GH241" s="273"/>
      <c r="GI241" s="273"/>
      <c r="GJ241" s="273"/>
      <c r="GK241" s="273"/>
      <c r="GL241" s="273"/>
      <c r="GM241" s="265"/>
      <c r="GN241" s="273"/>
      <c r="GO241" s="273"/>
      <c r="GP241" s="273"/>
      <c r="GQ241" s="273"/>
      <c r="GR241" s="273"/>
      <c r="GS241" s="265"/>
      <c r="GT241" s="273"/>
      <c r="GU241" s="273"/>
      <c r="GV241" s="273"/>
      <c r="GW241" s="273"/>
      <c r="GX241" s="273"/>
      <c r="GY241" s="265"/>
      <c r="GZ241" s="273"/>
      <c r="HA241" s="273"/>
      <c r="HB241" s="273"/>
      <c r="HC241" s="273"/>
      <c r="HD241" s="273"/>
      <c r="HE241" s="265"/>
      <c r="HF241" s="273"/>
      <c r="HG241" s="273"/>
      <c r="HH241" s="273"/>
      <c r="HI241" s="273"/>
      <c r="HJ241" s="273"/>
      <c r="HK241" s="265"/>
      <c r="HL241" s="273"/>
      <c r="HM241" s="273"/>
      <c r="HN241" s="273"/>
      <c r="HO241" s="273"/>
      <c r="HP241" s="273"/>
      <c r="HQ241" s="265"/>
      <c r="HR241" s="273"/>
      <c r="HS241" s="273"/>
      <c r="HT241" s="273"/>
      <c r="HU241" s="273"/>
      <c r="HV241" s="273"/>
      <c r="HW241" s="265"/>
      <c r="HX241" s="273"/>
      <c r="HY241" s="273"/>
      <c r="HZ241" s="273"/>
      <c r="IA241" s="273"/>
      <c r="IB241" s="273"/>
      <c r="IC241" s="265"/>
      <c r="ID241" s="273"/>
      <c r="IE241" s="273"/>
      <c r="IF241" s="273"/>
      <c r="IG241" s="273"/>
      <c r="IH241" s="273"/>
      <c r="II241" s="265"/>
      <c r="IJ241" s="273"/>
      <c r="IK241" s="273"/>
      <c r="IL241" s="273"/>
      <c r="IM241" s="273"/>
      <c r="IN241" s="273"/>
      <c r="IO241" s="265"/>
      <c r="IP241" s="273"/>
      <c r="IQ241" s="273"/>
      <c r="IR241" s="273"/>
      <c r="IS241" s="273"/>
      <c r="IT241" s="273"/>
      <c r="IU241" s="265"/>
      <c r="IV241" s="273"/>
    </row>
    <row r="242" spans="1:256" ht="15.6">
      <c r="A242" s="282"/>
      <c r="B242" s="273"/>
      <c r="C242" s="414"/>
      <c r="D242" s="273"/>
      <c r="E242" s="290"/>
      <c r="F242" s="285"/>
      <c r="G242" s="805"/>
      <c r="H242" s="314"/>
      <c r="I242" s="314"/>
      <c r="J242" s="313"/>
      <c r="K242" s="703" t="s">
        <v>238</v>
      </c>
      <c r="L242" s="313"/>
      <c r="M242" s="313"/>
      <c r="N242" s="313"/>
      <c r="O242" s="313"/>
      <c r="P242" s="313"/>
      <c r="Q242" s="313"/>
      <c r="R242" s="313"/>
      <c r="S242" s="430"/>
      <c r="T242" s="273"/>
      <c r="U242" s="273"/>
      <c r="V242" s="273"/>
      <c r="W242" s="273"/>
      <c r="X242" s="273"/>
      <c r="Y242" s="273"/>
      <c r="Z242" s="273"/>
      <c r="AA242" s="273"/>
      <c r="AB242" s="273"/>
      <c r="AC242" s="273"/>
      <c r="AD242" s="273"/>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73"/>
      <c r="BQ242" s="265"/>
      <c r="BR242" s="273"/>
      <c r="BS242" s="273"/>
      <c r="BT242" s="273"/>
      <c r="BU242" s="273"/>
      <c r="BV242" s="273"/>
      <c r="BW242" s="265"/>
      <c r="BX242" s="273"/>
      <c r="BY242" s="273"/>
      <c r="BZ242" s="273"/>
      <c r="CA242" s="273"/>
      <c r="CB242" s="273"/>
      <c r="CC242" s="265"/>
      <c r="CD242" s="273"/>
      <c r="CE242" s="273"/>
      <c r="CF242" s="273"/>
      <c r="CG242" s="273"/>
      <c r="CH242" s="273"/>
      <c r="CI242" s="265"/>
      <c r="CJ242" s="273"/>
      <c r="CK242" s="273"/>
      <c r="CL242" s="273"/>
      <c r="CM242" s="273"/>
      <c r="CN242" s="273"/>
      <c r="CO242" s="265"/>
      <c r="CP242" s="273"/>
      <c r="CQ242" s="273"/>
      <c r="CR242" s="273"/>
      <c r="CS242" s="273"/>
      <c r="CT242" s="273"/>
      <c r="CU242" s="265"/>
      <c r="CV242" s="273"/>
      <c r="CW242" s="273"/>
      <c r="CX242" s="273"/>
      <c r="CY242" s="273"/>
      <c r="CZ242" s="273"/>
      <c r="DA242" s="265"/>
      <c r="DB242" s="273"/>
      <c r="DC242" s="273"/>
      <c r="DD242" s="273"/>
      <c r="DE242" s="273"/>
      <c r="DF242" s="273"/>
      <c r="DG242" s="265"/>
      <c r="DH242" s="273"/>
      <c r="DI242" s="273"/>
      <c r="DJ242" s="273"/>
      <c r="DK242" s="273"/>
      <c r="DL242" s="273"/>
      <c r="DM242" s="265"/>
      <c r="DN242" s="273"/>
      <c r="DO242" s="273"/>
      <c r="DP242" s="273"/>
      <c r="DQ242" s="273"/>
      <c r="DR242" s="273"/>
      <c r="DS242" s="265"/>
      <c r="DT242" s="273"/>
      <c r="DU242" s="273"/>
      <c r="DV242" s="273"/>
      <c r="DW242" s="273"/>
      <c r="DX242" s="273"/>
      <c r="DY242" s="265"/>
      <c r="DZ242" s="273"/>
      <c r="EA242" s="273"/>
      <c r="EB242" s="273"/>
      <c r="EC242" s="273"/>
      <c r="ED242" s="273"/>
      <c r="EE242" s="265"/>
      <c r="EF242" s="273"/>
      <c r="EG242" s="273"/>
      <c r="EH242" s="273"/>
      <c r="EI242" s="273"/>
      <c r="EJ242" s="273"/>
      <c r="EK242" s="265"/>
      <c r="EL242" s="273"/>
      <c r="EM242" s="273"/>
      <c r="EN242" s="273"/>
      <c r="EO242" s="273"/>
      <c r="EP242" s="273"/>
      <c r="EQ242" s="265"/>
      <c r="ER242" s="273"/>
      <c r="ES242" s="273"/>
      <c r="ET242" s="273"/>
      <c r="EU242" s="273"/>
      <c r="EV242" s="273"/>
      <c r="EW242" s="265"/>
      <c r="EX242" s="273"/>
      <c r="EY242" s="273"/>
      <c r="EZ242" s="273"/>
      <c r="FA242" s="273"/>
      <c r="FB242" s="273"/>
      <c r="FC242" s="265"/>
      <c r="FD242" s="273"/>
      <c r="FE242" s="273"/>
      <c r="FF242" s="273"/>
      <c r="FG242" s="273"/>
      <c r="FH242" s="273"/>
      <c r="FI242" s="265"/>
      <c r="FJ242" s="273"/>
      <c r="FK242" s="273"/>
      <c r="FL242" s="273"/>
      <c r="FM242" s="273"/>
      <c r="FN242" s="273"/>
      <c r="FO242" s="265"/>
      <c r="FP242" s="273"/>
      <c r="FQ242" s="273"/>
      <c r="FR242" s="273"/>
      <c r="FS242" s="273"/>
      <c r="FT242" s="273"/>
      <c r="FU242" s="265"/>
      <c r="FV242" s="273"/>
      <c r="FW242" s="273"/>
      <c r="FX242" s="273"/>
      <c r="FY242" s="273"/>
      <c r="FZ242" s="273"/>
      <c r="GA242" s="265"/>
      <c r="GB242" s="273"/>
      <c r="GC242" s="273"/>
      <c r="GD242" s="273"/>
      <c r="GE242" s="273"/>
      <c r="GF242" s="273"/>
      <c r="GG242" s="265"/>
      <c r="GH242" s="273"/>
      <c r="GI242" s="273"/>
      <c r="GJ242" s="273"/>
      <c r="GK242" s="273"/>
      <c r="GL242" s="273"/>
      <c r="GM242" s="265"/>
      <c r="GN242" s="273"/>
      <c r="GO242" s="273"/>
      <c r="GP242" s="273"/>
      <c r="GQ242" s="273"/>
      <c r="GR242" s="273"/>
      <c r="GS242" s="265"/>
      <c r="GT242" s="273"/>
      <c r="GU242" s="273"/>
      <c r="GV242" s="273"/>
      <c r="GW242" s="273"/>
      <c r="GX242" s="273"/>
      <c r="GY242" s="265"/>
      <c r="GZ242" s="273"/>
      <c r="HA242" s="273"/>
      <c r="HB242" s="273"/>
      <c r="HC242" s="273"/>
      <c r="HD242" s="273"/>
      <c r="HE242" s="265"/>
      <c r="HF242" s="273"/>
      <c r="HG242" s="273"/>
      <c r="HH242" s="273"/>
      <c r="HI242" s="273"/>
      <c r="HJ242" s="273"/>
      <c r="HK242" s="265"/>
      <c r="HL242" s="273"/>
      <c r="HM242" s="273"/>
      <c r="HN242" s="273"/>
      <c r="HO242" s="273"/>
      <c r="HP242" s="273"/>
      <c r="HQ242" s="265"/>
      <c r="HR242" s="273"/>
      <c r="HS242" s="273"/>
      <c r="HT242" s="273"/>
      <c r="HU242" s="273"/>
      <c r="HV242" s="273"/>
      <c r="HW242" s="265"/>
      <c r="HX242" s="273"/>
      <c r="HY242" s="273"/>
      <c r="HZ242" s="273"/>
      <c r="IA242" s="273"/>
      <c r="IB242" s="273"/>
      <c r="IC242" s="265"/>
      <c r="ID242" s="273"/>
      <c r="IE242" s="273"/>
      <c r="IF242" s="273"/>
      <c r="IG242" s="273"/>
      <c r="IH242" s="273"/>
      <c r="II242" s="265"/>
      <c r="IJ242" s="273"/>
      <c r="IK242" s="273"/>
      <c r="IL242" s="273"/>
      <c r="IM242" s="273"/>
      <c r="IN242" s="273"/>
      <c r="IO242" s="265"/>
      <c r="IP242" s="273"/>
      <c r="IQ242" s="273"/>
      <c r="IR242" s="273"/>
      <c r="IS242" s="273"/>
      <c r="IT242" s="273"/>
      <c r="IU242" s="265"/>
      <c r="IV242" s="273"/>
    </row>
    <row r="243" spans="1:256" ht="15.6">
      <c r="A243" s="282"/>
      <c r="B243" s="273"/>
      <c r="C243" s="265"/>
      <c r="D243" s="273"/>
      <c r="E243" s="290"/>
      <c r="F243" s="308"/>
      <c r="G243" s="461"/>
      <c r="H243" s="314"/>
      <c r="I243" s="314"/>
      <c r="J243" s="313"/>
      <c r="K243" s="703" t="s">
        <v>239</v>
      </c>
      <c r="L243" s="313"/>
      <c r="M243" s="313"/>
      <c r="N243" s="313"/>
      <c r="O243" s="313"/>
      <c r="P243" s="313"/>
      <c r="Q243" s="313"/>
      <c r="R243" s="313"/>
      <c r="S243" s="430"/>
      <c r="T243" s="273"/>
      <c r="U243" s="273"/>
      <c r="V243" s="273"/>
      <c r="W243" s="273"/>
      <c r="X243" s="273"/>
      <c r="Y243" s="273"/>
      <c r="Z243" s="273"/>
      <c r="AA243" s="273"/>
      <c r="AB243" s="273"/>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73"/>
      <c r="BQ243" s="265"/>
      <c r="BR243" s="273"/>
      <c r="BS243" s="273"/>
      <c r="BT243" s="273"/>
      <c r="BU243" s="273"/>
      <c r="BV243" s="273"/>
      <c r="BW243" s="265"/>
      <c r="BX243" s="273"/>
      <c r="BY243" s="273"/>
      <c r="BZ243" s="273"/>
      <c r="CA243" s="273"/>
      <c r="CB243" s="273"/>
      <c r="CC243" s="265"/>
      <c r="CD243" s="273"/>
      <c r="CE243" s="273"/>
      <c r="CF243" s="273"/>
      <c r="CG243" s="273"/>
      <c r="CH243" s="273"/>
      <c r="CI243" s="265"/>
      <c r="CJ243" s="273"/>
      <c r="CK243" s="273"/>
      <c r="CL243" s="273"/>
      <c r="CM243" s="273"/>
      <c r="CN243" s="273"/>
      <c r="CO243" s="265"/>
      <c r="CP243" s="273"/>
      <c r="CQ243" s="273"/>
      <c r="CR243" s="273"/>
      <c r="CS243" s="273"/>
      <c r="CT243" s="273"/>
      <c r="CU243" s="265"/>
      <c r="CV243" s="273"/>
      <c r="CW243" s="273"/>
      <c r="CX243" s="273"/>
      <c r="CY243" s="273"/>
      <c r="CZ243" s="273"/>
      <c r="DA243" s="265"/>
      <c r="DB243" s="273"/>
      <c r="DC243" s="273"/>
      <c r="DD243" s="273"/>
      <c r="DE243" s="273"/>
      <c r="DF243" s="273"/>
      <c r="DG243" s="265"/>
      <c r="DH243" s="273"/>
      <c r="DI243" s="273"/>
      <c r="DJ243" s="273"/>
      <c r="DK243" s="273"/>
      <c r="DL243" s="273"/>
      <c r="DM243" s="265"/>
      <c r="DN243" s="273"/>
      <c r="DO243" s="273"/>
      <c r="DP243" s="273"/>
      <c r="DQ243" s="273"/>
      <c r="DR243" s="273"/>
      <c r="DS243" s="265"/>
      <c r="DT243" s="273"/>
      <c r="DU243" s="273"/>
      <c r="DV243" s="273"/>
      <c r="DW243" s="273"/>
      <c r="DX243" s="273"/>
      <c r="DY243" s="265"/>
      <c r="DZ243" s="273"/>
      <c r="EA243" s="273"/>
      <c r="EB243" s="273"/>
      <c r="EC243" s="273"/>
      <c r="ED243" s="273"/>
      <c r="EE243" s="265"/>
      <c r="EF243" s="273"/>
      <c r="EG243" s="273"/>
      <c r="EH243" s="273"/>
      <c r="EI243" s="273"/>
      <c r="EJ243" s="273"/>
      <c r="EK243" s="265"/>
      <c r="EL243" s="273"/>
      <c r="EM243" s="273"/>
      <c r="EN243" s="273"/>
      <c r="EO243" s="273"/>
      <c r="EP243" s="273"/>
      <c r="EQ243" s="265"/>
      <c r="ER243" s="273"/>
      <c r="ES243" s="273"/>
      <c r="ET243" s="273"/>
      <c r="EU243" s="273"/>
      <c r="EV243" s="273"/>
      <c r="EW243" s="265"/>
      <c r="EX243" s="273"/>
      <c r="EY243" s="273"/>
      <c r="EZ243" s="273"/>
      <c r="FA243" s="273"/>
      <c r="FB243" s="273"/>
      <c r="FC243" s="265"/>
      <c r="FD243" s="273"/>
      <c r="FE243" s="273"/>
      <c r="FF243" s="273"/>
      <c r="FG243" s="273"/>
      <c r="FH243" s="273"/>
      <c r="FI243" s="265"/>
      <c r="FJ243" s="273"/>
      <c r="FK243" s="273"/>
      <c r="FL243" s="273"/>
      <c r="FM243" s="273"/>
      <c r="FN243" s="273"/>
      <c r="FO243" s="265"/>
      <c r="FP243" s="273"/>
      <c r="FQ243" s="273"/>
      <c r="FR243" s="273"/>
      <c r="FS243" s="273"/>
      <c r="FT243" s="273"/>
      <c r="FU243" s="265"/>
      <c r="FV243" s="273"/>
      <c r="FW243" s="273"/>
      <c r="FX243" s="273"/>
      <c r="FY243" s="273"/>
      <c r="FZ243" s="273"/>
      <c r="GA243" s="265"/>
      <c r="GB243" s="273"/>
      <c r="GC243" s="273"/>
      <c r="GD243" s="273"/>
      <c r="GE243" s="273"/>
      <c r="GF243" s="273"/>
      <c r="GG243" s="265"/>
      <c r="GH243" s="273"/>
      <c r="GI243" s="273"/>
      <c r="GJ243" s="273"/>
      <c r="GK243" s="273"/>
      <c r="GL243" s="273"/>
      <c r="GM243" s="265"/>
      <c r="GN243" s="273"/>
      <c r="GO243" s="273"/>
      <c r="GP243" s="273"/>
      <c r="GQ243" s="273"/>
      <c r="GR243" s="273"/>
      <c r="GS243" s="265"/>
      <c r="GT243" s="273"/>
      <c r="GU243" s="273"/>
      <c r="GV243" s="273"/>
      <c r="GW243" s="273"/>
      <c r="GX243" s="273"/>
      <c r="GY243" s="265"/>
      <c r="GZ243" s="273"/>
      <c r="HA243" s="273"/>
      <c r="HB243" s="273"/>
      <c r="HC243" s="273"/>
      <c r="HD243" s="273"/>
      <c r="HE243" s="265"/>
      <c r="HF243" s="273"/>
      <c r="HG243" s="273"/>
      <c r="HH243" s="273"/>
      <c r="HI243" s="273"/>
      <c r="HJ243" s="273"/>
      <c r="HK243" s="265"/>
      <c r="HL243" s="273"/>
      <c r="HM243" s="273"/>
      <c r="HN243" s="273"/>
      <c r="HO243" s="273"/>
      <c r="HP243" s="273"/>
      <c r="HQ243" s="265"/>
      <c r="HR243" s="273"/>
      <c r="HS243" s="273"/>
      <c r="HT243" s="273"/>
      <c r="HU243" s="273"/>
      <c r="HV243" s="273"/>
      <c r="HW243" s="265"/>
      <c r="HX243" s="273"/>
      <c r="HY243" s="273"/>
      <c r="HZ243" s="273"/>
      <c r="IA243" s="273"/>
      <c r="IB243" s="273"/>
      <c r="IC243" s="265"/>
      <c r="ID243" s="273"/>
      <c r="IE243" s="273"/>
      <c r="IF243" s="273"/>
      <c r="IG243" s="273"/>
      <c r="IH243" s="273"/>
      <c r="II243" s="265"/>
      <c r="IJ243" s="273"/>
      <c r="IK243" s="273"/>
      <c r="IL243" s="273"/>
      <c r="IM243" s="273"/>
      <c r="IN243" s="273"/>
      <c r="IO243" s="265"/>
      <c r="IP243" s="273"/>
      <c r="IQ243" s="273"/>
      <c r="IR243" s="273"/>
      <c r="IS243" s="273"/>
      <c r="IT243" s="273"/>
      <c r="IU243" s="265"/>
      <c r="IV243" s="273"/>
    </row>
    <row r="244" spans="1:256" ht="16.2" thickBot="1">
      <c r="A244" s="293"/>
      <c r="B244" s="296"/>
      <c r="C244" s="296"/>
      <c r="D244" s="296"/>
      <c r="E244" s="301"/>
      <c r="F244" s="309"/>
      <c r="G244" s="315"/>
      <c r="H244" s="311"/>
      <c r="I244" s="311"/>
      <c r="J244" s="311"/>
      <c r="K244" s="311"/>
      <c r="L244" s="319"/>
      <c r="M244" s="319"/>
      <c r="N244" s="311"/>
      <c r="O244" s="311"/>
      <c r="P244" s="311"/>
      <c r="Q244" s="311"/>
      <c r="R244" s="311"/>
      <c r="S244" s="316"/>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73"/>
      <c r="BQ244" s="265"/>
      <c r="BR244" s="273"/>
      <c r="BS244" s="273"/>
      <c r="BT244" s="273"/>
      <c r="BU244" s="273"/>
      <c r="BV244" s="273"/>
      <c r="BW244" s="265"/>
      <c r="BX244" s="273"/>
      <c r="BY244" s="273"/>
      <c r="BZ244" s="273"/>
      <c r="CA244" s="273"/>
      <c r="CB244" s="273"/>
      <c r="CC244" s="265"/>
      <c r="CD244" s="273"/>
      <c r="CE244" s="273"/>
      <c r="CF244" s="273"/>
      <c r="CG244" s="273"/>
      <c r="CH244" s="273"/>
      <c r="CI244" s="265"/>
      <c r="CJ244" s="273"/>
      <c r="CK244" s="273"/>
      <c r="CL244" s="273"/>
      <c r="CM244" s="273"/>
      <c r="CN244" s="273"/>
      <c r="CO244" s="265"/>
      <c r="CP244" s="273"/>
      <c r="CQ244" s="273"/>
      <c r="CR244" s="273"/>
      <c r="CS244" s="273"/>
      <c r="CT244" s="273"/>
      <c r="CU244" s="265"/>
      <c r="CV244" s="273"/>
      <c r="CW244" s="273"/>
      <c r="CX244" s="273"/>
      <c r="CY244" s="273"/>
      <c r="CZ244" s="273"/>
      <c r="DA244" s="265"/>
      <c r="DB244" s="273"/>
      <c r="DC244" s="273"/>
      <c r="DD244" s="273"/>
      <c r="DE244" s="273"/>
      <c r="DF244" s="273"/>
      <c r="DG244" s="265"/>
      <c r="DH244" s="273"/>
      <c r="DI244" s="273"/>
      <c r="DJ244" s="273"/>
      <c r="DK244" s="273"/>
      <c r="DL244" s="273"/>
      <c r="DM244" s="265"/>
      <c r="DN244" s="273"/>
      <c r="DO244" s="273"/>
      <c r="DP244" s="273"/>
      <c r="DQ244" s="273"/>
      <c r="DR244" s="273"/>
      <c r="DS244" s="265"/>
      <c r="DT244" s="273"/>
      <c r="DU244" s="273"/>
      <c r="DV244" s="273"/>
      <c r="DW244" s="273"/>
      <c r="DX244" s="273"/>
      <c r="DY244" s="265"/>
      <c r="DZ244" s="273"/>
      <c r="EA244" s="273"/>
      <c r="EB244" s="273"/>
      <c r="EC244" s="273"/>
      <c r="ED244" s="273"/>
      <c r="EE244" s="265"/>
      <c r="EF244" s="273"/>
      <c r="EG244" s="273"/>
      <c r="EH244" s="273"/>
      <c r="EI244" s="273"/>
      <c r="EJ244" s="273"/>
      <c r="EK244" s="265"/>
      <c r="EL244" s="273"/>
      <c r="EM244" s="273"/>
      <c r="EN244" s="273"/>
      <c r="EO244" s="273"/>
      <c r="EP244" s="273"/>
      <c r="EQ244" s="265"/>
      <c r="ER244" s="273"/>
      <c r="ES244" s="273"/>
      <c r="ET244" s="273"/>
      <c r="EU244" s="273"/>
      <c r="EV244" s="273"/>
      <c r="EW244" s="265"/>
      <c r="EX244" s="273"/>
      <c r="EY244" s="273"/>
      <c r="EZ244" s="273"/>
      <c r="FA244" s="273"/>
      <c r="FB244" s="273"/>
      <c r="FC244" s="265"/>
      <c r="FD244" s="273"/>
      <c r="FE244" s="273"/>
      <c r="FF244" s="273"/>
      <c r="FG244" s="273"/>
      <c r="FH244" s="273"/>
      <c r="FI244" s="265"/>
      <c r="FJ244" s="273"/>
      <c r="FK244" s="273"/>
      <c r="FL244" s="273"/>
      <c r="FM244" s="273"/>
      <c r="FN244" s="273"/>
      <c r="FO244" s="265"/>
      <c r="FP244" s="273"/>
      <c r="FQ244" s="273"/>
      <c r="FR244" s="273"/>
      <c r="FS244" s="273"/>
      <c r="FT244" s="273"/>
      <c r="FU244" s="265"/>
      <c r="FV244" s="273"/>
      <c r="FW244" s="273"/>
      <c r="FX244" s="273"/>
      <c r="FY244" s="273"/>
      <c r="FZ244" s="273"/>
      <c r="GA244" s="265"/>
      <c r="GB244" s="273"/>
      <c r="GC244" s="273"/>
      <c r="GD244" s="273"/>
      <c r="GE244" s="273"/>
      <c r="GF244" s="273"/>
      <c r="GG244" s="265"/>
      <c r="GH244" s="273"/>
      <c r="GI244" s="273"/>
      <c r="GJ244" s="273"/>
      <c r="GK244" s="273"/>
      <c r="GL244" s="273"/>
      <c r="GM244" s="265"/>
      <c r="GN244" s="273"/>
      <c r="GO244" s="273"/>
      <c r="GP244" s="273"/>
      <c r="GQ244" s="273"/>
      <c r="GR244" s="273"/>
      <c r="GS244" s="265"/>
      <c r="GT244" s="273"/>
      <c r="GU244" s="273"/>
      <c r="GV244" s="273"/>
      <c r="GW244" s="273"/>
      <c r="GX244" s="273"/>
      <c r="GY244" s="265"/>
      <c r="GZ244" s="273"/>
      <c r="HA244" s="273"/>
      <c r="HB244" s="273"/>
      <c r="HC244" s="273"/>
      <c r="HD244" s="273"/>
      <c r="HE244" s="265"/>
      <c r="HF244" s="273"/>
      <c r="HG244" s="273"/>
      <c r="HH244" s="273"/>
      <c r="HI244" s="273"/>
      <c r="HJ244" s="273"/>
      <c r="HK244" s="265"/>
      <c r="HL244" s="273"/>
      <c r="HM244" s="273"/>
      <c r="HN244" s="273"/>
      <c r="HO244" s="273"/>
      <c r="HP244" s="273"/>
      <c r="HQ244" s="265"/>
      <c r="HR244" s="273"/>
      <c r="HS244" s="273"/>
      <c r="HT244" s="273"/>
      <c r="HU244" s="273"/>
      <c r="HV244" s="273"/>
      <c r="HW244" s="265"/>
      <c r="HX244" s="273"/>
      <c r="HY244" s="273"/>
      <c r="HZ244" s="273"/>
      <c r="IA244" s="273"/>
      <c r="IB244" s="273"/>
      <c r="IC244" s="265"/>
      <c r="ID244" s="273"/>
      <c r="IE244" s="273"/>
      <c r="IF244" s="273"/>
      <c r="IG244" s="273"/>
      <c r="IH244" s="273"/>
      <c r="II244" s="265"/>
      <c r="IJ244" s="273"/>
      <c r="IK244" s="273"/>
      <c r="IL244" s="273"/>
      <c r="IM244" s="273"/>
      <c r="IN244" s="273"/>
      <c r="IO244" s="265"/>
      <c r="IP244" s="273"/>
      <c r="IQ244" s="273"/>
      <c r="IR244" s="273"/>
      <c r="IS244" s="273"/>
      <c r="IT244" s="273"/>
      <c r="IU244" s="265"/>
      <c r="IV244" s="273"/>
    </row>
    <row r="245" spans="1:256" ht="15.6">
      <c r="A245" s="282"/>
      <c r="B245" s="269" t="str">
        <f>+'Appendix A'!C250</f>
        <v>Net Revenue Requirement</v>
      </c>
      <c r="C245" s="253"/>
      <c r="D245" s="253"/>
      <c r="E245" s="254"/>
      <c r="F245" s="280"/>
      <c r="G245" s="222"/>
      <c r="H245" s="222"/>
      <c r="I245" s="222"/>
      <c r="J245" s="222"/>
      <c r="K245" s="222"/>
      <c r="L245" s="222"/>
      <c r="M245" s="222"/>
      <c r="N245" s="222"/>
      <c r="O245" s="222"/>
      <c r="P245" s="222"/>
      <c r="Q245" s="222"/>
      <c r="R245" s="222"/>
      <c r="S245" s="310"/>
    </row>
    <row r="246" spans="1:256" ht="16.2" thickBot="1">
      <c r="A246" s="293">
        <f>+'Appendix A'!A253</f>
        <v>149</v>
      </c>
      <c r="B246" s="294"/>
      <c r="C246" s="300" t="str">
        <f>+'Appendix A'!C253</f>
        <v xml:space="preserve">Facility Credits under Section 30.9 of the PJM OATT </v>
      </c>
      <c r="D246" s="297"/>
      <c r="E246" s="296"/>
      <c r="F246" s="296"/>
      <c r="G246" s="442">
        <v>0</v>
      </c>
      <c r="H246" s="2025"/>
      <c r="I246" s="2025"/>
      <c r="J246" s="2026"/>
      <c r="K246" s="2026"/>
      <c r="L246" s="2026"/>
      <c r="M246" s="2026"/>
      <c r="N246" s="2026"/>
      <c r="O246" s="2026"/>
      <c r="P246" s="2026"/>
      <c r="Q246" s="2026"/>
      <c r="R246" s="2026"/>
      <c r="S246" s="2027"/>
    </row>
    <row r="247" spans="1:256" ht="15.6">
      <c r="A247" s="273"/>
      <c r="B247" s="273"/>
      <c r="C247" s="273"/>
      <c r="D247" s="273"/>
      <c r="E247" s="290"/>
      <c r="F247" s="273"/>
      <c r="G247" s="222"/>
      <c r="H247" s="222"/>
      <c r="I247" s="222"/>
      <c r="J247" s="222"/>
      <c r="K247" s="222"/>
      <c r="L247" s="224"/>
      <c r="M247" s="224"/>
      <c r="N247" s="222"/>
      <c r="O247" s="222"/>
      <c r="P247" s="222"/>
      <c r="Q247" s="222"/>
      <c r="R247" s="222"/>
      <c r="S247" s="222"/>
    </row>
    <row r="248" spans="1:256" ht="21.6" thickBot="1">
      <c r="A248" s="298" t="s">
        <v>1019</v>
      </c>
      <c r="G248" s="221"/>
      <c r="H248" s="221"/>
      <c r="I248" s="221"/>
      <c r="J248" s="221"/>
      <c r="K248" s="221"/>
      <c r="L248" s="221"/>
      <c r="M248" s="221"/>
      <c r="N248" s="221"/>
      <c r="O248" s="221"/>
      <c r="P248" s="221"/>
      <c r="Q248" s="221"/>
      <c r="R248" s="221"/>
      <c r="S248" s="221"/>
      <c r="U248" s="242"/>
      <c r="V248" s="242"/>
      <c r="W248" s="242"/>
      <c r="X248" s="242"/>
      <c r="Y248" s="242"/>
      <c r="Z248" s="242"/>
      <c r="AA248" s="242"/>
      <c r="AB248" s="242"/>
      <c r="AC248" s="242"/>
      <c r="AD248" s="242"/>
      <c r="AE248" s="242"/>
      <c r="AF248" s="242"/>
      <c r="AG248" s="242"/>
      <c r="AH248" s="242"/>
      <c r="AI248" s="242"/>
      <c r="AJ248" s="242"/>
      <c r="AK248" s="242"/>
      <c r="AL248" s="242"/>
      <c r="AM248" s="242"/>
      <c r="AN248" s="242"/>
      <c r="AO248" s="242"/>
      <c r="AP248" s="242"/>
      <c r="AQ248" s="242"/>
      <c r="AR248" s="242"/>
      <c r="AS248" s="242"/>
      <c r="AT248" s="242"/>
      <c r="AU248" s="242"/>
      <c r="AV248" s="242"/>
      <c r="AW248" s="242"/>
      <c r="AX248" s="242"/>
      <c r="AY248" s="242"/>
      <c r="AZ248" s="242"/>
      <c r="BA248" s="242"/>
      <c r="BB248" s="242"/>
      <c r="BC248" s="242"/>
      <c r="BD248" s="242"/>
      <c r="BE248" s="242"/>
      <c r="BF248" s="242"/>
      <c r="BG248" s="242"/>
      <c r="BH248" s="242"/>
      <c r="BI248" s="242"/>
      <c r="BJ248" s="242"/>
      <c r="BK248" s="242"/>
      <c r="BL248" s="242"/>
      <c r="BM248" s="242"/>
      <c r="BN248" s="242"/>
      <c r="BO248" s="242"/>
      <c r="BP248" s="240"/>
      <c r="BQ248" s="240"/>
      <c r="BR248" s="240"/>
      <c r="BS248" s="240"/>
      <c r="BT248" s="240"/>
      <c r="BU248" s="240"/>
      <c r="BV248" s="240"/>
      <c r="BW248" s="240"/>
      <c r="BX248" s="240"/>
      <c r="BY248" s="240"/>
      <c r="BZ248" s="240"/>
      <c r="CA248" s="240"/>
      <c r="CB248" s="240"/>
      <c r="CC248" s="240"/>
      <c r="CD248" s="240"/>
      <c r="CE248" s="240"/>
      <c r="CF248" s="240"/>
    </row>
    <row r="249" spans="1:256" ht="17.399999999999999">
      <c r="A249" s="320"/>
      <c r="B249" s="321"/>
      <c r="C249" s="327"/>
      <c r="D249" s="327"/>
      <c r="E249" s="327"/>
      <c r="F249" s="327"/>
      <c r="G249" s="2064"/>
      <c r="H249" s="2065"/>
      <c r="I249" s="720"/>
      <c r="J249" s="2064"/>
      <c r="K249" s="2065"/>
      <c r="L249" s="2064"/>
      <c r="M249" s="2064"/>
      <c r="N249" s="2065"/>
      <c r="O249" s="323"/>
      <c r="P249" s="323"/>
      <c r="Q249" s="323"/>
      <c r="R249" s="323"/>
      <c r="S249" s="323"/>
      <c r="T249" s="1223"/>
      <c r="U249" s="1223"/>
      <c r="V249" s="1223"/>
      <c r="W249" s="1223"/>
      <c r="X249" s="1223"/>
      <c r="Y249" s="1223"/>
      <c r="Z249" s="1223"/>
      <c r="AA249" s="1223"/>
      <c r="AB249" s="1223"/>
      <c r="AC249" s="1223"/>
      <c r="AD249" s="1223"/>
      <c r="AE249" s="1223"/>
      <c r="AF249" s="1223"/>
      <c r="AG249" s="1223"/>
      <c r="AH249" s="1223"/>
      <c r="AI249" s="1223"/>
      <c r="AJ249" s="1223"/>
      <c r="AK249" s="1223"/>
      <c r="AL249" s="1223"/>
      <c r="AM249" s="1223"/>
      <c r="AN249" s="1223"/>
      <c r="AO249" s="1223"/>
      <c r="AP249" s="1223"/>
      <c r="AQ249" s="1223"/>
      <c r="AR249" s="1223"/>
      <c r="AS249" s="1223"/>
      <c r="AT249" s="1223"/>
      <c r="AU249" s="1223"/>
      <c r="AV249" s="1223"/>
      <c r="AW249" s="1223"/>
      <c r="AX249" s="1223"/>
      <c r="AY249" s="1223"/>
      <c r="AZ249" s="1223"/>
      <c r="BA249" s="1223"/>
      <c r="BB249" s="1223"/>
      <c r="BC249" s="1223"/>
      <c r="BD249" s="1223"/>
      <c r="BE249" s="1223"/>
      <c r="BF249" s="1223"/>
      <c r="BG249" s="1223"/>
      <c r="BH249" s="1223"/>
      <c r="BI249" s="1223"/>
      <c r="BJ249" s="1223"/>
      <c r="BK249" s="1223"/>
      <c r="BL249" s="1223"/>
      <c r="BM249" s="1223"/>
      <c r="BN249" s="1223"/>
      <c r="BO249" s="1223"/>
      <c r="BP249" s="1979"/>
      <c r="BQ249" s="1622"/>
      <c r="BR249" s="1622"/>
      <c r="BS249" s="1622"/>
      <c r="BT249" s="1622"/>
      <c r="BU249" s="1622"/>
      <c r="BV249" s="1622"/>
      <c r="BW249" s="1622"/>
      <c r="BX249" s="1622"/>
      <c r="BY249" s="1622"/>
      <c r="BZ249" s="1622"/>
      <c r="CA249" s="1622"/>
      <c r="CB249" s="1622"/>
      <c r="CC249" s="1622"/>
      <c r="CD249" s="1622"/>
      <c r="CE249" s="1622"/>
      <c r="CF249" s="1622"/>
    </row>
    <row r="250" spans="1:256" ht="16.2" thickBot="1">
      <c r="A250" s="293"/>
      <c r="B250" s="1318"/>
      <c r="C250" s="242"/>
      <c r="D250" s="242"/>
      <c r="E250" s="242"/>
      <c r="F250" s="242"/>
      <c r="G250" s="242"/>
      <c r="H250" s="242"/>
      <c r="I250" s="1319" t="s">
        <v>990</v>
      </c>
      <c r="J250" s="1319" t="s">
        <v>11</v>
      </c>
      <c r="K250" s="242"/>
      <c r="L250" s="242"/>
      <c r="M250" s="242"/>
      <c r="N250" s="242"/>
      <c r="O250" s="242"/>
      <c r="P250" s="1320"/>
      <c r="Q250" s="1320"/>
      <c r="R250" s="1320"/>
      <c r="S250" s="1320"/>
      <c r="T250" s="242"/>
      <c r="U250" s="242"/>
      <c r="V250" s="242"/>
      <c r="W250" s="242"/>
      <c r="X250" s="242"/>
      <c r="Y250" s="242"/>
      <c r="Z250" s="242"/>
      <c r="AA250" s="242"/>
      <c r="AB250" s="242"/>
      <c r="AC250" s="242"/>
      <c r="AD250" s="242"/>
      <c r="AE250" s="242"/>
      <c r="AF250" s="242"/>
      <c r="AG250" s="242"/>
      <c r="AH250" s="242"/>
      <c r="AI250" s="242"/>
      <c r="AJ250" s="242"/>
      <c r="AK250" s="242"/>
      <c r="AL250" s="242"/>
      <c r="AM250" s="242"/>
      <c r="AN250" s="242"/>
      <c r="AO250" s="242"/>
      <c r="AP250" s="242"/>
      <c r="AQ250" s="242"/>
      <c r="AR250" s="242"/>
      <c r="AS250" s="242"/>
      <c r="AT250" s="242"/>
      <c r="AU250" s="242"/>
      <c r="AV250" s="242"/>
      <c r="AW250" s="242"/>
      <c r="AX250" s="242"/>
      <c r="AY250" s="242"/>
      <c r="AZ250" s="242"/>
      <c r="BA250" s="242"/>
      <c r="BB250" s="242"/>
      <c r="BC250" s="242"/>
      <c r="BD250" s="242"/>
      <c r="BE250" s="242"/>
      <c r="BF250" s="242"/>
      <c r="BG250" s="242"/>
      <c r="BH250" s="242"/>
      <c r="BI250" s="242"/>
      <c r="BJ250" s="242"/>
      <c r="BK250" s="242"/>
      <c r="BL250" s="242"/>
      <c r="BM250" s="242"/>
      <c r="BN250" s="242"/>
      <c r="BO250" s="240"/>
      <c r="BP250" s="240"/>
      <c r="BQ250" s="240"/>
      <c r="BR250" s="240"/>
      <c r="BS250" s="240"/>
      <c r="BT250" s="240"/>
      <c r="BU250" s="240"/>
      <c r="BV250" s="240"/>
      <c r="BW250" s="240"/>
      <c r="BX250" s="240"/>
      <c r="BY250" s="240"/>
      <c r="BZ250" s="240"/>
      <c r="CA250" s="240"/>
      <c r="CB250" s="240"/>
      <c r="CC250" s="240"/>
      <c r="CD250" s="240"/>
      <c r="CE250" s="240"/>
      <c r="CF250" s="240"/>
    </row>
    <row r="251" spans="1:256" ht="16.5" customHeight="1" thickBot="1">
      <c r="A251" s="282"/>
      <c r="B251" s="258"/>
      <c r="C251" s="240"/>
      <c r="D251" s="240"/>
      <c r="E251" s="240"/>
      <c r="F251" s="694"/>
      <c r="G251" s="82"/>
      <c r="H251" s="1074" t="s">
        <v>12</v>
      </c>
      <c r="I251" s="696" t="s">
        <v>13</v>
      </c>
      <c r="J251" s="163" t="s">
        <v>14</v>
      </c>
      <c r="K251" s="1906"/>
      <c r="L251" s="1907"/>
      <c r="M251" s="1907"/>
      <c r="N251" s="1907"/>
      <c r="O251" s="1907"/>
      <c r="P251" s="1907"/>
      <c r="Q251" s="1907"/>
      <c r="R251" s="1907"/>
      <c r="S251" s="1907"/>
      <c r="T251" s="1907"/>
      <c r="U251" s="1907"/>
      <c r="V251" s="1907"/>
      <c r="W251" s="1907"/>
      <c r="X251" s="1907"/>
      <c r="Y251" s="1907"/>
      <c r="Z251" s="1907"/>
      <c r="AA251" s="1907"/>
      <c r="AB251" s="1907"/>
      <c r="AC251" s="1903" t="s">
        <v>477</v>
      </c>
      <c r="AD251" s="1907"/>
      <c r="AE251" s="1907"/>
      <c r="AF251" s="1907"/>
      <c r="AG251" s="1907"/>
      <c r="AH251" s="1907"/>
      <c r="AI251" s="1907"/>
      <c r="AJ251" s="1907"/>
      <c r="AK251" s="1907"/>
      <c r="AL251" s="1907"/>
      <c r="AM251" s="1907"/>
      <c r="AN251" s="1907"/>
      <c r="AO251" s="1907"/>
      <c r="AP251" s="1907"/>
      <c r="AQ251" s="1907"/>
      <c r="AR251" s="1907"/>
      <c r="AS251" s="1907"/>
      <c r="AT251" s="1907"/>
      <c r="AU251" s="1907"/>
      <c r="AV251" s="1907"/>
      <c r="AW251" s="1907"/>
      <c r="AX251" s="1907"/>
      <c r="AY251" s="1907"/>
      <c r="AZ251" s="1907"/>
      <c r="BA251" s="1907"/>
      <c r="BB251" s="1907"/>
      <c r="BC251" s="1907"/>
      <c r="BD251" s="1907"/>
      <c r="BE251" s="1907"/>
      <c r="BF251" s="1907"/>
      <c r="BG251" s="1907"/>
      <c r="BH251" s="1907"/>
      <c r="BI251" s="1907"/>
      <c r="BJ251" s="1907"/>
      <c r="BK251" s="1907"/>
      <c r="BL251" s="1907"/>
      <c r="BM251" s="1907"/>
      <c r="BN251" s="1907"/>
      <c r="BO251" s="1907"/>
      <c r="BP251" s="1981"/>
      <c r="BQ251" s="240"/>
      <c r="BR251" s="240"/>
      <c r="BS251" s="240"/>
      <c r="BT251" s="240"/>
      <c r="BU251" s="240"/>
      <c r="BV251" s="240"/>
      <c r="BW251" s="240"/>
      <c r="BX251" s="240"/>
      <c r="BY251" s="240"/>
      <c r="BZ251" s="240"/>
      <c r="CA251" s="240"/>
      <c r="CB251" s="240"/>
      <c r="CC251" s="240"/>
      <c r="CD251" s="240"/>
      <c r="CE251" s="240"/>
      <c r="CF251" s="240"/>
      <c r="CG251" s="240"/>
    </row>
    <row r="252" spans="1:256" ht="45.75" customHeight="1" thickBot="1">
      <c r="A252" s="282"/>
      <c r="B252" s="258"/>
      <c r="C252" s="334" t="s">
        <v>15</v>
      </c>
      <c r="D252" s="82"/>
      <c r="E252" s="697"/>
      <c r="F252" s="483" t="s">
        <v>904</v>
      </c>
      <c r="G252" s="82"/>
      <c r="H252" s="1074" t="s">
        <v>16</v>
      </c>
      <c r="I252" s="696" t="s">
        <v>17</v>
      </c>
      <c r="J252" s="163" t="s">
        <v>17</v>
      </c>
      <c r="K252" s="841" t="s">
        <v>753</v>
      </c>
      <c r="L252" s="842" t="s">
        <v>475</v>
      </c>
      <c r="M252" s="842" t="s">
        <v>31</v>
      </c>
      <c r="N252" s="1155" t="s">
        <v>141</v>
      </c>
      <c r="O252" s="842" t="s">
        <v>395</v>
      </c>
      <c r="P252" s="1211" t="s">
        <v>1012</v>
      </c>
      <c r="Q252" s="1211" t="s">
        <v>1047</v>
      </c>
      <c r="R252" s="1211" t="s">
        <v>1013</v>
      </c>
      <c r="S252" s="1315" t="s">
        <v>931</v>
      </c>
      <c r="T252" s="1315" t="s">
        <v>74</v>
      </c>
      <c r="U252" s="1211" t="s">
        <v>932</v>
      </c>
      <c r="V252" s="1211" t="s">
        <v>414</v>
      </c>
      <c r="W252" s="1211" t="s">
        <v>1083</v>
      </c>
      <c r="X252" s="1211" t="s">
        <v>1067</v>
      </c>
      <c r="Y252" s="1211" t="s">
        <v>1068</v>
      </c>
      <c r="Z252" s="1211" t="s">
        <v>1089</v>
      </c>
      <c r="AA252" s="1211" t="s">
        <v>1054</v>
      </c>
      <c r="AB252" s="1211" t="s">
        <v>1055</v>
      </c>
      <c r="AC252" s="1211" t="s">
        <v>1112</v>
      </c>
      <c r="AD252" s="1211" t="s">
        <v>1113</v>
      </c>
      <c r="AE252" s="1211" t="s">
        <v>1134</v>
      </c>
      <c r="AF252" s="1211" t="s">
        <v>1135</v>
      </c>
      <c r="AG252" s="1211" t="s">
        <v>1087</v>
      </c>
      <c r="AH252" s="1211" t="s">
        <v>1136</v>
      </c>
      <c r="AI252" s="1211" t="s">
        <v>1146</v>
      </c>
      <c r="AJ252" s="1211" t="s">
        <v>1138</v>
      </c>
      <c r="AK252" s="1211" t="s">
        <v>1139</v>
      </c>
      <c r="AL252" s="1211" t="s">
        <v>1094</v>
      </c>
      <c r="AM252" s="1211" t="s">
        <v>1071</v>
      </c>
      <c r="AN252" s="1211" t="s">
        <v>1140</v>
      </c>
      <c r="AO252" s="1211" t="s">
        <v>1102</v>
      </c>
      <c r="AP252" s="1211" t="s">
        <v>1092</v>
      </c>
      <c r="AQ252" s="1211" t="s">
        <v>1141</v>
      </c>
      <c r="AR252" s="1211" t="s">
        <v>1142</v>
      </c>
      <c r="AS252" s="1211" t="s">
        <v>1143</v>
      </c>
      <c r="AT252" s="1211" t="s">
        <v>1144</v>
      </c>
      <c r="AU252" s="1211" t="s">
        <v>1211</v>
      </c>
      <c r="AV252" s="1211" t="s">
        <v>1167</v>
      </c>
      <c r="AW252" s="1211" t="s">
        <v>1168</v>
      </c>
      <c r="AX252" s="1211" t="s">
        <v>1212</v>
      </c>
      <c r="AY252" s="1211" t="s">
        <v>1165</v>
      </c>
      <c r="AZ252" s="1211" t="s">
        <v>1213</v>
      </c>
      <c r="BA252" s="1211" t="s">
        <v>1214</v>
      </c>
      <c r="BB252" s="1211" t="s">
        <v>1215</v>
      </c>
      <c r="BC252" s="1211" t="s">
        <v>1096</v>
      </c>
      <c r="BD252" s="1211" t="s">
        <v>1160</v>
      </c>
      <c r="BE252" s="1211" t="s">
        <v>1162</v>
      </c>
      <c r="BF252" s="1211" t="s">
        <v>1081</v>
      </c>
      <c r="BG252" s="1211" t="s">
        <v>1170</v>
      </c>
      <c r="BH252" s="1211" t="s">
        <v>1224</v>
      </c>
      <c r="BI252" s="1211" t="s">
        <v>1242</v>
      </c>
      <c r="BJ252" s="1211" t="s">
        <v>1220</v>
      </c>
      <c r="BK252" s="1211" t="s">
        <v>1240</v>
      </c>
      <c r="BL252" s="1211" t="s">
        <v>1219</v>
      </c>
      <c r="BM252" s="1211" t="s">
        <v>1257</v>
      </c>
      <c r="BN252" s="1211" t="s">
        <v>1251</v>
      </c>
      <c r="BO252" s="1211" t="s">
        <v>1277</v>
      </c>
      <c r="BP252" s="1980" t="s">
        <v>603</v>
      </c>
      <c r="BQ252" s="1759"/>
      <c r="BR252" s="1759"/>
      <c r="BS252" s="1759"/>
      <c r="BT252" s="1759"/>
      <c r="BU252" s="1759"/>
      <c r="BV252" s="1759"/>
      <c r="BW252" s="1759"/>
      <c r="BX252" s="1759"/>
      <c r="BY252" s="1759"/>
      <c r="BZ252" s="1759"/>
      <c r="CA252" s="1759"/>
      <c r="CB252" s="1759"/>
      <c r="CC252" s="1759"/>
      <c r="CD252" s="1759"/>
      <c r="CE252" s="1759"/>
      <c r="CF252" s="1759"/>
      <c r="CG252" s="1759"/>
      <c r="CH252" s="1759"/>
    </row>
    <row r="253" spans="1:256" ht="15.6">
      <c r="A253" s="282"/>
      <c r="B253" s="258"/>
      <c r="C253" s="334"/>
      <c r="D253" s="82"/>
      <c r="E253" s="697"/>
      <c r="F253" s="240"/>
      <c r="G253" s="240"/>
      <c r="H253" s="240"/>
      <c r="I253" s="240"/>
      <c r="J253" s="240"/>
      <c r="K253" s="1942"/>
      <c r="L253" s="1943"/>
      <c r="M253" s="1943"/>
      <c r="N253" s="1994"/>
      <c r="O253" s="1994"/>
      <c r="P253" s="1995"/>
      <c r="Q253" s="1996"/>
      <c r="R253" s="1995"/>
      <c r="S253" s="1995"/>
      <c r="T253" s="1997"/>
      <c r="U253" s="1995"/>
      <c r="V253" s="1997"/>
      <c r="W253" s="1997"/>
      <c r="X253" s="1997"/>
      <c r="Y253" s="1997"/>
      <c r="Z253" s="1997"/>
      <c r="AA253" s="1997"/>
      <c r="AB253" s="1997"/>
      <c r="AC253" s="1997"/>
      <c r="AD253" s="1997"/>
      <c r="AE253" s="1997"/>
      <c r="AF253" s="1997"/>
      <c r="AG253" s="1997"/>
      <c r="AH253" s="1997"/>
      <c r="AI253" s="1997"/>
      <c r="AJ253" s="1997"/>
      <c r="AK253" s="1997"/>
      <c r="AL253" s="1997"/>
      <c r="AM253" s="1997"/>
      <c r="AN253" s="1997"/>
      <c r="AO253" s="1997"/>
      <c r="AP253" s="1997"/>
      <c r="AQ253" s="1997"/>
      <c r="AR253" s="1997"/>
      <c r="AS253" s="1997"/>
      <c r="AT253" s="1998"/>
      <c r="AU253" s="1998"/>
      <c r="AV253" s="1998"/>
      <c r="AW253" s="1998"/>
      <c r="AX253" s="1998"/>
      <c r="AY253" s="1998"/>
      <c r="AZ253" s="1998"/>
      <c r="BA253" s="1998"/>
      <c r="BB253" s="1998"/>
      <c r="BC253" s="1998"/>
      <c r="BD253" s="1998"/>
      <c r="BE253" s="1998"/>
      <c r="BF253" s="1998"/>
      <c r="BG253" s="1998"/>
      <c r="BH253" s="1998"/>
      <c r="BI253" s="1998"/>
      <c r="BJ253" s="1998"/>
      <c r="BK253" s="1998"/>
      <c r="BL253" s="1998"/>
      <c r="BM253" s="1998"/>
      <c r="BN253" s="1998"/>
      <c r="BO253" s="1999"/>
      <c r="BP253" s="1824"/>
      <c r="BQ253" s="1756"/>
      <c r="BR253" s="1756"/>
      <c r="BS253" s="1756"/>
      <c r="BT253" s="1756"/>
      <c r="BU253" s="1756"/>
      <c r="BV253" s="1756"/>
      <c r="BW253" s="1756"/>
      <c r="BX253" s="1756"/>
      <c r="BY253" s="1756"/>
      <c r="BZ253" s="1756"/>
      <c r="CA253" s="1756"/>
      <c r="CB253" s="1756"/>
      <c r="CC253" s="1756"/>
      <c r="CD253" s="1756"/>
      <c r="CE253" s="1756"/>
      <c r="CF253" s="1756"/>
      <c r="CG253" s="1756"/>
      <c r="CH253" s="1756"/>
    </row>
    <row r="254" spans="1:256" ht="15.6">
      <c r="A254" s="282"/>
      <c r="B254" s="258"/>
      <c r="C254" s="697">
        <v>350.2</v>
      </c>
      <c r="D254" s="697" t="s">
        <v>18</v>
      </c>
      <c r="E254" s="82"/>
      <c r="F254" s="694">
        <v>70</v>
      </c>
      <c r="G254" s="163" t="s">
        <v>19</v>
      </c>
      <c r="H254" s="695" t="s">
        <v>20</v>
      </c>
      <c r="I254" s="696">
        <v>0</v>
      </c>
      <c r="J254" s="698">
        <f>100/F254</f>
        <v>1.4285714285714286</v>
      </c>
      <c r="K254" s="1944"/>
      <c r="L254" s="1945"/>
      <c r="M254" s="1945">
        <v>2474431.71</v>
      </c>
      <c r="N254" s="1945"/>
      <c r="O254" s="1945"/>
      <c r="P254" s="1945"/>
      <c r="Q254" s="1945"/>
      <c r="R254" s="1945"/>
      <c r="S254" s="1945"/>
      <c r="T254" s="1945"/>
      <c r="U254" s="1945"/>
      <c r="V254" s="1945"/>
      <c r="W254" s="1945"/>
      <c r="X254" s="1945"/>
      <c r="Y254" s="1945"/>
      <c r="Z254" s="1945">
        <v>326.16000000000003</v>
      </c>
      <c r="AA254" s="1945"/>
      <c r="AB254" s="1945"/>
      <c r="AC254" s="1945"/>
      <c r="AD254" s="1945"/>
      <c r="AE254" s="1945"/>
      <c r="AF254" s="1945">
        <v>2667.6</v>
      </c>
      <c r="AG254" s="1945"/>
      <c r="AH254" s="1945"/>
      <c r="AI254" s="1945"/>
      <c r="AJ254" s="1945"/>
      <c r="AK254" s="1945"/>
      <c r="AL254" s="1945"/>
      <c r="AM254" s="1945"/>
      <c r="AN254" s="1945"/>
      <c r="AO254" s="1945"/>
      <c r="AP254" s="1945"/>
      <c r="AQ254" s="1945"/>
      <c r="AR254" s="1945"/>
      <c r="AS254" s="1945"/>
      <c r="AT254" s="1945"/>
      <c r="AU254" s="1945"/>
      <c r="AV254" s="1945"/>
      <c r="AW254" s="1945"/>
      <c r="AX254" s="1945"/>
      <c r="AY254" s="1945"/>
      <c r="AZ254" s="1945"/>
      <c r="BA254" s="1945"/>
      <c r="BB254" s="1945">
        <v>114252.78</v>
      </c>
      <c r="BC254" s="1945"/>
      <c r="BD254" s="1945"/>
      <c r="BE254" s="1945"/>
      <c r="BF254" s="1945"/>
      <c r="BG254" s="1945"/>
      <c r="BH254" s="1945"/>
      <c r="BI254" s="1945"/>
      <c r="BJ254" s="1945"/>
      <c r="BK254" s="1945"/>
      <c r="BL254" s="1945"/>
      <c r="BM254" s="1945"/>
      <c r="BN254" s="1945"/>
      <c r="BO254" s="1945"/>
      <c r="BP254" s="1392">
        <f t="shared" ref="BP254:BP272" si="8">SUM(K254:BO254)</f>
        <v>2591678.25</v>
      </c>
      <c r="BQ254" s="1757"/>
      <c r="BR254" s="1757"/>
      <c r="BS254" s="1757"/>
      <c r="BT254" s="1757"/>
      <c r="BU254" s="1757"/>
      <c r="BV254" s="1757"/>
      <c r="BW254" s="1757"/>
      <c r="BX254" s="1757"/>
      <c r="BY254" s="1757"/>
      <c r="BZ254" s="1757"/>
      <c r="CA254" s="1757"/>
      <c r="CB254" s="1757"/>
      <c r="CC254" s="1757"/>
      <c r="CD254" s="1757"/>
      <c r="CE254" s="1757"/>
      <c r="CF254" s="1757"/>
      <c r="CG254" s="1757"/>
      <c r="CH254" s="1757"/>
    </row>
    <row r="255" spans="1:256" ht="15.6">
      <c r="A255" s="282"/>
      <c r="B255" s="258"/>
      <c r="C255" s="697">
        <v>352</v>
      </c>
      <c r="D255" s="697" t="s">
        <v>21</v>
      </c>
      <c r="E255" s="82"/>
      <c r="F255" s="694">
        <v>50</v>
      </c>
      <c r="G255" s="163" t="s">
        <v>19</v>
      </c>
      <c r="H255" s="695" t="s">
        <v>22</v>
      </c>
      <c r="I255" s="696">
        <v>-10</v>
      </c>
      <c r="J255" s="698">
        <f>(100-I255)/F255</f>
        <v>2.2000000000000002</v>
      </c>
      <c r="K255" s="1944">
        <v>18083.04</v>
      </c>
      <c r="L255" s="1945"/>
      <c r="M255" s="1945">
        <v>1305948.95</v>
      </c>
      <c r="N255" s="1945"/>
      <c r="O255" s="1945"/>
      <c r="P255" s="1945"/>
      <c r="Q255" s="1945"/>
      <c r="R255" s="1945"/>
      <c r="S255" s="1945"/>
      <c r="T255" s="1945"/>
      <c r="U255" s="1945"/>
      <c r="V255" s="1945">
        <v>152.16</v>
      </c>
      <c r="W255" s="1945">
        <v>280.56</v>
      </c>
      <c r="X255" s="1945"/>
      <c r="Y255" s="1945">
        <v>14882.16</v>
      </c>
      <c r="Z255" s="1945">
        <v>2506.44</v>
      </c>
      <c r="AA255" s="1945">
        <v>1255.08</v>
      </c>
      <c r="AB255" s="1945"/>
      <c r="AC255" s="1945"/>
      <c r="AD255" s="1945"/>
      <c r="AE255" s="1945">
        <v>124532.16</v>
      </c>
      <c r="AF255" s="1945"/>
      <c r="AG255" s="1945">
        <v>3449.52</v>
      </c>
      <c r="AH255" s="1945"/>
      <c r="AI255" s="1945"/>
      <c r="AJ255" s="1945"/>
      <c r="AK255" s="1945"/>
      <c r="AL255" s="1945"/>
      <c r="AM255" s="1945"/>
      <c r="AN255" s="1945"/>
      <c r="AO255" s="1945"/>
      <c r="AP255" s="1945"/>
      <c r="AQ255" s="1945">
        <v>89286.32</v>
      </c>
      <c r="AR255" s="1945">
        <v>6328.32</v>
      </c>
      <c r="AS255" s="1945"/>
      <c r="AT255" s="1945">
        <v>2077.6799999999998</v>
      </c>
      <c r="AU255" s="1945"/>
      <c r="AV255" s="1945">
        <v>153902.64000000001</v>
      </c>
      <c r="AW255" s="1945"/>
      <c r="AX255" s="1945"/>
      <c r="AY255" s="1945">
        <v>18585.84</v>
      </c>
      <c r="AZ255" s="1945"/>
      <c r="BA255" s="1945"/>
      <c r="BB255" s="1945">
        <v>57933.05</v>
      </c>
      <c r="BC255" s="1945"/>
      <c r="BD255" s="1945"/>
      <c r="BE255" s="1945"/>
      <c r="BF255" s="1945"/>
      <c r="BG255" s="1945"/>
      <c r="BH255" s="1945"/>
      <c r="BI255" s="1945">
        <v>118517.31</v>
      </c>
      <c r="BJ255" s="1945">
        <v>12132.33</v>
      </c>
      <c r="BK255" s="1945">
        <v>248348.75</v>
      </c>
      <c r="BL255" s="1945">
        <v>615811.82999999996</v>
      </c>
      <c r="BM255" s="1945"/>
      <c r="BN255" s="1945">
        <v>37893.65</v>
      </c>
      <c r="BO255" s="1945"/>
      <c r="BP255" s="1392">
        <f t="shared" si="8"/>
        <v>2831907.79</v>
      </c>
      <c r="BQ255" s="1757"/>
      <c r="BR255" s="1757"/>
      <c r="BS255" s="1757"/>
      <c r="BT255" s="1757"/>
      <c r="BU255" s="1757"/>
      <c r="BV255" s="1757"/>
      <c r="BW255" s="1757"/>
      <c r="BX255" s="1757"/>
      <c r="BY255" s="1757"/>
      <c r="BZ255" s="1757"/>
      <c r="CA255" s="1757"/>
      <c r="CB255" s="1757"/>
      <c r="CC255" s="1757"/>
      <c r="CD255" s="1757"/>
      <c r="CE255" s="1757"/>
      <c r="CF255" s="1757"/>
      <c r="CG255" s="1757"/>
      <c r="CH255" s="1757"/>
    </row>
    <row r="256" spans="1:256" ht="15.6">
      <c r="A256" s="282"/>
      <c r="B256" s="258"/>
      <c r="C256" s="697"/>
      <c r="D256" s="82" t="s">
        <v>260</v>
      </c>
      <c r="E256" s="82"/>
      <c r="F256" s="694">
        <v>35</v>
      </c>
      <c r="G256" s="163" t="s">
        <v>19</v>
      </c>
      <c r="H256" s="695"/>
      <c r="I256" s="696"/>
      <c r="J256" s="698">
        <f>(100-I256)/F256</f>
        <v>2.8571428571428572</v>
      </c>
      <c r="K256" s="1944"/>
      <c r="L256" s="1945"/>
      <c r="M256" s="1945"/>
      <c r="N256" s="1945"/>
      <c r="O256" s="1945"/>
      <c r="P256" s="1945"/>
      <c r="Q256" s="1945"/>
      <c r="R256" s="1945"/>
      <c r="S256" s="1945"/>
      <c r="T256" s="1945"/>
      <c r="U256" s="1945"/>
      <c r="V256" s="1945"/>
      <c r="W256" s="1945"/>
      <c r="X256" s="1945"/>
      <c r="Y256" s="1945"/>
      <c r="Z256" s="1945"/>
      <c r="AA256" s="1945"/>
      <c r="AB256" s="1945"/>
      <c r="AC256" s="1945"/>
      <c r="AD256" s="1945"/>
      <c r="AE256" s="1945"/>
      <c r="AF256" s="1945"/>
      <c r="AG256" s="1945"/>
      <c r="AH256" s="1945"/>
      <c r="AI256" s="1945"/>
      <c r="AJ256" s="1945"/>
      <c r="AK256" s="1945"/>
      <c r="AL256" s="1945"/>
      <c r="AM256" s="1945"/>
      <c r="AN256" s="1945"/>
      <c r="AO256" s="1945"/>
      <c r="AP256" s="1945"/>
      <c r="AQ256" s="1945"/>
      <c r="AR256" s="1945"/>
      <c r="AS256" s="1945"/>
      <c r="AT256" s="1945"/>
      <c r="AU256" s="1945"/>
      <c r="AV256" s="1945"/>
      <c r="AW256" s="1945"/>
      <c r="AX256" s="1945"/>
      <c r="AY256" s="1945"/>
      <c r="AZ256" s="1945"/>
      <c r="BA256" s="1945"/>
      <c r="BB256" s="1945"/>
      <c r="BC256" s="1945"/>
      <c r="BD256" s="1945"/>
      <c r="BE256" s="1945"/>
      <c r="BF256" s="1945"/>
      <c r="BG256" s="1945"/>
      <c r="BH256" s="1945"/>
      <c r="BI256" s="1945"/>
      <c r="BJ256" s="1945"/>
      <c r="BK256" s="1945"/>
      <c r="BL256" s="1945"/>
      <c r="BM256" s="1945"/>
      <c r="BN256" s="1945"/>
      <c r="BO256" s="1945"/>
      <c r="BP256" s="1392">
        <f t="shared" si="8"/>
        <v>0</v>
      </c>
      <c r="BQ256" s="1757"/>
      <c r="BR256" s="1757"/>
      <c r="BS256" s="1757"/>
      <c r="BT256" s="1757"/>
      <c r="BU256" s="1757"/>
      <c r="BV256" s="1757"/>
      <c r="BW256" s="1757"/>
      <c r="BX256" s="1757"/>
      <c r="BY256" s="1757"/>
      <c r="BZ256" s="1757"/>
      <c r="CA256" s="1757"/>
      <c r="CB256" s="1757"/>
      <c r="CC256" s="1757"/>
      <c r="CD256" s="1757"/>
      <c r="CE256" s="1757"/>
      <c r="CF256" s="1757"/>
      <c r="CG256" s="1757"/>
      <c r="CH256" s="1757"/>
    </row>
    <row r="257" spans="1:86" ht="15.6">
      <c r="A257" s="282"/>
      <c r="B257" s="258"/>
      <c r="C257" s="697"/>
      <c r="D257" s="82"/>
      <c r="E257" s="82"/>
      <c r="F257" s="694"/>
      <c r="G257" s="163"/>
      <c r="H257" s="695"/>
      <c r="I257" s="696"/>
      <c r="J257" s="698"/>
      <c r="K257" s="1944"/>
      <c r="L257" s="1945"/>
      <c r="M257" s="1945"/>
      <c r="N257" s="1945"/>
      <c r="O257" s="1945"/>
      <c r="P257" s="1945"/>
      <c r="Q257" s="1945"/>
      <c r="R257" s="1945"/>
      <c r="S257" s="1945"/>
      <c r="T257" s="1945"/>
      <c r="U257" s="1945"/>
      <c r="V257" s="1945"/>
      <c r="W257" s="1945"/>
      <c r="X257" s="1945"/>
      <c r="Y257" s="1945"/>
      <c r="Z257" s="1945"/>
      <c r="AA257" s="1945"/>
      <c r="AB257" s="1945"/>
      <c r="AC257" s="1945"/>
      <c r="AD257" s="1945"/>
      <c r="AE257" s="1945"/>
      <c r="AF257" s="1945"/>
      <c r="AG257" s="1945"/>
      <c r="AH257" s="1945"/>
      <c r="AI257" s="1945"/>
      <c r="AJ257" s="1945"/>
      <c r="AK257" s="1945"/>
      <c r="AL257" s="1945"/>
      <c r="AM257" s="1945"/>
      <c r="AN257" s="1945"/>
      <c r="AO257" s="1945"/>
      <c r="AP257" s="1945"/>
      <c r="AQ257" s="1945"/>
      <c r="AR257" s="1945"/>
      <c r="AS257" s="1945"/>
      <c r="AT257" s="1945"/>
      <c r="AU257" s="1945"/>
      <c r="AV257" s="1945"/>
      <c r="AW257" s="1945"/>
      <c r="AX257" s="1945"/>
      <c r="AY257" s="1945"/>
      <c r="AZ257" s="1945"/>
      <c r="BA257" s="1945"/>
      <c r="BB257" s="1945"/>
      <c r="BC257" s="1945"/>
      <c r="BD257" s="1945"/>
      <c r="BE257" s="1945"/>
      <c r="BF257" s="1945"/>
      <c r="BG257" s="1945"/>
      <c r="BH257" s="1945"/>
      <c r="BI257" s="1945"/>
      <c r="BJ257" s="1945"/>
      <c r="BK257" s="1945"/>
      <c r="BL257" s="1945"/>
      <c r="BM257" s="1945"/>
      <c r="BN257" s="1945"/>
      <c r="BO257" s="1945"/>
      <c r="BP257" s="1392">
        <f t="shared" si="8"/>
        <v>0</v>
      </c>
      <c r="BQ257" s="1757"/>
      <c r="BR257" s="1757"/>
      <c r="BS257" s="1757"/>
      <c r="BT257" s="1757"/>
      <c r="BU257" s="1757"/>
      <c r="BV257" s="1757"/>
      <c r="BW257" s="1757"/>
      <c r="BX257" s="1757"/>
      <c r="BY257" s="1757"/>
      <c r="BZ257" s="1757"/>
      <c r="CA257" s="1757"/>
      <c r="CB257" s="1757"/>
      <c r="CC257" s="1757"/>
      <c r="CD257" s="1757"/>
      <c r="CE257" s="1757"/>
      <c r="CF257" s="1757"/>
      <c r="CG257" s="1757"/>
      <c r="CH257" s="1757"/>
    </row>
    <row r="258" spans="1:86" ht="15.6">
      <c r="A258" s="282"/>
      <c r="B258" s="258"/>
      <c r="C258" s="697">
        <v>353</v>
      </c>
      <c r="D258" s="82" t="s">
        <v>23</v>
      </c>
      <c r="E258" s="82"/>
      <c r="F258" s="694"/>
      <c r="G258" s="163"/>
      <c r="H258" s="695"/>
      <c r="I258" s="696"/>
      <c r="J258" s="698"/>
      <c r="K258" s="1945">
        <v>1392629.96</v>
      </c>
      <c r="L258" s="1945">
        <v>578055.88</v>
      </c>
      <c r="M258" s="1945">
        <v>868921.72000000009</v>
      </c>
      <c r="N258" s="1945">
        <v>167121.60999999999</v>
      </c>
      <c r="O258" s="1945">
        <v>40401.96</v>
      </c>
      <c r="P258" s="1945">
        <v>162194.28000000003</v>
      </c>
      <c r="Q258" s="1945">
        <v>144891.64000000001</v>
      </c>
      <c r="R258" s="1945">
        <v>831423.82</v>
      </c>
      <c r="S258" s="1945">
        <v>94933.5</v>
      </c>
      <c r="T258" s="1945">
        <v>82981.84</v>
      </c>
      <c r="U258" s="1945">
        <v>149637.85</v>
      </c>
      <c r="V258" s="1945">
        <v>151341.76000000001</v>
      </c>
      <c r="W258" s="1945">
        <v>13533.12</v>
      </c>
      <c r="X258" s="1945">
        <v>34383.360000000001</v>
      </c>
      <c r="Y258" s="1945">
        <v>110513.88</v>
      </c>
      <c r="Z258" s="1945">
        <v>329705.52</v>
      </c>
      <c r="AA258" s="1945">
        <v>18435.599999999999</v>
      </c>
      <c r="AB258" s="1945">
        <v>17476.2</v>
      </c>
      <c r="AC258" s="1945">
        <v>104079.6</v>
      </c>
      <c r="AD258" s="1945">
        <v>1273246.05</v>
      </c>
      <c r="AE258" s="1945"/>
      <c r="AF258" s="1945">
        <v>254979.74</v>
      </c>
      <c r="AG258" s="1945">
        <v>21895.68</v>
      </c>
      <c r="AH258" s="1945">
        <v>37270.44</v>
      </c>
      <c r="AI258" s="1945"/>
      <c r="AJ258" s="1945">
        <v>761424.96</v>
      </c>
      <c r="AK258" s="1945">
        <v>69881.039999999994</v>
      </c>
      <c r="AL258" s="1945">
        <v>11957.52</v>
      </c>
      <c r="AM258" s="1945">
        <v>923792.47</v>
      </c>
      <c r="AN258" s="1945">
        <v>103796.4</v>
      </c>
      <c r="AO258" s="1945">
        <v>9215.64</v>
      </c>
      <c r="AP258" s="1945">
        <v>157870.1</v>
      </c>
      <c r="AQ258" s="1945">
        <v>1313452.42</v>
      </c>
      <c r="AR258" s="1945">
        <v>184387.20000000001</v>
      </c>
      <c r="AS258" s="1945">
        <v>18716.88</v>
      </c>
      <c r="AT258" s="1945">
        <v>29399.040000000001</v>
      </c>
      <c r="AU258" s="1945">
        <v>14537.76</v>
      </c>
      <c r="AV258" s="1945">
        <v>328367.28000000003</v>
      </c>
      <c r="AW258" s="1945">
        <v>922122.60000000009</v>
      </c>
      <c r="AX258" s="1945">
        <v>44129.760000000002</v>
      </c>
      <c r="AY258" s="1945">
        <v>144608.28</v>
      </c>
      <c r="AZ258" s="1945">
        <v>28746.48</v>
      </c>
      <c r="BA258" s="1945">
        <v>11306.52</v>
      </c>
      <c r="BB258" s="1945">
        <v>115020.96</v>
      </c>
      <c r="BC258" s="1945">
        <v>47011.44</v>
      </c>
      <c r="BD258" s="1945">
        <v>801815.4</v>
      </c>
      <c r="BE258" s="1945">
        <v>543503.05000000005</v>
      </c>
      <c r="BF258" s="1945">
        <v>21813.05</v>
      </c>
      <c r="BG258" s="1945">
        <v>19669.439999999999</v>
      </c>
      <c r="BH258" s="1945">
        <v>63161.88</v>
      </c>
      <c r="BI258" s="1945">
        <v>1130625.0899999999</v>
      </c>
      <c r="BJ258" s="1945">
        <v>1364251.22</v>
      </c>
      <c r="BK258" s="1945">
        <v>580331.81000000006</v>
      </c>
      <c r="BL258" s="1945">
        <v>1238721.04</v>
      </c>
      <c r="BM258" s="1945">
        <v>33634.050000000003</v>
      </c>
      <c r="BN258" s="1945">
        <v>465838.19</v>
      </c>
      <c r="BO258" s="1945">
        <v>219356.02</v>
      </c>
      <c r="BP258" s="1392">
        <f t="shared" si="8"/>
        <v>18602520</v>
      </c>
      <c r="BQ258" s="1757"/>
      <c r="BR258" s="1757"/>
      <c r="BS258" s="1757"/>
      <c r="BT258" s="1757"/>
      <c r="BU258" s="1757"/>
      <c r="BV258" s="1757"/>
      <c r="BW258" s="1757"/>
      <c r="BX258" s="1757"/>
      <c r="BY258" s="1757"/>
      <c r="BZ258" s="1757"/>
      <c r="CA258" s="1757"/>
      <c r="CB258" s="1757"/>
      <c r="CC258" s="1757"/>
      <c r="CD258" s="1757"/>
      <c r="CE258" s="1757"/>
      <c r="CF258" s="1757"/>
      <c r="CG258" s="1757"/>
      <c r="CH258" s="1757"/>
    </row>
    <row r="259" spans="1:86" ht="15.6">
      <c r="A259" s="282"/>
      <c r="B259" s="258"/>
      <c r="C259" s="697"/>
      <c r="D259" s="82" t="s">
        <v>24</v>
      </c>
      <c r="E259" s="82"/>
      <c r="F259" s="694">
        <v>50</v>
      </c>
      <c r="G259" s="163" t="s">
        <v>19</v>
      </c>
      <c r="H259" s="695" t="s">
        <v>25</v>
      </c>
      <c r="I259" s="696">
        <v>-5</v>
      </c>
      <c r="J259" s="698">
        <f>(100-I259)/F259</f>
        <v>2.1</v>
      </c>
      <c r="K259" s="1944"/>
      <c r="L259" s="1945"/>
      <c r="M259" s="1945"/>
      <c r="N259" s="1945"/>
      <c r="O259" s="1945"/>
      <c r="P259" s="1945"/>
      <c r="Q259" s="1945"/>
      <c r="R259" s="1945"/>
      <c r="S259" s="1945"/>
      <c r="T259" s="1945"/>
      <c r="U259" s="1945"/>
      <c r="V259" s="1945"/>
      <c r="W259" s="1945"/>
      <c r="X259" s="1945"/>
      <c r="Y259" s="1945"/>
      <c r="Z259" s="1945"/>
      <c r="AA259" s="1945"/>
      <c r="AB259" s="1945"/>
      <c r="AC259" s="1945"/>
      <c r="AD259" s="1945"/>
      <c r="AE259" s="1945"/>
      <c r="AF259" s="1945"/>
      <c r="AG259" s="1945"/>
      <c r="AH259" s="1945"/>
      <c r="AI259" s="1945"/>
      <c r="AJ259" s="1945"/>
      <c r="AK259" s="1945"/>
      <c r="AL259" s="1945"/>
      <c r="AM259" s="1945"/>
      <c r="AN259" s="1945"/>
      <c r="AO259" s="1945"/>
      <c r="AP259" s="1945"/>
      <c r="AQ259" s="1945"/>
      <c r="AR259" s="1945"/>
      <c r="AS259" s="1945"/>
      <c r="AT259" s="1945"/>
      <c r="AU259" s="1945"/>
      <c r="AV259" s="1945"/>
      <c r="AW259" s="1945"/>
      <c r="AX259" s="1945"/>
      <c r="AY259" s="1945"/>
      <c r="AZ259" s="1945"/>
      <c r="BA259" s="1945"/>
      <c r="BB259" s="1945"/>
      <c r="BC259" s="1945"/>
      <c r="BD259" s="1945"/>
      <c r="BE259" s="1945"/>
      <c r="BF259" s="1945"/>
      <c r="BG259" s="1945"/>
      <c r="BH259" s="1945"/>
      <c r="BI259" s="1945"/>
      <c r="BJ259" s="1945"/>
      <c r="BK259" s="1945"/>
      <c r="BL259" s="1945"/>
      <c r="BM259" s="1945"/>
      <c r="BN259" s="1945"/>
      <c r="BO259" s="1945"/>
      <c r="BP259" s="1392">
        <f t="shared" si="8"/>
        <v>0</v>
      </c>
      <c r="BQ259" s="1758"/>
      <c r="BR259" s="1758"/>
      <c r="BS259" s="1758"/>
      <c r="BT259" s="1758"/>
      <c r="BU259" s="1758"/>
      <c r="BV259" s="1758"/>
      <c r="BW259" s="1758"/>
      <c r="BX259" s="1758"/>
      <c r="BY259" s="1758"/>
      <c r="BZ259" s="1758"/>
      <c r="CA259" s="1758"/>
      <c r="CB259" s="1758"/>
      <c r="CC259" s="1758"/>
      <c r="CD259" s="1758"/>
      <c r="CE259" s="1758"/>
      <c r="CF259" s="1758"/>
      <c r="CG259" s="1758"/>
      <c r="CH259" s="1758"/>
    </row>
    <row r="260" spans="1:86" ht="15.6">
      <c r="A260" s="282"/>
      <c r="B260" s="258"/>
      <c r="C260" s="697"/>
      <c r="D260" s="82" t="s">
        <v>260</v>
      </c>
      <c r="E260" s="82"/>
      <c r="F260" s="231" t="s">
        <v>137</v>
      </c>
      <c r="G260" s="163" t="s">
        <v>19</v>
      </c>
      <c r="H260" s="695" t="s">
        <v>655</v>
      </c>
      <c r="I260" s="696"/>
      <c r="J260" s="698">
        <v>2.9599305908116178</v>
      </c>
      <c r="K260" s="1944"/>
      <c r="L260" s="1945"/>
      <c r="M260" s="1945"/>
      <c r="N260" s="1945"/>
      <c r="O260" s="1945"/>
      <c r="P260" s="1945"/>
      <c r="Q260" s="1945"/>
      <c r="R260" s="1945"/>
      <c r="S260" s="1945"/>
      <c r="T260" s="1945"/>
      <c r="U260" s="1945"/>
      <c r="V260" s="1945"/>
      <c r="W260" s="1945"/>
      <c r="X260" s="1945"/>
      <c r="Y260" s="1945"/>
      <c r="Z260" s="1945"/>
      <c r="AA260" s="1945"/>
      <c r="AB260" s="1945"/>
      <c r="AC260" s="1945"/>
      <c r="AD260" s="1945"/>
      <c r="AE260" s="1945"/>
      <c r="AF260" s="1945"/>
      <c r="AG260" s="1945"/>
      <c r="AH260" s="1945"/>
      <c r="AI260" s="1945"/>
      <c r="AJ260" s="1945"/>
      <c r="AK260" s="1945"/>
      <c r="AL260" s="1945"/>
      <c r="AM260" s="1945"/>
      <c r="AN260" s="1945"/>
      <c r="AO260" s="1945"/>
      <c r="AP260" s="1945"/>
      <c r="AQ260" s="1945"/>
      <c r="AR260" s="1945"/>
      <c r="AS260" s="1945"/>
      <c r="AT260" s="1945"/>
      <c r="AU260" s="1945"/>
      <c r="AV260" s="1945"/>
      <c r="AW260" s="1945"/>
      <c r="AX260" s="1945"/>
      <c r="AY260" s="1945"/>
      <c r="AZ260" s="1945"/>
      <c r="BA260" s="1945"/>
      <c r="BB260" s="1945"/>
      <c r="BC260" s="1945"/>
      <c r="BD260" s="1945"/>
      <c r="BE260" s="1945"/>
      <c r="BF260" s="1945"/>
      <c r="BG260" s="1945"/>
      <c r="BH260" s="1945"/>
      <c r="BI260" s="1945"/>
      <c r="BJ260" s="1945"/>
      <c r="BK260" s="1945"/>
      <c r="BL260" s="1945"/>
      <c r="BM260" s="1945"/>
      <c r="BN260" s="1945"/>
      <c r="BO260" s="1945"/>
      <c r="BP260" s="1392">
        <f t="shared" si="8"/>
        <v>0</v>
      </c>
      <c r="BQ260" s="1757"/>
      <c r="BR260" s="1757"/>
      <c r="BS260" s="1757"/>
      <c r="BT260" s="1757"/>
      <c r="BU260" s="1757"/>
      <c r="BV260" s="1757"/>
      <c r="BW260" s="1757"/>
      <c r="BX260" s="1757"/>
      <c r="BY260" s="1757"/>
      <c r="BZ260" s="1757"/>
      <c r="CA260" s="1757"/>
      <c r="CB260" s="1757"/>
      <c r="CC260" s="1757"/>
      <c r="CD260" s="1757"/>
      <c r="CE260" s="1757"/>
      <c r="CF260" s="1757"/>
      <c r="CG260" s="1757"/>
      <c r="CH260" s="1757"/>
    </row>
    <row r="261" spans="1:86" ht="15.6">
      <c r="A261" s="282"/>
      <c r="B261" s="258"/>
      <c r="C261" s="334"/>
      <c r="D261" s="82" t="s">
        <v>26</v>
      </c>
      <c r="E261" s="82"/>
      <c r="F261" s="694">
        <v>15</v>
      </c>
      <c r="G261" s="163" t="s">
        <v>19</v>
      </c>
      <c r="H261" s="695" t="s">
        <v>27</v>
      </c>
      <c r="I261" s="696">
        <v>0</v>
      </c>
      <c r="J261" s="698">
        <f>100/F261</f>
        <v>6.666666666666667</v>
      </c>
      <c r="K261" s="1944"/>
      <c r="L261" s="1945"/>
      <c r="M261" s="1945"/>
      <c r="N261" s="1945"/>
      <c r="O261" s="1945"/>
      <c r="P261" s="1945"/>
      <c r="Q261" s="1945"/>
      <c r="R261" s="1945"/>
      <c r="S261" s="1945"/>
      <c r="T261" s="1945"/>
      <c r="U261" s="1945"/>
      <c r="V261" s="1945"/>
      <c r="W261" s="1945"/>
      <c r="X261" s="1945"/>
      <c r="Y261" s="1945"/>
      <c r="Z261" s="1945"/>
      <c r="AA261" s="1945"/>
      <c r="AB261" s="1945"/>
      <c r="AC261" s="1945"/>
      <c r="AD261" s="1945"/>
      <c r="AE261" s="1945"/>
      <c r="AF261" s="1945"/>
      <c r="AG261" s="1945"/>
      <c r="AH261" s="1945"/>
      <c r="AI261" s="1945"/>
      <c r="AJ261" s="1945"/>
      <c r="AK261" s="1945"/>
      <c r="AL261" s="1945"/>
      <c r="AM261" s="1945"/>
      <c r="AN261" s="1945"/>
      <c r="AO261" s="1945"/>
      <c r="AP261" s="1945"/>
      <c r="AQ261" s="1945"/>
      <c r="AR261" s="1945"/>
      <c r="AS261" s="1945"/>
      <c r="AT261" s="1945"/>
      <c r="AU261" s="1945"/>
      <c r="AV261" s="1945"/>
      <c r="AW261" s="1945"/>
      <c r="AX261" s="1945"/>
      <c r="AY261" s="1945"/>
      <c r="AZ261" s="1945"/>
      <c r="BA261" s="1945"/>
      <c r="BB261" s="1945"/>
      <c r="BC261" s="1945"/>
      <c r="BD261" s="1945"/>
      <c r="BE261" s="1945"/>
      <c r="BF261" s="1945"/>
      <c r="BG261" s="1945"/>
      <c r="BH261" s="1945"/>
      <c r="BI261" s="1945"/>
      <c r="BJ261" s="1945"/>
      <c r="BK261" s="1945"/>
      <c r="BL261" s="1945"/>
      <c r="BM261" s="1945"/>
      <c r="BN261" s="1945"/>
      <c r="BO261" s="1945"/>
      <c r="BP261" s="1392">
        <f t="shared" si="8"/>
        <v>0</v>
      </c>
      <c r="BQ261" s="1757"/>
      <c r="BR261" s="1757"/>
      <c r="BS261" s="1757"/>
      <c r="BT261" s="1757"/>
      <c r="BU261" s="1757"/>
      <c r="BV261" s="1757"/>
      <c r="BW261" s="1757"/>
      <c r="BX261" s="1757"/>
      <c r="BY261" s="1757"/>
      <c r="BZ261" s="1757"/>
      <c r="CA261" s="1757"/>
      <c r="CB261" s="1757"/>
      <c r="CC261" s="1757"/>
      <c r="CD261" s="1757"/>
      <c r="CE261" s="1757"/>
      <c r="CF261" s="1757"/>
      <c r="CG261" s="1757"/>
      <c r="CH261" s="1757"/>
    </row>
    <row r="262" spans="1:86" ht="15.6">
      <c r="A262" s="282"/>
      <c r="B262" s="258"/>
      <c r="C262" s="697"/>
      <c r="D262" s="697"/>
      <c r="E262" s="82"/>
      <c r="F262" s="694"/>
      <c r="G262" s="163"/>
      <c r="H262" s="695"/>
      <c r="I262" s="696"/>
      <c r="J262" s="698"/>
      <c r="K262" s="1944"/>
      <c r="L262" s="1945"/>
      <c r="M262" s="1945"/>
      <c r="N262" s="1945"/>
      <c r="O262" s="1945"/>
      <c r="P262" s="1945"/>
      <c r="Q262" s="1945"/>
      <c r="R262" s="1945"/>
      <c r="S262" s="1945"/>
      <c r="T262" s="1945"/>
      <c r="U262" s="1945"/>
      <c r="V262" s="1945"/>
      <c r="W262" s="1945"/>
      <c r="X262" s="1945"/>
      <c r="Y262" s="1945"/>
      <c r="Z262" s="1945"/>
      <c r="AA262" s="1945"/>
      <c r="AB262" s="1945"/>
      <c r="AC262" s="1945"/>
      <c r="AD262" s="1945"/>
      <c r="AE262" s="1945"/>
      <c r="AF262" s="1945"/>
      <c r="AG262" s="1945"/>
      <c r="AH262" s="1945"/>
      <c r="AI262" s="1945"/>
      <c r="AJ262" s="1945"/>
      <c r="AK262" s="1945"/>
      <c r="AL262" s="1945"/>
      <c r="AM262" s="1945"/>
      <c r="AN262" s="1945"/>
      <c r="AO262" s="1945"/>
      <c r="AP262" s="1945"/>
      <c r="AQ262" s="1945"/>
      <c r="AR262" s="1945"/>
      <c r="AS262" s="1945"/>
      <c r="AT262" s="1945"/>
      <c r="AU262" s="1945"/>
      <c r="AV262" s="1945"/>
      <c r="AW262" s="1945"/>
      <c r="AX262" s="1945"/>
      <c r="AY262" s="1945"/>
      <c r="AZ262" s="1945"/>
      <c r="BA262" s="1945"/>
      <c r="BB262" s="1945"/>
      <c r="BC262" s="1945"/>
      <c r="BD262" s="1945"/>
      <c r="BE262" s="1945"/>
      <c r="BF262" s="1945"/>
      <c r="BG262" s="1945"/>
      <c r="BH262" s="1945"/>
      <c r="BI262" s="1945"/>
      <c r="BJ262" s="1945"/>
      <c r="BK262" s="1945"/>
      <c r="BL262" s="1945"/>
      <c r="BM262" s="1945"/>
      <c r="BN262" s="1945"/>
      <c r="BO262" s="1945"/>
      <c r="BP262" s="1392">
        <f t="shared" si="8"/>
        <v>0</v>
      </c>
      <c r="BQ262" s="1758"/>
      <c r="BR262" s="1758"/>
      <c r="BS262" s="1758"/>
      <c r="BT262" s="1758"/>
      <c r="BU262" s="1758"/>
      <c r="BV262" s="1758"/>
      <c r="BW262" s="1758"/>
      <c r="BX262" s="1758"/>
      <c r="BY262" s="1758"/>
      <c r="BZ262" s="1758"/>
      <c r="CA262" s="1758"/>
      <c r="CB262" s="1758"/>
      <c r="CC262" s="1758"/>
      <c r="CD262" s="1758"/>
      <c r="CE262" s="1758"/>
      <c r="CF262" s="1758"/>
      <c r="CG262" s="1758"/>
      <c r="CH262" s="1758"/>
    </row>
    <row r="263" spans="1:86" ht="15.6">
      <c r="A263" s="282"/>
      <c r="B263" s="258"/>
      <c r="C263" s="697">
        <v>354</v>
      </c>
      <c r="D263" s="697" t="s">
        <v>28</v>
      </c>
      <c r="E263" s="82"/>
      <c r="F263" s="694">
        <v>65</v>
      </c>
      <c r="G263" s="163" t="s">
        <v>19</v>
      </c>
      <c r="H263" s="695" t="s">
        <v>20</v>
      </c>
      <c r="I263" s="696">
        <v>-25</v>
      </c>
      <c r="J263" s="698">
        <f>(100-I263)/F263</f>
        <v>1.9230769230769231</v>
      </c>
      <c r="K263" s="1944"/>
      <c r="L263" s="1945"/>
      <c r="M263" s="1945">
        <v>7293191.4299999997</v>
      </c>
      <c r="N263" s="1945"/>
      <c r="O263" s="1945"/>
      <c r="P263" s="1945"/>
      <c r="Q263" s="1945"/>
      <c r="R263" s="1945"/>
      <c r="S263" s="1945"/>
      <c r="T263" s="1945"/>
      <c r="U263" s="1945"/>
      <c r="V263" s="1945"/>
      <c r="W263" s="1945"/>
      <c r="X263" s="1945"/>
      <c r="Y263" s="1945"/>
      <c r="Z263" s="1945"/>
      <c r="AA263" s="1945"/>
      <c r="AB263" s="1945"/>
      <c r="AC263" s="1945"/>
      <c r="AD263" s="1945"/>
      <c r="AE263" s="1945"/>
      <c r="AF263" s="1945"/>
      <c r="AG263" s="1945"/>
      <c r="AH263" s="1945"/>
      <c r="AI263" s="1945">
        <v>35707.68</v>
      </c>
      <c r="AJ263" s="1945"/>
      <c r="AK263" s="1945"/>
      <c r="AL263" s="1945"/>
      <c r="AM263" s="1945"/>
      <c r="AN263" s="1945"/>
      <c r="AO263" s="1945"/>
      <c r="AP263" s="1945"/>
      <c r="AQ263" s="1945">
        <v>80158.200000000012</v>
      </c>
      <c r="AR263" s="1945"/>
      <c r="AS263" s="1945"/>
      <c r="AT263" s="1945"/>
      <c r="AU263" s="1945"/>
      <c r="AV263" s="1945"/>
      <c r="AW263" s="1945"/>
      <c r="AX263" s="1945"/>
      <c r="AY263" s="1945"/>
      <c r="AZ263" s="1945"/>
      <c r="BA263" s="1945"/>
      <c r="BB263" s="1945">
        <v>11386.28</v>
      </c>
      <c r="BC263" s="1945"/>
      <c r="BD263" s="1945"/>
      <c r="BE263" s="1945"/>
      <c r="BF263" s="1945"/>
      <c r="BG263" s="1945"/>
      <c r="BH263" s="1945"/>
      <c r="BI263" s="1945"/>
      <c r="BJ263" s="1945"/>
      <c r="BK263" s="1945"/>
      <c r="BL263" s="1945"/>
      <c r="BM263" s="1945"/>
      <c r="BN263" s="1945"/>
      <c r="BO263" s="1945"/>
      <c r="BP263" s="1392">
        <f t="shared" si="8"/>
        <v>7420443.5899999999</v>
      </c>
      <c r="BQ263" s="1758"/>
      <c r="BR263" s="1758"/>
      <c r="BS263" s="1758"/>
      <c r="BT263" s="1758"/>
      <c r="BU263" s="1758"/>
      <c r="BV263" s="1758"/>
      <c r="BW263" s="1758"/>
      <c r="BX263" s="1758"/>
      <c r="BY263" s="1758"/>
      <c r="BZ263" s="1758"/>
      <c r="CA263" s="1758"/>
      <c r="CB263" s="1758"/>
      <c r="CC263" s="1758"/>
      <c r="CD263" s="1758"/>
      <c r="CE263" s="1758"/>
      <c r="CF263" s="1758"/>
      <c r="CG263" s="1758"/>
      <c r="CH263" s="1758"/>
    </row>
    <row r="264" spans="1:86" ht="15.6">
      <c r="A264" s="282"/>
      <c r="B264" s="258"/>
      <c r="C264" s="697">
        <v>355</v>
      </c>
      <c r="D264" s="697" t="s">
        <v>29</v>
      </c>
      <c r="E264" s="82"/>
      <c r="F264" s="694">
        <v>55</v>
      </c>
      <c r="G264" s="163" t="s">
        <v>19</v>
      </c>
      <c r="H264" s="695" t="s">
        <v>30</v>
      </c>
      <c r="I264" s="696">
        <v>-20</v>
      </c>
      <c r="J264" s="698">
        <f>(100-I264)/F264</f>
        <v>2.1818181818181817</v>
      </c>
      <c r="K264" s="1945"/>
      <c r="L264" s="1945"/>
      <c r="M264" s="1945">
        <v>2909064.73</v>
      </c>
      <c r="N264" s="1945"/>
      <c r="O264" s="1945"/>
      <c r="P264" s="1945"/>
      <c r="Q264" s="1945"/>
      <c r="R264" s="1945"/>
      <c r="S264" s="1945"/>
      <c r="T264" s="1945"/>
      <c r="U264" s="1945"/>
      <c r="V264" s="1945"/>
      <c r="W264" s="1945"/>
      <c r="X264" s="1945"/>
      <c r="Y264" s="1945">
        <v>96594.55</v>
      </c>
      <c r="Z264" s="1945"/>
      <c r="AA264" s="1945"/>
      <c r="AB264" s="1945"/>
      <c r="AC264" s="1945"/>
      <c r="AD264" s="1945"/>
      <c r="AE264" s="1945"/>
      <c r="AF264" s="1945">
        <v>8427.6</v>
      </c>
      <c r="AG264" s="1945"/>
      <c r="AH264" s="1945"/>
      <c r="AI264" s="1945">
        <v>198156.6</v>
      </c>
      <c r="AJ264" s="1945"/>
      <c r="AK264" s="1945"/>
      <c r="AL264" s="1945"/>
      <c r="AM264" s="1945"/>
      <c r="AN264" s="1945"/>
      <c r="AO264" s="1945"/>
      <c r="AP264" s="1945"/>
      <c r="AQ264" s="1945"/>
      <c r="AR264" s="1945"/>
      <c r="AS264" s="1945"/>
      <c r="AT264" s="1945"/>
      <c r="AU264" s="1945"/>
      <c r="AV264" s="1945"/>
      <c r="AW264" s="1945"/>
      <c r="AX264" s="1945"/>
      <c r="AY264" s="1945"/>
      <c r="AZ264" s="1945"/>
      <c r="BA264" s="1945"/>
      <c r="BB264" s="1945">
        <v>-643.54999999999995</v>
      </c>
      <c r="BC264" s="1945"/>
      <c r="BD264" s="1945"/>
      <c r="BE264" s="1945"/>
      <c r="BF264" s="1945"/>
      <c r="BG264" s="1945"/>
      <c r="BH264" s="1945">
        <v>866764.07</v>
      </c>
      <c r="BI264" s="1945"/>
      <c r="BJ264" s="1945"/>
      <c r="BK264" s="1945"/>
      <c r="BL264" s="1945"/>
      <c r="BM264" s="1945"/>
      <c r="BN264" s="1945"/>
      <c r="BO264" s="1945"/>
      <c r="BP264" s="1392">
        <f>SUM(K264:BO264)</f>
        <v>4078364</v>
      </c>
      <c r="BQ264" s="1758"/>
      <c r="BR264" s="1758"/>
      <c r="BS264" s="1758"/>
      <c r="BT264" s="1758"/>
      <c r="BU264" s="1758"/>
      <c r="BV264" s="1758"/>
      <c r="BW264" s="1758"/>
      <c r="BX264" s="1758"/>
      <c r="BY264" s="1758"/>
      <c r="BZ264" s="1758"/>
      <c r="CA264" s="1758"/>
      <c r="CB264" s="1758"/>
      <c r="CC264" s="1758"/>
      <c r="CD264" s="1758"/>
      <c r="CE264" s="1758"/>
      <c r="CF264" s="1758"/>
      <c r="CG264" s="1758"/>
      <c r="CH264" s="1758"/>
    </row>
    <row r="265" spans="1:86" ht="15.6">
      <c r="A265" s="282"/>
      <c r="B265" s="258"/>
      <c r="C265" s="697"/>
      <c r="D265" s="697"/>
      <c r="E265" s="82"/>
      <c r="F265" s="694"/>
      <c r="G265" s="163"/>
      <c r="H265" s="695"/>
      <c r="I265" s="696"/>
      <c r="J265" s="698"/>
      <c r="K265" s="1944"/>
      <c r="L265" s="1945"/>
      <c r="M265" s="1945"/>
      <c r="N265" s="1945"/>
      <c r="O265" s="1945"/>
      <c r="P265" s="1945"/>
      <c r="Q265" s="1945"/>
      <c r="R265" s="1945"/>
      <c r="S265" s="1945"/>
      <c r="T265" s="1945"/>
      <c r="U265" s="1945"/>
      <c r="V265" s="1945"/>
      <c r="W265" s="1945"/>
      <c r="X265" s="1945"/>
      <c r="Y265" s="1945"/>
      <c r="Z265" s="1945"/>
      <c r="AA265" s="1945"/>
      <c r="AB265" s="1945"/>
      <c r="AC265" s="1945"/>
      <c r="AD265" s="1945"/>
      <c r="AE265" s="1945"/>
      <c r="AF265" s="1945"/>
      <c r="AG265" s="1945"/>
      <c r="AH265" s="1945"/>
      <c r="AI265" s="1945"/>
      <c r="AJ265" s="1945"/>
      <c r="AK265" s="1945"/>
      <c r="AL265" s="1945"/>
      <c r="AM265" s="1945"/>
      <c r="AN265" s="1945"/>
      <c r="AO265" s="1945"/>
      <c r="AP265" s="1945"/>
      <c r="AQ265" s="1945"/>
      <c r="AR265" s="1945"/>
      <c r="AS265" s="1945"/>
      <c r="AT265" s="1945"/>
      <c r="AU265" s="1945"/>
      <c r="AV265" s="1945"/>
      <c r="AW265" s="1945"/>
      <c r="AX265" s="1945"/>
      <c r="AY265" s="1945"/>
      <c r="AZ265" s="1945"/>
      <c r="BA265" s="1945"/>
      <c r="BB265" s="1945"/>
      <c r="BC265" s="1945"/>
      <c r="BD265" s="1945"/>
      <c r="BE265" s="1945"/>
      <c r="BF265" s="1945"/>
      <c r="BG265" s="1945"/>
      <c r="BH265" s="1945"/>
      <c r="BI265" s="1945"/>
      <c r="BJ265" s="1945"/>
      <c r="BK265" s="1945"/>
      <c r="BL265" s="1945"/>
      <c r="BM265" s="1945"/>
      <c r="BN265" s="1945"/>
      <c r="BO265" s="1945"/>
      <c r="BP265" s="1392">
        <f t="shared" si="8"/>
        <v>0</v>
      </c>
      <c r="BQ265" s="1758"/>
      <c r="BR265" s="1758"/>
      <c r="BS265" s="1758"/>
      <c r="BT265" s="1758"/>
      <c r="BU265" s="1758"/>
      <c r="BV265" s="1758"/>
      <c r="BW265" s="1758"/>
      <c r="BX265" s="1758"/>
      <c r="BY265" s="1758"/>
      <c r="BZ265" s="1758"/>
      <c r="CA265" s="1758"/>
      <c r="CB265" s="1758"/>
      <c r="CC265" s="1758"/>
      <c r="CD265" s="1758"/>
      <c r="CE265" s="1758"/>
      <c r="CF265" s="1758"/>
      <c r="CG265" s="1758"/>
      <c r="CH265" s="1758"/>
    </row>
    <row r="266" spans="1:86" ht="15.6">
      <c r="A266" s="282"/>
      <c r="B266" s="273"/>
      <c r="C266" s="697">
        <v>356</v>
      </c>
      <c r="D266" s="697" t="s">
        <v>37</v>
      </c>
      <c r="E266" s="82"/>
      <c r="F266" s="694"/>
      <c r="G266" s="163"/>
      <c r="H266" s="695"/>
      <c r="I266" s="696"/>
      <c r="J266" s="698"/>
      <c r="K266" s="1945"/>
      <c r="L266" s="1945"/>
      <c r="M266" s="1945">
        <v>6389047.0299999984</v>
      </c>
      <c r="N266" s="1945"/>
      <c r="O266" s="1945"/>
      <c r="P266" s="1945"/>
      <c r="Q266" s="1945"/>
      <c r="R266" s="1945"/>
      <c r="S266" s="1945"/>
      <c r="T266" s="1945"/>
      <c r="U266" s="1945"/>
      <c r="V266" s="1945"/>
      <c r="W266" s="1945"/>
      <c r="X266" s="1945"/>
      <c r="Y266" s="1945">
        <v>350730.16000000009</v>
      </c>
      <c r="Z266" s="1945"/>
      <c r="AA266" s="1945"/>
      <c r="AB266" s="1945"/>
      <c r="AC266" s="1945"/>
      <c r="AD266" s="1945"/>
      <c r="AE266" s="1945"/>
      <c r="AF266" s="1945">
        <v>385008.96</v>
      </c>
      <c r="AG266" s="1945"/>
      <c r="AH266" s="1945"/>
      <c r="AI266" s="1945">
        <v>42715.779999999992</v>
      </c>
      <c r="AJ266" s="1945"/>
      <c r="AK266" s="1945"/>
      <c r="AL266" s="1945"/>
      <c r="AM266" s="1945"/>
      <c r="AN266" s="1945"/>
      <c r="AO266" s="1945"/>
      <c r="AP266" s="1945"/>
      <c r="AQ266" s="1945">
        <v>30047.59</v>
      </c>
      <c r="AR266" s="1945"/>
      <c r="AS266" s="1945"/>
      <c r="AT266" s="1945"/>
      <c r="AU266" s="1945"/>
      <c r="AV266" s="1945"/>
      <c r="AW266" s="1945"/>
      <c r="AX266" s="1945"/>
      <c r="AY266" s="1945"/>
      <c r="AZ266" s="1945"/>
      <c r="BA266" s="1945"/>
      <c r="BB266" s="1945">
        <v>206950.6</v>
      </c>
      <c r="BC266" s="1945"/>
      <c r="BD266" s="1945"/>
      <c r="BE266" s="1945"/>
      <c r="BF266" s="1945"/>
      <c r="BG266" s="1945"/>
      <c r="BH266" s="1945">
        <v>1166880.25</v>
      </c>
      <c r="BI266" s="1945"/>
      <c r="BJ266" s="1945"/>
      <c r="BK266" s="1945"/>
      <c r="BL266" s="1945"/>
      <c r="BM266" s="1945"/>
      <c r="BN266" s="1945"/>
      <c r="BO266" s="1945"/>
      <c r="BP266" s="1392">
        <f t="shared" si="8"/>
        <v>8571380.3699999973</v>
      </c>
      <c r="BQ266" s="1758"/>
      <c r="BR266" s="1758"/>
      <c r="BS266" s="1758"/>
      <c r="BT266" s="1758"/>
      <c r="BU266" s="1758"/>
      <c r="BV266" s="1758"/>
      <c r="BW266" s="1758"/>
      <c r="BX266" s="1758"/>
      <c r="BY266" s="1758"/>
      <c r="BZ266" s="1758"/>
      <c r="CA266" s="1758"/>
      <c r="CB266" s="1758"/>
      <c r="CC266" s="1758"/>
      <c r="CD266" s="1758"/>
      <c r="CE266" s="1758"/>
      <c r="CF266" s="1758"/>
      <c r="CG266" s="1758"/>
      <c r="CH266" s="1758"/>
    </row>
    <row r="267" spans="1:86" ht="15.6">
      <c r="A267" s="282"/>
      <c r="B267" s="273"/>
      <c r="C267" s="697"/>
      <c r="D267" s="697" t="s">
        <v>24</v>
      </c>
      <c r="E267" s="82"/>
      <c r="F267" s="694">
        <v>55</v>
      </c>
      <c r="G267" s="163" t="s">
        <v>19</v>
      </c>
      <c r="H267" s="695" t="s">
        <v>30</v>
      </c>
      <c r="I267" s="696">
        <v>-40</v>
      </c>
      <c r="J267" s="698">
        <v>2.8</v>
      </c>
      <c r="K267" s="1944"/>
      <c r="L267" s="1945"/>
      <c r="M267" s="1945"/>
      <c r="N267" s="1945"/>
      <c r="O267" s="1945"/>
      <c r="P267" s="1945"/>
      <c r="Q267" s="1945"/>
      <c r="R267" s="1945"/>
      <c r="S267" s="1945"/>
      <c r="T267" s="1945"/>
      <c r="U267" s="1945"/>
      <c r="V267" s="1945"/>
      <c r="W267" s="1945"/>
      <c r="X267" s="1945"/>
      <c r="Y267" s="1945"/>
      <c r="Z267" s="1945"/>
      <c r="AA267" s="1945"/>
      <c r="AB267" s="1945"/>
      <c r="AC267" s="1945"/>
      <c r="AD267" s="1945"/>
      <c r="AE267" s="1945"/>
      <c r="AF267" s="1945"/>
      <c r="AG267" s="1945"/>
      <c r="AH267" s="1945"/>
      <c r="AI267" s="1945"/>
      <c r="AJ267" s="1945"/>
      <c r="AK267" s="1945"/>
      <c r="AL267" s="1945"/>
      <c r="AM267" s="1945"/>
      <c r="AN267" s="1945"/>
      <c r="AO267" s="1945"/>
      <c r="AP267" s="1945"/>
      <c r="AQ267" s="1945"/>
      <c r="AR267" s="1945"/>
      <c r="AS267" s="1945"/>
      <c r="AT267" s="1945"/>
      <c r="AU267" s="1945"/>
      <c r="AV267" s="1945"/>
      <c r="AW267" s="1945"/>
      <c r="AX267" s="1945"/>
      <c r="AY267" s="1945"/>
      <c r="AZ267" s="1945"/>
      <c r="BA267" s="1945"/>
      <c r="BB267" s="1945"/>
      <c r="BC267" s="1945"/>
      <c r="BD267" s="1945"/>
      <c r="BE267" s="1945"/>
      <c r="BF267" s="1945"/>
      <c r="BG267" s="1945"/>
      <c r="BH267" s="1945"/>
      <c r="BI267" s="1945"/>
      <c r="BJ267" s="1945"/>
      <c r="BK267" s="1945"/>
      <c r="BL267" s="1945"/>
      <c r="BM267" s="1945"/>
      <c r="BN267" s="1945"/>
      <c r="BO267" s="1945"/>
      <c r="BP267" s="1392">
        <f t="shared" si="8"/>
        <v>0</v>
      </c>
      <c r="BQ267" s="1758"/>
      <c r="BR267" s="1758"/>
      <c r="BS267" s="1758"/>
      <c r="BT267" s="1758"/>
      <c r="BU267" s="1758"/>
      <c r="BV267" s="1758"/>
      <c r="BW267" s="1758"/>
      <c r="BX267" s="1758"/>
      <c r="BY267" s="1758"/>
      <c r="BZ267" s="1758"/>
      <c r="CA267" s="1758"/>
      <c r="CB267" s="1758"/>
      <c r="CC267" s="1758"/>
      <c r="CD267" s="1758"/>
      <c r="CE267" s="1758"/>
      <c r="CF267" s="1758"/>
      <c r="CG267" s="1758"/>
      <c r="CH267" s="1758"/>
    </row>
    <row r="268" spans="1:86" ht="15.6">
      <c r="A268" s="282"/>
      <c r="B268" s="273"/>
      <c r="C268" s="697"/>
      <c r="D268" s="697" t="s">
        <v>38</v>
      </c>
      <c r="E268" s="82"/>
      <c r="F268" s="694">
        <v>70</v>
      </c>
      <c r="G268" s="163" t="s">
        <v>19</v>
      </c>
      <c r="H268" s="695" t="s">
        <v>20</v>
      </c>
      <c r="I268" s="696">
        <v>0</v>
      </c>
      <c r="J268" s="698">
        <f>(100-I268)/F268</f>
        <v>1.4285714285714286</v>
      </c>
      <c r="K268" s="1944"/>
      <c r="L268" s="1945"/>
      <c r="M268" s="1945"/>
      <c r="N268" s="1945"/>
      <c r="O268" s="1945"/>
      <c r="P268" s="1945"/>
      <c r="Q268" s="1945"/>
      <c r="R268" s="1945"/>
      <c r="S268" s="1945"/>
      <c r="T268" s="1945"/>
      <c r="U268" s="1945"/>
      <c r="V268" s="1945"/>
      <c r="W268" s="1945"/>
      <c r="X268" s="1945"/>
      <c r="Y268" s="1945"/>
      <c r="Z268" s="1945"/>
      <c r="AA268" s="1945"/>
      <c r="AB268" s="1945"/>
      <c r="AC268" s="1945"/>
      <c r="AD268" s="1945"/>
      <c r="AE268" s="1945"/>
      <c r="AF268" s="1945"/>
      <c r="AG268" s="1945"/>
      <c r="AH268" s="1945"/>
      <c r="AI268" s="1945"/>
      <c r="AJ268" s="1945"/>
      <c r="AK268" s="1945"/>
      <c r="AL268" s="1945"/>
      <c r="AM268" s="1945"/>
      <c r="AN268" s="1945"/>
      <c r="AO268" s="1945"/>
      <c r="AP268" s="1945"/>
      <c r="AQ268" s="1945"/>
      <c r="AR268" s="1945"/>
      <c r="AS268" s="1945"/>
      <c r="AT268" s="1945"/>
      <c r="AU268" s="1945"/>
      <c r="AV268" s="1945"/>
      <c r="AW268" s="1945"/>
      <c r="AX268" s="1945"/>
      <c r="AY268" s="1945"/>
      <c r="AZ268" s="1945"/>
      <c r="BA268" s="1945"/>
      <c r="BB268" s="1945"/>
      <c r="BC268" s="1945"/>
      <c r="BD268" s="1945"/>
      <c r="BE268" s="1945"/>
      <c r="BF268" s="1945"/>
      <c r="BG268" s="1945"/>
      <c r="BH268" s="1945"/>
      <c r="BI268" s="1945"/>
      <c r="BJ268" s="1945"/>
      <c r="BK268" s="1945"/>
      <c r="BL268" s="1945"/>
      <c r="BM268" s="1945"/>
      <c r="BN268" s="1945"/>
      <c r="BO268" s="1945"/>
      <c r="BP268" s="1392">
        <f t="shared" si="8"/>
        <v>0</v>
      </c>
      <c r="BQ268" s="1758"/>
      <c r="BR268" s="1758"/>
      <c r="BS268" s="1758"/>
      <c r="BT268" s="1758"/>
      <c r="BU268" s="1758"/>
      <c r="BV268" s="1758"/>
      <c r="BW268" s="1758"/>
      <c r="BX268" s="1758"/>
      <c r="BY268" s="1758"/>
      <c r="BZ268" s="1758"/>
      <c r="CA268" s="1758"/>
      <c r="CB268" s="1758"/>
      <c r="CC268" s="1758"/>
      <c r="CD268" s="1758"/>
      <c r="CE268" s="1758"/>
      <c r="CF268" s="1758"/>
      <c r="CG268" s="1758"/>
      <c r="CH268" s="1758"/>
    </row>
    <row r="269" spans="1:86" ht="15.6">
      <c r="A269" s="688"/>
      <c r="B269" s="240"/>
      <c r="C269" s="697"/>
      <c r="D269" s="82"/>
      <c r="E269" s="82"/>
      <c r="F269" s="694"/>
      <c r="G269" s="163"/>
      <c r="H269" s="695"/>
      <c r="I269" s="696"/>
      <c r="J269" s="698"/>
      <c r="K269" s="1944"/>
      <c r="L269" s="1945"/>
      <c r="M269" s="1945"/>
      <c r="N269" s="1945"/>
      <c r="O269" s="1945"/>
      <c r="P269" s="1945"/>
      <c r="Q269" s="1945"/>
      <c r="R269" s="1945"/>
      <c r="S269" s="1945"/>
      <c r="T269" s="1945"/>
      <c r="U269" s="1945"/>
      <c r="V269" s="1945"/>
      <c r="W269" s="1945"/>
      <c r="X269" s="1945"/>
      <c r="Y269" s="1945"/>
      <c r="Z269" s="1945"/>
      <c r="AA269" s="1945"/>
      <c r="AB269" s="1945"/>
      <c r="AC269" s="1945"/>
      <c r="AD269" s="1945"/>
      <c r="AE269" s="1945"/>
      <c r="AF269" s="1945"/>
      <c r="AG269" s="1945"/>
      <c r="AH269" s="1945"/>
      <c r="AI269" s="1945"/>
      <c r="AJ269" s="1945"/>
      <c r="AK269" s="1945"/>
      <c r="AL269" s="1945"/>
      <c r="AM269" s="1945"/>
      <c r="AN269" s="1945"/>
      <c r="AO269" s="1945"/>
      <c r="AP269" s="1945"/>
      <c r="AQ269" s="1945"/>
      <c r="AR269" s="1945"/>
      <c r="AS269" s="1945"/>
      <c r="AT269" s="1945"/>
      <c r="AU269" s="1945"/>
      <c r="AV269" s="1945"/>
      <c r="AW269" s="1945"/>
      <c r="AX269" s="1945"/>
      <c r="AY269" s="1945"/>
      <c r="AZ269" s="1945"/>
      <c r="BA269" s="1945"/>
      <c r="BB269" s="1945"/>
      <c r="BC269" s="1945"/>
      <c r="BD269" s="1945"/>
      <c r="BE269" s="1945"/>
      <c r="BF269" s="1945"/>
      <c r="BG269" s="1945"/>
      <c r="BH269" s="1945"/>
      <c r="BI269" s="1945"/>
      <c r="BJ269" s="1945"/>
      <c r="BK269" s="1945"/>
      <c r="BL269" s="1945"/>
      <c r="BM269" s="1945"/>
      <c r="BN269" s="1945"/>
      <c r="BO269" s="1945"/>
      <c r="BP269" s="1392">
        <f t="shared" si="8"/>
        <v>0</v>
      </c>
      <c r="BQ269" s="1758"/>
      <c r="BR269" s="1758"/>
      <c r="BS269" s="1758"/>
      <c r="BT269" s="1758"/>
      <c r="BU269" s="1758"/>
      <c r="BV269" s="1758"/>
      <c r="BW269" s="1758"/>
      <c r="BX269" s="1758"/>
      <c r="BY269" s="1758"/>
      <c r="BZ269" s="1758"/>
      <c r="CA269" s="1758"/>
      <c r="CB269" s="1758"/>
      <c r="CC269" s="1758"/>
      <c r="CD269" s="1758"/>
      <c r="CE269" s="1758"/>
      <c r="CF269" s="1758"/>
      <c r="CG269" s="1758"/>
      <c r="CH269" s="1758"/>
    </row>
    <row r="270" spans="1:86" ht="15.6">
      <c r="A270" s="688"/>
      <c r="B270" s="240"/>
      <c r="C270" s="697">
        <v>357</v>
      </c>
      <c r="D270" s="82" t="s">
        <v>39</v>
      </c>
      <c r="E270" s="82"/>
      <c r="F270" s="694">
        <v>55</v>
      </c>
      <c r="G270" s="163" t="s">
        <v>19</v>
      </c>
      <c r="H270" s="695" t="s">
        <v>27</v>
      </c>
      <c r="I270" s="696">
        <v>-5</v>
      </c>
      <c r="J270" s="698">
        <f>(100-I270)/F270</f>
        <v>1.9090909090909092</v>
      </c>
      <c r="K270" s="1944"/>
      <c r="L270" s="1945"/>
      <c r="M270" s="1945"/>
      <c r="N270" s="1945"/>
      <c r="O270" s="1945"/>
      <c r="P270" s="1945"/>
      <c r="Q270" s="1945"/>
      <c r="R270" s="1945"/>
      <c r="S270" s="1945"/>
      <c r="T270" s="1945"/>
      <c r="U270" s="1945"/>
      <c r="V270" s="1945"/>
      <c r="W270" s="1945"/>
      <c r="X270" s="1945"/>
      <c r="Y270" s="1945"/>
      <c r="Z270" s="1945"/>
      <c r="AA270" s="1945"/>
      <c r="AB270" s="1945"/>
      <c r="AC270" s="1945"/>
      <c r="AD270" s="1945"/>
      <c r="AE270" s="1945"/>
      <c r="AF270" s="1945"/>
      <c r="AG270" s="1945"/>
      <c r="AH270" s="1945"/>
      <c r="AI270" s="1945"/>
      <c r="AJ270" s="1945"/>
      <c r="AK270" s="1945"/>
      <c r="AL270" s="1945"/>
      <c r="AM270" s="1945"/>
      <c r="AN270" s="1945"/>
      <c r="AO270" s="1945"/>
      <c r="AP270" s="1945"/>
      <c r="AQ270" s="1945"/>
      <c r="AR270" s="1945"/>
      <c r="AS270" s="1945"/>
      <c r="AT270" s="1945"/>
      <c r="AU270" s="1945"/>
      <c r="AV270" s="1945"/>
      <c r="AW270" s="1945"/>
      <c r="AX270" s="1945"/>
      <c r="AY270" s="1945"/>
      <c r="AZ270" s="1945"/>
      <c r="BA270" s="1945"/>
      <c r="BB270" s="1945"/>
      <c r="BC270" s="1945"/>
      <c r="BD270" s="1945"/>
      <c r="BE270" s="1945"/>
      <c r="BF270" s="1945"/>
      <c r="BG270" s="1945"/>
      <c r="BH270" s="1945"/>
      <c r="BI270" s="1945"/>
      <c r="BJ270" s="1945"/>
      <c r="BK270" s="1945"/>
      <c r="BL270" s="1945"/>
      <c r="BM270" s="1945"/>
      <c r="BN270" s="1945"/>
      <c r="BO270" s="1945"/>
      <c r="BP270" s="1392">
        <f t="shared" si="8"/>
        <v>0</v>
      </c>
      <c r="BQ270" s="1758"/>
      <c r="BR270" s="1758"/>
      <c r="BS270" s="1758"/>
      <c r="BT270" s="1758"/>
      <c r="BU270" s="1758"/>
      <c r="BV270" s="1758"/>
      <c r="BW270" s="1758"/>
      <c r="BX270" s="1758"/>
      <c r="BY270" s="1758"/>
      <c r="BZ270" s="1758"/>
      <c r="CA270" s="1758"/>
      <c r="CB270" s="1758"/>
      <c r="CC270" s="1758"/>
      <c r="CD270" s="1758"/>
      <c r="CE270" s="1758"/>
      <c r="CF270" s="1758"/>
      <c r="CG270" s="1758"/>
      <c r="CH270" s="1758"/>
    </row>
    <row r="271" spans="1:86" ht="15.6">
      <c r="A271" s="688"/>
      <c r="B271" s="240"/>
      <c r="C271" s="697">
        <v>358</v>
      </c>
      <c r="D271" s="697" t="s">
        <v>40</v>
      </c>
      <c r="E271" s="82"/>
      <c r="F271" s="694">
        <v>45</v>
      </c>
      <c r="G271" s="163" t="s">
        <v>19</v>
      </c>
      <c r="H271" s="695" t="s">
        <v>41</v>
      </c>
      <c r="I271" s="696">
        <v>-5</v>
      </c>
      <c r="J271" s="698">
        <f>(100-I271)/F271</f>
        <v>2.3333333333333335</v>
      </c>
      <c r="K271" s="1944"/>
      <c r="L271" s="1945"/>
      <c r="M271" s="1945"/>
      <c r="N271" s="1945"/>
      <c r="O271" s="1945"/>
      <c r="P271" s="1945"/>
      <c r="Q271" s="1945"/>
      <c r="R271" s="1945"/>
      <c r="S271" s="1945"/>
      <c r="T271" s="1945"/>
      <c r="U271" s="1945"/>
      <c r="V271" s="1945"/>
      <c r="W271" s="1945"/>
      <c r="X271" s="1945"/>
      <c r="Y271" s="1945"/>
      <c r="Z271" s="1945"/>
      <c r="AA271" s="1945"/>
      <c r="AB271" s="1945"/>
      <c r="AC271" s="1945"/>
      <c r="AD271" s="1945"/>
      <c r="AE271" s="1945"/>
      <c r="AF271" s="1945"/>
      <c r="AG271" s="1945"/>
      <c r="AH271" s="1945"/>
      <c r="AI271" s="1945"/>
      <c r="AJ271" s="1945"/>
      <c r="AK271" s="1945"/>
      <c r="AL271" s="1945"/>
      <c r="AM271" s="1945"/>
      <c r="AN271" s="1945"/>
      <c r="AO271" s="1945"/>
      <c r="AP271" s="1945"/>
      <c r="AQ271" s="1945"/>
      <c r="AR271" s="1945"/>
      <c r="AS271" s="1945"/>
      <c r="AT271" s="1945"/>
      <c r="AU271" s="1945"/>
      <c r="AV271" s="1945"/>
      <c r="AW271" s="1945"/>
      <c r="AX271" s="1945"/>
      <c r="AY271" s="1945"/>
      <c r="AZ271" s="1945"/>
      <c r="BA271" s="1945"/>
      <c r="BB271" s="1945"/>
      <c r="BC271" s="1945"/>
      <c r="BD271" s="1945"/>
      <c r="BE271" s="1945"/>
      <c r="BF271" s="1945"/>
      <c r="BG271" s="1945"/>
      <c r="BH271" s="1945"/>
      <c r="BI271" s="1945"/>
      <c r="BJ271" s="1945"/>
      <c r="BK271" s="1945"/>
      <c r="BL271" s="1945"/>
      <c r="BM271" s="1945"/>
      <c r="BN271" s="1945"/>
      <c r="BO271" s="1945"/>
      <c r="BP271" s="1392">
        <f t="shared" si="8"/>
        <v>0</v>
      </c>
      <c r="BQ271" s="1758"/>
      <c r="BR271" s="1758"/>
      <c r="BS271" s="1758"/>
      <c r="BT271" s="1758"/>
      <c r="BU271" s="1758"/>
      <c r="BV271" s="1758"/>
      <c r="BW271" s="1758"/>
      <c r="BX271" s="1758"/>
      <c r="BY271" s="1758"/>
      <c r="BZ271" s="1758"/>
      <c r="CA271" s="1758"/>
      <c r="CB271" s="1758"/>
      <c r="CC271" s="1758"/>
      <c r="CD271" s="1758"/>
      <c r="CE271" s="1758"/>
      <c r="CF271" s="1758"/>
      <c r="CG271" s="1758"/>
      <c r="CH271" s="1758"/>
    </row>
    <row r="272" spans="1:86" ht="15.6">
      <c r="A272" s="688"/>
      <c r="B272" s="240"/>
      <c r="C272" s="697"/>
      <c r="D272" s="82" t="s">
        <v>260</v>
      </c>
      <c r="E272" s="82"/>
      <c r="F272" s="694">
        <v>35</v>
      </c>
      <c r="G272" s="163"/>
      <c r="H272" s="695"/>
      <c r="I272" s="696"/>
      <c r="J272" s="698">
        <f>(100-I272)/F272</f>
        <v>2.8571428571428572</v>
      </c>
      <c r="K272" s="1944"/>
      <c r="L272" s="1945"/>
      <c r="M272" s="1945"/>
      <c r="N272" s="1945"/>
      <c r="O272" s="1945"/>
      <c r="P272" s="1945"/>
      <c r="Q272" s="1945"/>
      <c r="R272" s="1945"/>
      <c r="S272" s="1945"/>
      <c r="T272" s="1945"/>
      <c r="U272" s="1945"/>
      <c r="V272" s="1945"/>
      <c r="W272" s="1945"/>
      <c r="X272" s="1945"/>
      <c r="Y272" s="1945"/>
      <c r="Z272" s="1945"/>
      <c r="AA272" s="1945"/>
      <c r="AB272" s="1945"/>
      <c r="AC272" s="1945"/>
      <c r="AD272" s="1945"/>
      <c r="AE272" s="1945"/>
      <c r="AF272" s="1945"/>
      <c r="AG272" s="1945"/>
      <c r="AH272" s="1945"/>
      <c r="AI272" s="1945"/>
      <c r="AJ272" s="1945"/>
      <c r="AK272" s="1945"/>
      <c r="AL272" s="1945"/>
      <c r="AM272" s="1945"/>
      <c r="AN272" s="1945"/>
      <c r="AO272" s="1945"/>
      <c r="AP272" s="1945"/>
      <c r="AQ272" s="1945"/>
      <c r="AR272" s="1945"/>
      <c r="AS272" s="1945"/>
      <c r="AT272" s="1945"/>
      <c r="AU272" s="1945"/>
      <c r="AV272" s="1945"/>
      <c r="AW272" s="1945"/>
      <c r="AX272" s="1945"/>
      <c r="AY272" s="1945"/>
      <c r="AZ272" s="1945"/>
      <c r="BA272" s="1945"/>
      <c r="BB272" s="1945"/>
      <c r="BC272" s="1945"/>
      <c r="BD272" s="1945"/>
      <c r="BE272" s="1945"/>
      <c r="BF272" s="1945"/>
      <c r="BG272" s="1945"/>
      <c r="BH272" s="1945"/>
      <c r="BI272" s="1945"/>
      <c r="BJ272" s="1945"/>
      <c r="BK272" s="1945"/>
      <c r="BL272" s="1945"/>
      <c r="BM272" s="1945"/>
      <c r="BN272" s="1945"/>
      <c r="BO272" s="1945"/>
      <c r="BP272" s="1392">
        <f t="shared" si="8"/>
        <v>0</v>
      </c>
      <c r="BQ272" s="1758"/>
      <c r="BR272" s="1758"/>
      <c r="BS272" s="1758"/>
      <c r="BT272" s="1758"/>
      <c r="BU272" s="1758"/>
      <c r="BV272" s="1758"/>
      <c r="BW272" s="1758"/>
      <c r="BX272" s="1758"/>
      <c r="BY272" s="1758"/>
      <c r="BZ272" s="1758"/>
      <c r="CA272" s="1758"/>
      <c r="CB272" s="1758"/>
      <c r="CC272" s="1758"/>
      <c r="CD272" s="1758"/>
      <c r="CE272" s="1758"/>
      <c r="CF272" s="1758"/>
      <c r="CG272" s="1758"/>
      <c r="CH272" s="1758"/>
    </row>
    <row r="273" spans="1:86" ht="15.6" thickBot="1">
      <c r="A273" s="688"/>
      <c r="B273" s="240"/>
      <c r="C273" s="697" t="s">
        <v>794</v>
      </c>
      <c r="D273" s="82"/>
      <c r="E273" s="82"/>
      <c r="F273" s="694"/>
      <c r="G273" s="163"/>
      <c r="H273" s="695"/>
      <c r="I273" s="696"/>
      <c r="J273" s="698"/>
      <c r="K273" s="1844">
        <f t="shared" ref="K273:BO273" si="9">SUM(K254:K272)</f>
        <v>1410713</v>
      </c>
      <c r="L273" s="1845">
        <f t="shared" si="9"/>
        <v>578055.88</v>
      </c>
      <c r="M273" s="1845">
        <f>SUM(M254:M272)</f>
        <v>21240605.569999997</v>
      </c>
      <c r="N273" s="1845">
        <f t="shared" si="9"/>
        <v>167121.60999999999</v>
      </c>
      <c r="O273" s="1845">
        <f t="shared" si="9"/>
        <v>40401.96</v>
      </c>
      <c r="P273" s="1845">
        <f t="shared" si="9"/>
        <v>162194.28000000003</v>
      </c>
      <c r="Q273" s="1845">
        <f t="shared" si="9"/>
        <v>144891.64000000001</v>
      </c>
      <c r="R273" s="1845">
        <f t="shared" si="9"/>
        <v>831423.82</v>
      </c>
      <c r="S273" s="1845">
        <f t="shared" si="9"/>
        <v>94933.5</v>
      </c>
      <c r="T273" s="1845">
        <f t="shared" si="9"/>
        <v>82981.84</v>
      </c>
      <c r="U273" s="1845">
        <f t="shared" si="9"/>
        <v>149637.85</v>
      </c>
      <c r="V273" s="1845">
        <f t="shared" si="9"/>
        <v>151493.92000000001</v>
      </c>
      <c r="W273" s="1845">
        <f t="shared" si="9"/>
        <v>13813.68</v>
      </c>
      <c r="X273" s="1845">
        <f t="shared" si="9"/>
        <v>34383.360000000001</v>
      </c>
      <c r="Y273" s="1845">
        <f t="shared" si="9"/>
        <v>572720.75000000012</v>
      </c>
      <c r="Z273" s="1845">
        <f t="shared" si="9"/>
        <v>332538.12</v>
      </c>
      <c r="AA273" s="1845">
        <f t="shared" si="9"/>
        <v>19690.68</v>
      </c>
      <c r="AB273" s="1845">
        <f t="shared" si="9"/>
        <v>17476.2</v>
      </c>
      <c r="AC273" s="1845">
        <f t="shared" si="9"/>
        <v>104079.6</v>
      </c>
      <c r="AD273" s="1845">
        <f t="shared" si="9"/>
        <v>1273246.05</v>
      </c>
      <c r="AE273" s="1845">
        <f t="shared" si="9"/>
        <v>124532.16</v>
      </c>
      <c r="AF273" s="1845">
        <f t="shared" si="9"/>
        <v>651083.9</v>
      </c>
      <c r="AG273" s="1845">
        <f t="shared" si="9"/>
        <v>25345.200000000001</v>
      </c>
      <c r="AH273" s="1845">
        <f t="shared" si="9"/>
        <v>37270.44</v>
      </c>
      <c r="AI273" s="1845">
        <f t="shared" si="9"/>
        <v>276580.06</v>
      </c>
      <c r="AJ273" s="1845">
        <f t="shared" si="9"/>
        <v>761424.96</v>
      </c>
      <c r="AK273" s="1845">
        <f t="shared" si="9"/>
        <v>69881.039999999994</v>
      </c>
      <c r="AL273" s="1845">
        <f t="shared" si="9"/>
        <v>11957.52</v>
      </c>
      <c r="AM273" s="1845">
        <f t="shared" si="9"/>
        <v>923792.47</v>
      </c>
      <c r="AN273" s="1845">
        <f t="shared" si="9"/>
        <v>103796.4</v>
      </c>
      <c r="AO273" s="1845">
        <f t="shared" si="9"/>
        <v>9215.64</v>
      </c>
      <c r="AP273" s="1845">
        <f t="shared" si="9"/>
        <v>157870.1</v>
      </c>
      <c r="AQ273" s="1845">
        <f t="shared" si="9"/>
        <v>1512944.53</v>
      </c>
      <c r="AR273" s="1845">
        <f t="shared" si="9"/>
        <v>190715.52000000002</v>
      </c>
      <c r="AS273" s="1845">
        <f t="shared" si="9"/>
        <v>18716.88</v>
      </c>
      <c r="AT273" s="1845">
        <f t="shared" si="9"/>
        <v>31476.720000000001</v>
      </c>
      <c r="AU273" s="1845">
        <f t="shared" si="9"/>
        <v>14537.76</v>
      </c>
      <c r="AV273" s="1845">
        <f t="shared" si="9"/>
        <v>482269.92000000004</v>
      </c>
      <c r="AW273" s="1845">
        <f t="shared" si="9"/>
        <v>922122.60000000009</v>
      </c>
      <c r="AX273" s="1845">
        <f t="shared" si="9"/>
        <v>44129.760000000002</v>
      </c>
      <c r="AY273" s="1845">
        <f t="shared" si="9"/>
        <v>163194.12</v>
      </c>
      <c r="AZ273" s="1845">
        <f t="shared" si="9"/>
        <v>28746.48</v>
      </c>
      <c r="BA273" s="1845">
        <f t="shared" si="9"/>
        <v>11306.52</v>
      </c>
      <c r="BB273" s="1845">
        <f t="shared" si="9"/>
        <v>504900.12000000011</v>
      </c>
      <c r="BC273" s="1845">
        <f t="shared" si="9"/>
        <v>47011.44</v>
      </c>
      <c r="BD273" s="1845">
        <f t="shared" si="9"/>
        <v>801815.4</v>
      </c>
      <c r="BE273" s="1845">
        <f t="shared" si="9"/>
        <v>543503.05000000005</v>
      </c>
      <c r="BF273" s="1845">
        <f t="shared" si="9"/>
        <v>21813.05</v>
      </c>
      <c r="BG273" s="1845">
        <f t="shared" si="9"/>
        <v>19669.439999999999</v>
      </c>
      <c r="BH273" s="1845">
        <f t="shared" si="9"/>
        <v>2096806.2</v>
      </c>
      <c r="BI273" s="1845">
        <f t="shared" si="9"/>
        <v>1249142.3999999999</v>
      </c>
      <c r="BJ273" s="1845">
        <f t="shared" si="9"/>
        <v>1376383.55</v>
      </c>
      <c r="BK273" s="1845">
        <f t="shared" si="9"/>
        <v>828680.56</v>
      </c>
      <c r="BL273" s="1845">
        <f t="shared" si="9"/>
        <v>1854532.87</v>
      </c>
      <c r="BM273" s="1845">
        <f t="shared" ref="BM273:BN273" si="10">SUM(BM254:BM272)</f>
        <v>33634.050000000003</v>
      </c>
      <c r="BN273" s="1845">
        <f t="shared" si="10"/>
        <v>503731.84</v>
      </c>
      <c r="BO273" s="1982">
        <f t="shared" si="9"/>
        <v>219356.02</v>
      </c>
      <c r="BP273" s="1825">
        <f>SUM(BP254:BP272)</f>
        <v>44096293.999999993</v>
      </c>
      <c r="BQ273" s="1527"/>
      <c r="BR273" s="1527"/>
      <c r="BS273" s="1527"/>
      <c r="BT273" s="1527"/>
      <c r="BU273" s="1527"/>
      <c r="BV273" s="1527"/>
      <c r="BW273" s="1527"/>
      <c r="BX273" s="1527"/>
      <c r="BY273" s="1527"/>
      <c r="BZ273" s="1527"/>
      <c r="CA273" s="1527"/>
      <c r="CB273" s="1527"/>
      <c r="CC273" s="1527"/>
      <c r="CD273" s="1527"/>
      <c r="CE273" s="1527"/>
      <c r="CF273" s="1527"/>
      <c r="CG273" s="1527"/>
      <c r="CH273" s="1527"/>
    </row>
    <row r="274" spans="1:86" ht="16.2" thickBot="1">
      <c r="A274" s="688"/>
      <c r="B274" s="240"/>
      <c r="C274" s="439" t="s">
        <v>795</v>
      </c>
      <c r="D274" s="1313">
        <f>BP273</f>
        <v>44096293.999999993</v>
      </c>
      <c r="E274" s="1762"/>
      <c r="F274" s="694"/>
      <c r="G274" s="163"/>
      <c r="H274" s="695"/>
      <c r="I274" s="696"/>
      <c r="J274" s="698"/>
      <c r="K274" s="1528"/>
      <c r="L274" s="1529"/>
      <c r="M274" s="1529"/>
      <c r="N274" s="1529"/>
      <c r="O274" s="1530"/>
      <c r="P274" s="1531"/>
      <c r="Q274" s="1532"/>
      <c r="R274" s="1531"/>
      <c r="S274" s="1533"/>
      <c r="T274" s="1533"/>
      <c r="U274" s="1533"/>
      <c r="V274" s="1533"/>
      <c r="W274" s="1533"/>
      <c r="X274" s="1533"/>
      <c r="Y274" s="1533"/>
      <c r="Z274" s="1533"/>
      <c r="AA274" s="1533"/>
      <c r="AB274" s="1533"/>
      <c r="AC274" s="1533"/>
      <c r="AD274" s="1533"/>
      <c r="AE274" s="1533"/>
      <c r="AF274" s="1533"/>
      <c r="AG274" s="1533"/>
      <c r="AH274" s="1533"/>
      <c r="AI274" s="1533"/>
      <c r="AJ274" s="1533"/>
      <c r="AK274" s="1533"/>
      <c r="AL274" s="1533"/>
      <c r="AM274" s="1533"/>
      <c r="AN274" s="1533"/>
      <c r="AO274" s="1533"/>
      <c r="AP274" s="1533"/>
      <c r="AQ274" s="1533"/>
      <c r="AR274" s="1533"/>
      <c r="AS274" s="1533"/>
      <c r="AT274" s="1533"/>
      <c r="AU274" s="1533"/>
      <c r="AV274" s="1533"/>
      <c r="AW274" s="1533"/>
      <c r="AX274" s="1533"/>
      <c r="AY274" s="1533"/>
      <c r="AZ274" s="1533"/>
      <c r="BA274" s="1533"/>
      <c r="BB274" s="1533"/>
      <c r="BC274" s="1533"/>
      <c r="BD274" s="1533"/>
      <c r="BE274" s="1533"/>
      <c r="BF274" s="1533"/>
      <c r="BG274" s="1533"/>
      <c r="BH274" s="1533"/>
      <c r="BI274" s="1533"/>
      <c r="BJ274" s="1533"/>
      <c r="BK274" s="1533"/>
      <c r="BL274" s="1533"/>
      <c r="BM274" s="1533"/>
      <c r="BN274" s="1533"/>
      <c r="BO274" s="1760"/>
      <c r="BP274" s="1761"/>
      <c r="BQ274" s="1757"/>
      <c r="BR274" s="1757"/>
      <c r="BS274" s="1757"/>
      <c r="BT274" s="1757"/>
      <c r="BU274" s="1757"/>
      <c r="BV274" s="1757"/>
      <c r="BW274" s="1757"/>
      <c r="BX274" s="1757"/>
      <c r="BY274" s="1757"/>
      <c r="BZ274" s="1757"/>
      <c r="CA274" s="1757"/>
      <c r="CB274" s="1757"/>
      <c r="CC274" s="1757"/>
      <c r="CD274" s="1757"/>
      <c r="CE274" s="1757"/>
      <c r="CF274" s="1757"/>
      <c r="CG274" s="1757"/>
      <c r="CH274" s="355"/>
    </row>
    <row r="275" spans="1:86" ht="15.6">
      <c r="A275" s="688"/>
      <c r="B275" s="240"/>
      <c r="C275" s="240" t="s">
        <v>656</v>
      </c>
      <c r="D275" s="773"/>
      <c r="E275" s="82"/>
      <c r="F275" s="694"/>
      <c r="G275" s="163"/>
      <c r="H275" s="695"/>
      <c r="I275" s="696"/>
      <c r="J275" s="698"/>
      <c r="K275" s="470"/>
      <c r="L275" s="470"/>
      <c r="M275" s="470"/>
      <c r="N275" s="470"/>
      <c r="O275" s="470"/>
      <c r="P275" s="470"/>
      <c r="Q275" s="349"/>
      <c r="R275" s="1185"/>
      <c r="S275" s="1222"/>
      <c r="T275" s="240"/>
      <c r="U275" s="240"/>
      <c r="V275" s="240"/>
      <c r="W275" s="240"/>
      <c r="X275" s="240"/>
      <c r="Y275" s="240"/>
      <c r="Z275" s="240"/>
      <c r="AA275" s="240"/>
      <c r="AB275" s="240"/>
      <c r="AC275" s="240"/>
      <c r="AD275" s="240"/>
      <c r="AE275" s="240"/>
      <c r="AF275" s="240"/>
      <c r="AG275" s="240"/>
      <c r="AH275" s="240"/>
      <c r="AI275" s="240"/>
      <c r="AJ275" s="240"/>
      <c r="AK275" s="240"/>
      <c r="AL275" s="240"/>
      <c r="AM275" s="240"/>
      <c r="AN275" s="240"/>
      <c r="AO275" s="240"/>
      <c r="AP275" s="240"/>
      <c r="AQ275" s="240"/>
      <c r="AR275" s="240"/>
      <c r="AS275" s="240"/>
      <c r="AT275" s="240"/>
      <c r="AU275" s="240"/>
      <c r="AV275" s="240"/>
      <c r="AW275" s="240"/>
      <c r="AX275" s="240"/>
      <c r="AY275" s="240"/>
      <c r="AZ275" s="240"/>
      <c r="BA275" s="240"/>
      <c r="BB275" s="240"/>
      <c r="BC275" s="240"/>
      <c r="BD275" s="240"/>
      <c r="BE275" s="240"/>
      <c r="BF275" s="240"/>
      <c r="BG275" s="240"/>
      <c r="BH275" s="240"/>
      <c r="BI275" s="240"/>
      <c r="BJ275" s="240"/>
      <c r="BK275" s="240"/>
      <c r="BL275" s="240"/>
      <c r="BM275" s="240"/>
      <c r="BN275" s="240"/>
      <c r="BO275" s="240"/>
      <c r="BP275" s="240"/>
      <c r="BQ275" s="355"/>
      <c r="BR275" s="355"/>
      <c r="BS275" s="355"/>
      <c r="BT275" s="355"/>
      <c r="BU275" s="355"/>
      <c r="BV275" s="355"/>
      <c r="BW275" s="355"/>
      <c r="BX275" s="355"/>
      <c r="BY275" s="355"/>
      <c r="BZ275" s="355"/>
      <c r="CA275" s="355"/>
      <c r="CB275" s="355"/>
      <c r="CC275" s="355"/>
      <c r="CD275" s="355"/>
      <c r="CE275" s="355"/>
      <c r="CF275" s="355"/>
      <c r="CG275" s="355"/>
      <c r="CH275" s="355"/>
    </row>
    <row r="276" spans="1:86" ht="16.2" thickBot="1">
      <c r="A276" s="688"/>
      <c r="B276" s="240"/>
      <c r="C276" s="439"/>
      <c r="D276" s="82"/>
      <c r="E276" s="82"/>
      <c r="F276" s="694"/>
      <c r="G276" s="163"/>
      <c r="H276" s="695"/>
      <c r="I276" s="696"/>
      <c r="J276" s="698"/>
      <c r="K276" s="470"/>
      <c r="L276" s="470"/>
      <c r="M276" s="1224"/>
      <c r="N276" s="470"/>
      <c r="O276" s="470"/>
      <c r="P276" s="470"/>
      <c r="Q276" s="349"/>
      <c r="R276" s="1185"/>
      <c r="S276" s="1222"/>
      <c r="T276" s="240"/>
      <c r="U276" s="240"/>
      <c r="V276" s="240"/>
      <c r="W276" s="240"/>
      <c r="X276" s="240"/>
      <c r="Y276" s="240"/>
      <c r="Z276" s="240"/>
      <c r="AA276" s="240"/>
      <c r="AB276" s="240"/>
      <c r="AC276" s="240"/>
      <c r="AD276" s="240"/>
      <c r="AE276" s="240"/>
      <c r="AF276" s="240"/>
      <c r="AG276" s="240"/>
      <c r="AH276" s="240"/>
      <c r="AI276" s="240"/>
      <c r="AJ276" s="240"/>
      <c r="AK276" s="240"/>
      <c r="AL276" s="240"/>
      <c r="AM276" s="240"/>
      <c r="AN276" s="240"/>
      <c r="AO276" s="240"/>
      <c r="AP276" s="240"/>
      <c r="AQ276" s="240"/>
      <c r="AR276" s="240"/>
      <c r="AS276" s="240"/>
      <c r="AT276" s="240"/>
      <c r="AU276" s="240"/>
      <c r="AV276" s="355"/>
      <c r="AW276" s="355"/>
      <c r="AX276" s="355"/>
      <c r="AY276" s="355"/>
      <c r="AZ276" s="355"/>
      <c r="BA276" s="355"/>
      <c r="BB276" s="355"/>
      <c r="BC276" s="355"/>
      <c r="BD276" s="355"/>
      <c r="BE276" s="355"/>
      <c r="BF276" s="355"/>
      <c r="BG276" s="355"/>
      <c r="BH276" s="355"/>
      <c r="BI276" s="355"/>
      <c r="BJ276" s="355"/>
      <c r="BK276" s="355"/>
      <c r="BL276" s="355"/>
      <c r="BM276" s="355"/>
    </row>
    <row r="277" spans="1:86" ht="31.8" thickBot="1">
      <c r="A277" s="688"/>
      <c r="B277" s="240"/>
      <c r="C277" s="334" t="s">
        <v>796</v>
      </c>
      <c r="D277" s="82"/>
      <c r="E277" s="82"/>
      <c r="F277" s="483" t="s">
        <v>904</v>
      </c>
      <c r="G277" s="163"/>
      <c r="H277" s="1076" t="s">
        <v>797</v>
      </c>
      <c r="I277" s="1077" t="s">
        <v>799</v>
      </c>
      <c r="J277" s="1078" t="s">
        <v>800</v>
      </c>
      <c r="K277" s="1237" t="s">
        <v>603</v>
      </c>
      <c r="L277" s="592"/>
      <c r="M277" s="1225"/>
      <c r="N277" s="1226"/>
      <c r="O277" s="1224"/>
      <c r="P277" s="470"/>
      <c r="Q277" s="349"/>
      <c r="R277" s="1203"/>
      <c r="S277" s="1222"/>
      <c r="T277" s="240"/>
      <c r="U277" s="240"/>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c r="AX277" s="240"/>
      <c r="AY277" s="240"/>
      <c r="AZ277" s="240"/>
      <c r="BA277" s="240"/>
      <c r="BB277" s="240"/>
      <c r="BC277" s="240"/>
      <c r="BD277" s="240"/>
      <c r="BE277" s="240"/>
      <c r="BF277" s="240"/>
      <c r="BG277" s="240"/>
      <c r="BH277" s="240"/>
      <c r="BI277" s="240"/>
      <c r="BJ277" s="240"/>
      <c r="BK277" s="240"/>
      <c r="BL277" s="240"/>
    </row>
    <row r="278" spans="1:86" ht="15.6">
      <c r="A278" s="688"/>
      <c r="B278" s="240"/>
      <c r="C278" s="334"/>
      <c r="D278" s="82"/>
      <c r="E278" s="82"/>
      <c r="F278" s="694"/>
      <c r="G278" s="163"/>
      <c r="H278" s="695"/>
      <c r="I278" s="696"/>
      <c r="J278" s="698"/>
      <c r="K278" s="1542"/>
      <c r="L278" s="470"/>
      <c r="M278" s="470"/>
      <c r="N278" s="470"/>
      <c r="O278" s="470"/>
      <c r="P278" s="470"/>
      <c r="Q278" s="349"/>
      <c r="R278" s="1203"/>
      <c r="S278" s="1222"/>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row>
    <row r="279" spans="1:86" ht="15.6">
      <c r="A279" s="688"/>
      <c r="B279" s="240"/>
      <c r="C279" s="697">
        <v>390</v>
      </c>
      <c r="D279" s="82" t="s">
        <v>21</v>
      </c>
      <c r="E279" s="82"/>
      <c r="F279" s="694">
        <v>50</v>
      </c>
      <c r="G279" s="163"/>
      <c r="H279" s="695" t="s">
        <v>801</v>
      </c>
      <c r="I279" s="696">
        <v>0</v>
      </c>
      <c r="J279" s="698">
        <f>(100-I279)/F279</f>
        <v>2</v>
      </c>
      <c r="K279" s="1959">
        <v>962562.78</v>
      </c>
      <c r="L279" s="470"/>
      <c r="M279" s="470"/>
      <c r="N279" s="470"/>
      <c r="O279" s="470"/>
      <c r="P279" s="470"/>
      <c r="Q279" s="349"/>
      <c r="R279" s="1203"/>
      <c r="S279" s="1222"/>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c r="BK279" s="240"/>
      <c r="BL279" s="240"/>
    </row>
    <row r="280" spans="1:86" ht="15.6">
      <c r="A280" s="688"/>
      <c r="B280" s="240"/>
      <c r="C280" s="697"/>
      <c r="D280" s="82"/>
      <c r="E280" s="82"/>
      <c r="F280" s="694"/>
      <c r="G280" s="163"/>
      <c r="H280" s="695"/>
      <c r="I280" s="696"/>
      <c r="J280" s="698"/>
      <c r="K280" s="1392"/>
      <c r="L280" s="1203"/>
      <c r="M280" s="470"/>
      <c r="N280" s="470"/>
      <c r="O280" s="470"/>
      <c r="P280" s="470"/>
      <c r="Q280" s="349"/>
      <c r="R280" s="1203"/>
      <c r="S280" s="1222"/>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c r="AX280" s="240"/>
      <c r="AY280" s="240"/>
      <c r="AZ280" s="240"/>
      <c r="BA280" s="240"/>
      <c r="BB280" s="240"/>
      <c r="BC280" s="240"/>
      <c r="BD280" s="240"/>
      <c r="BE280" s="240"/>
      <c r="BF280" s="240"/>
      <c r="BG280" s="240"/>
      <c r="BH280" s="240"/>
      <c r="BI280" s="240"/>
      <c r="BJ280" s="240"/>
      <c r="BK280" s="240"/>
      <c r="BL280" s="240"/>
    </row>
    <row r="281" spans="1:86" ht="15.6">
      <c r="A281" s="688"/>
      <c r="B281" s="240"/>
      <c r="C281" s="697">
        <v>391</v>
      </c>
      <c r="D281" s="82" t="s">
        <v>802</v>
      </c>
      <c r="E281" s="82"/>
      <c r="F281" s="694">
        <v>20</v>
      </c>
      <c r="G281" s="163"/>
      <c r="H281" s="695" t="s">
        <v>803</v>
      </c>
      <c r="I281" s="696">
        <v>0</v>
      </c>
      <c r="J281" s="698">
        <f>(100-I281)/F281</f>
        <v>5</v>
      </c>
      <c r="K281" s="1959">
        <v>109944.42</v>
      </c>
      <c r="L281" s="470"/>
      <c r="M281" s="470"/>
      <c r="N281" s="470"/>
      <c r="O281" s="470"/>
      <c r="P281" s="470"/>
      <c r="Q281" s="349"/>
      <c r="R281" s="1203"/>
      <c r="S281" s="1222"/>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c r="AX281" s="240"/>
      <c r="AY281" s="240"/>
      <c r="AZ281" s="240"/>
      <c r="BA281" s="240"/>
      <c r="BB281" s="240"/>
      <c r="BC281" s="240"/>
      <c r="BD281" s="240"/>
      <c r="BE281" s="240"/>
      <c r="BF281" s="240"/>
      <c r="BG281" s="240"/>
      <c r="BH281" s="240"/>
      <c r="BI281" s="240"/>
      <c r="BJ281" s="240"/>
      <c r="BK281" s="240"/>
      <c r="BL281" s="240"/>
    </row>
    <row r="282" spans="1:86" ht="15.6">
      <c r="A282" s="688"/>
      <c r="B282" s="240"/>
      <c r="C282" s="697" t="s">
        <v>525</v>
      </c>
      <c r="D282" s="104" t="s">
        <v>804</v>
      </c>
      <c r="E282" s="82"/>
      <c r="F282" s="694">
        <v>10</v>
      </c>
      <c r="G282" s="163"/>
      <c r="H282" s="695" t="s">
        <v>803</v>
      </c>
      <c r="I282" s="696">
        <v>0</v>
      </c>
      <c r="J282" s="698">
        <f>(100-I282)/F282</f>
        <v>10</v>
      </c>
      <c r="K282" s="1959">
        <v>452790.3</v>
      </c>
      <c r="L282" s="470"/>
      <c r="M282" s="470"/>
      <c r="N282" s="470"/>
      <c r="O282" s="470"/>
      <c r="P282" s="470"/>
      <c r="Q282" s="349"/>
      <c r="R282" s="1203"/>
      <c r="S282" s="1222"/>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c r="AX282" s="240"/>
      <c r="AY282" s="240"/>
      <c r="AZ282" s="240"/>
      <c r="BA282" s="240"/>
      <c r="BB282" s="240"/>
      <c r="BC282" s="240"/>
      <c r="BD282" s="240"/>
      <c r="BE282" s="240"/>
      <c r="BF282" s="240"/>
      <c r="BG282" s="240"/>
      <c r="BH282" s="240"/>
      <c r="BI282" s="240"/>
      <c r="BJ282" s="240"/>
      <c r="BK282" s="240"/>
      <c r="BL282" s="240"/>
    </row>
    <row r="283" spans="1:86" ht="15.6">
      <c r="A283" s="688"/>
      <c r="B283" s="240"/>
      <c r="C283" s="697"/>
      <c r="D283" s="104" t="s">
        <v>805</v>
      </c>
      <c r="E283" s="82"/>
      <c r="F283" s="694">
        <v>10</v>
      </c>
      <c r="G283" s="163"/>
      <c r="H283" s="695" t="s">
        <v>803</v>
      </c>
      <c r="I283" s="696">
        <v>0</v>
      </c>
      <c r="J283" s="698">
        <f>(100-I283)/F283</f>
        <v>10</v>
      </c>
      <c r="K283" s="1959"/>
      <c r="L283" s="470"/>
      <c r="M283" s="470"/>
      <c r="N283" s="470"/>
      <c r="O283" s="470"/>
      <c r="P283" s="470"/>
      <c r="Q283" s="349"/>
      <c r="R283" s="1203"/>
      <c r="S283" s="1222"/>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c r="BK283" s="240"/>
      <c r="BL283" s="240"/>
    </row>
    <row r="284" spans="1:86" ht="15.6">
      <c r="A284" s="688"/>
      <c r="B284" s="240"/>
      <c r="C284" s="697"/>
      <c r="D284" s="82"/>
      <c r="E284" s="82"/>
      <c r="F284" s="694"/>
      <c r="G284" s="163"/>
      <c r="H284" s="695"/>
      <c r="I284" s="696"/>
      <c r="J284" s="698"/>
      <c r="K284" s="1392"/>
      <c r="L284" s="470"/>
      <c r="M284" s="470"/>
      <c r="N284" s="470"/>
      <c r="O284" s="470"/>
      <c r="P284" s="470"/>
      <c r="Q284" s="349"/>
      <c r="R284" s="1203"/>
      <c r="S284" s="1222"/>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c r="AX284" s="240"/>
      <c r="AY284" s="240"/>
      <c r="AZ284" s="240"/>
      <c r="BA284" s="240"/>
      <c r="BB284" s="240"/>
      <c r="BC284" s="240"/>
      <c r="BD284" s="240"/>
      <c r="BE284" s="240"/>
      <c r="BF284" s="240"/>
      <c r="BG284" s="240"/>
      <c r="BH284" s="240"/>
      <c r="BI284" s="240"/>
      <c r="BJ284" s="240"/>
      <c r="BK284" s="240"/>
      <c r="BL284" s="240"/>
    </row>
    <row r="285" spans="1:86" ht="15.6">
      <c r="A285" s="688"/>
      <c r="B285" s="240"/>
      <c r="C285" s="697">
        <v>392</v>
      </c>
      <c r="D285" s="82" t="s">
        <v>806</v>
      </c>
      <c r="E285" s="82"/>
      <c r="F285" s="694"/>
      <c r="G285" s="163"/>
      <c r="H285" s="695"/>
      <c r="I285" s="696"/>
      <c r="J285" s="698"/>
      <c r="K285" s="1392"/>
      <c r="L285" s="470"/>
      <c r="M285" s="470"/>
      <c r="N285" s="470"/>
      <c r="O285" s="470"/>
      <c r="P285" s="470"/>
      <c r="Q285" s="349"/>
      <c r="R285" s="1203"/>
      <c r="S285" s="1222"/>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c r="AX285" s="240"/>
      <c r="AY285" s="240"/>
      <c r="AZ285" s="240"/>
      <c r="BA285" s="240"/>
      <c r="BB285" s="240"/>
      <c r="BC285" s="240"/>
      <c r="BD285" s="240"/>
      <c r="BE285" s="240"/>
      <c r="BF285" s="240"/>
      <c r="BG285" s="240"/>
      <c r="BH285" s="240"/>
      <c r="BI285" s="240"/>
      <c r="BJ285" s="240"/>
      <c r="BK285" s="240"/>
      <c r="BL285" s="240"/>
    </row>
    <row r="286" spans="1:86" ht="15.6">
      <c r="A286" s="688"/>
      <c r="B286" s="240"/>
      <c r="C286" s="697"/>
      <c r="D286" s="82" t="s">
        <v>807</v>
      </c>
      <c r="E286" s="82"/>
      <c r="F286" s="694">
        <v>15</v>
      </c>
      <c r="G286" s="163"/>
      <c r="H286" s="695" t="s">
        <v>803</v>
      </c>
      <c r="I286" s="696">
        <v>20</v>
      </c>
      <c r="J286" s="698">
        <f t="shared" ref="J286:J291" si="11">(100-I286)/F286</f>
        <v>5.333333333333333</v>
      </c>
      <c r="K286" s="1959"/>
      <c r="L286" s="470"/>
      <c r="M286" s="470"/>
      <c r="N286" s="470"/>
      <c r="O286" s="470"/>
      <c r="P286" s="470"/>
      <c r="Q286" s="349"/>
      <c r="R286" s="1203"/>
      <c r="S286" s="1222"/>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c r="AX286" s="240"/>
      <c r="AY286" s="240"/>
      <c r="AZ286" s="240"/>
      <c r="BA286" s="240"/>
      <c r="BB286" s="240"/>
      <c r="BC286" s="240"/>
      <c r="BD286" s="240"/>
      <c r="BE286" s="240"/>
      <c r="BF286" s="240"/>
      <c r="BG286" s="240"/>
      <c r="BH286" s="240"/>
      <c r="BI286" s="240"/>
      <c r="BJ286" s="240"/>
      <c r="BK286" s="240"/>
      <c r="BL286" s="240"/>
    </row>
    <row r="287" spans="1:86" ht="15.6">
      <c r="A287" s="688"/>
      <c r="B287" s="240"/>
      <c r="C287" s="697"/>
      <c r="D287" s="82" t="s">
        <v>808</v>
      </c>
      <c r="E287" s="82"/>
      <c r="F287" s="694">
        <v>7</v>
      </c>
      <c r="G287" s="163"/>
      <c r="H287" s="695" t="s">
        <v>27</v>
      </c>
      <c r="I287" s="696">
        <v>20</v>
      </c>
      <c r="J287" s="698">
        <f t="shared" si="11"/>
        <v>11.428571428571429</v>
      </c>
      <c r="K287" s="1960"/>
      <c r="L287" s="470"/>
      <c r="M287" s="470"/>
      <c r="N287" s="470"/>
      <c r="O287" s="470"/>
      <c r="P287" s="470"/>
      <c r="Q287" s="349"/>
      <c r="R287" s="1203"/>
      <c r="S287" s="1222"/>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c r="AX287" s="240"/>
      <c r="AY287" s="240"/>
      <c r="AZ287" s="240"/>
      <c r="BA287" s="240"/>
      <c r="BB287" s="240"/>
      <c r="BC287" s="240"/>
      <c r="BD287" s="240"/>
      <c r="BE287" s="240"/>
      <c r="BF287" s="240"/>
      <c r="BG287" s="240"/>
      <c r="BH287" s="240"/>
      <c r="BI287" s="240"/>
      <c r="BJ287" s="240"/>
      <c r="BK287" s="240"/>
      <c r="BL287" s="240"/>
    </row>
    <row r="288" spans="1:86" ht="15.6">
      <c r="A288" s="688"/>
      <c r="B288" s="240"/>
      <c r="C288" s="697"/>
      <c r="D288" s="82" t="s">
        <v>809</v>
      </c>
      <c r="E288" s="82"/>
      <c r="F288" s="1079">
        <v>11.5</v>
      </c>
      <c r="G288" s="163"/>
      <c r="H288" s="695" t="s">
        <v>810</v>
      </c>
      <c r="I288" s="696">
        <v>20</v>
      </c>
      <c r="J288" s="698">
        <f t="shared" si="11"/>
        <v>6.9565217391304346</v>
      </c>
      <c r="K288" s="1959">
        <v>1805.04</v>
      </c>
      <c r="L288" s="470"/>
      <c r="M288" s="470"/>
      <c r="N288" s="470"/>
      <c r="O288" s="470"/>
      <c r="P288" s="470"/>
      <c r="Q288" s="349"/>
      <c r="R288" s="1203"/>
      <c r="S288" s="1222"/>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c r="AX288" s="240"/>
      <c r="AY288" s="240"/>
      <c r="AZ288" s="240"/>
      <c r="BA288" s="240"/>
      <c r="BB288" s="240"/>
      <c r="BC288" s="240"/>
      <c r="BD288" s="240"/>
      <c r="BE288" s="240"/>
      <c r="BF288" s="240"/>
      <c r="BG288" s="240"/>
      <c r="BH288" s="240"/>
      <c r="BI288" s="240"/>
      <c r="BJ288" s="240"/>
      <c r="BK288" s="240"/>
      <c r="BL288" s="240"/>
    </row>
    <row r="289" spans="1:64" ht="15.6">
      <c r="A289" s="688"/>
      <c r="B289" s="240"/>
      <c r="C289" s="697"/>
      <c r="D289" s="82" t="s">
        <v>811</v>
      </c>
      <c r="E289" s="82"/>
      <c r="F289" s="1079">
        <v>11.5</v>
      </c>
      <c r="G289" s="163"/>
      <c r="H289" s="695" t="s">
        <v>810</v>
      </c>
      <c r="I289" s="696">
        <v>20</v>
      </c>
      <c r="J289" s="698">
        <f t="shared" si="11"/>
        <v>6.9565217391304346</v>
      </c>
      <c r="K289" s="1959"/>
      <c r="L289" s="470"/>
      <c r="M289" s="470"/>
      <c r="N289" s="470"/>
      <c r="O289" s="470"/>
      <c r="P289" s="470"/>
      <c r="Q289" s="349"/>
      <c r="R289" s="1203"/>
      <c r="S289" s="1222"/>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c r="AX289" s="240"/>
      <c r="AY289" s="240"/>
      <c r="AZ289" s="240"/>
      <c r="BA289" s="240"/>
      <c r="BB289" s="240"/>
      <c r="BC289" s="240"/>
      <c r="BD289" s="240"/>
      <c r="BE289" s="240"/>
      <c r="BF289" s="240"/>
      <c r="BG289" s="240"/>
      <c r="BH289" s="240"/>
      <c r="BI289" s="240"/>
      <c r="BJ289" s="240"/>
      <c r="BK289" s="240"/>
      <c r="BL289" s="240"/>
    </row>
    <row r="290" spans="1:64" ht="15.6">
      <c r="A290" s="688"/>
      <c r="B290" s="240"/>
      <c r="C290" s="697"/>
      <c r="D290" s="82" t="s">
        <v>812</v>
      </c>
      <c r="E290" s="82"/>
      <c r="F290" s="694">
        <v>18</v>
      </c>
      <c r="G290" s="163"/>
      <c r="H290" s="695" t="s">
        <v>813</v>
      </c>
      <c r="I290" s="696">
        <v>20</v>
      </c>
      <c r="J290" s="698">
        <f t="shared" si="11"/>
        <v>4.4444444444444446</v>
      </c>
      <c r="K290" s="1959"/>
      <c r="L290" s="470"/>
      <c r="M290" s="470"/>
      <c r="N290" s="470"/>
      <c r="O290" s="470"/>
      <c r="P290" s="470"/>
      <c r="Q290" s="349"/>
      <c r="R290" s="1203"/>
      <c r="S290" s="1222"/>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c r="BK290" s="240"/>
      <c r="BL290" s="240"/>
    </row>
    <row r="291" spans="1:64" ht="15.6">
      <c r="A291" s="688"/>
      <c r="B291" s="240"/>
      <c r="C291" s="697"/>
      <c r="D291" s="82" t="s">
        <v>814</v>
      </c>
      <c r="E291" s="82"/>
      <c r="F291" s="694">
        <v>15</v>
      </c>
      <c r="G291" s="163"/>
      <c r="H291" s="695" t="s">
        <v>803</v>
      </c>
      <c r="I291" s="696">
        <v>20</v>
      </c>
      <c r="J291" s="698">
        <f t="shared" si="11"/>
        <v>5.333333333333333</v>
      </c>
      <c r="K291" s="1959"/>
      <c r="L291" s="470"/>
      <c r="M291" s="470"/>
      <c r="N291" s="470"/>
      <c r="O291" s="470"/>
      <c r="P291" s="470"/>
      <c r="Q291" s="349"/>
      <c r="R291" s="1203"/>
      <c r="S291" s="1222"/>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c r="BK291" s="240"/>
      <c r="BL291" s="240"/>
    </row>
    <row r="292" spans="1:64" ht="15.6">
      <c r="A292" s="688"/>
      <c r="B292" s="240"/>
      <c r="C292" s="697"/>
      <c r="D292" s="82"/>
      <c r="E292" s="82"/>
      <c r="F292" s="694"/>
      <c r="G292" s="163"/>
      <c r="H292" s="695"/>
      <c r="I292" s="696"/>
      <c r="J292" s="698"/>
      <c r="K292" s="1392"/>
      <c r="L292" s="470"/>
      <c r="M292" s="470"/>
      <c r="N292" s="470"/>
      <c r="O292" s="470"/>
      <c r="P292" s="470"/>
      <c r="Q292" s="349"/>
      <c r="R292" s="1203"/>
      <c r="S292" s="1222"/>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c r="BK292" s="240"/>
      <c r="BL292" s="240"/>
    </row>
    <row r="293" spans="1:64" ht="15.6">
      <c r="A293" s="688"/>
      <c r="B293" s="240"/>
      <c r="C293" s="697">
        <v>393</v>
      </c>
      <c r="D293" s="82" t="s">
        <v>815</v>
      </c>
      <c r="E293" s="82"/>
      <c r="F293" s="694">
        <v>20</v>
      </c>
      <c r="G293" s="163"/>
      <c r="H293" s="695" t="s">
        <v>803</v>
      </c>
      <c r="I293" s="696">
        <v>0</v>
      </c>
      <c r="J293" s="698">
        <f>(100-I293)/F293</f>
        <v>5</v>
      </c>
      <c r="K293" s="1959"/>
      <c r="L293" s="470"/>
      <c r="M293" s="470"/>
      <c r="N293" s="470"/>
      <c r="O293" s="470"/>
      <c r="P293" s="470"/>
      <c r="Q293" s="349"/>
      <c r="R293" s="1203"/>
      <c r="S293" s="1222"/>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c r="AX293" s="240"/>
      <c r="AY293" s="240"/>
      <c r="AZ293" s="240"/>
      <c r="BA293" s="240"/>
      <c r="BB293" s="240"/>
      <c r="BC293" s="240"/>
      <c r="BD293" s="240"/>
      <c r="BE293" s="240"/>
      <c r="BF293" s="240"/>
      <c r="BG293" s="240"/>
      <c r="BH293" s="240"/>
      <c r="BI293" s="240"/>
      <c r="BJ293" s="240"/>
      <c r="BK293" s="240"/>
      <c r="BL293" s="240"/>
    </row>
    <row r="294" spans="1:64" ht="15.6">
      <c r="A294" s="688"/>
      <c r="B294" s="240"/>
      <c r="C294" s="697"/>
      <c r="D294" s="240"/>
      <c r="E294" s="240"/>
      <c r="F294" s="240"/>
      <c r="G294" s="240"/>
      <c r="H294" s="240"/>
      <c r="I294" s="696"/>
      <c r="J294" s="698"/>
      <c r="K294" s="1392"/>
      <c r="L294" s="470"/>
      <c r="M294" s="470"/>
      <c r="N294" s="470"/>
      <c r="O294" s="470"/>
      <c r="P294" s="470"/>
      <c r="Q294" s="349"/>
      <c r="R294" s="1203"/>
      <c r="S294" s="1222"/>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c r="AX294" s="240"/>
      <c r="AY294" s="240"/>
      <c r="AZ294" s="240"/>
      <c r="BA294" s="240"/>
      <c r="BB294" s="240"/>
      <c r="BC294" s="240"/>
      <c r="BD294" s="240"/>
      <c r="BE294" s="240"/>
      <c r="BF294" s="240"/>
      <c r="BG294" s="240"/>
      <c r="BH294" s="240"/>
      <c r="BI294" s="240"/>
      <c r="BJ294" s="240"/>
      <c r="BK294" s="240"/>
      <c r="BL294" s="240"/>
    </row>
    <row r="295" spans="1:64" ht="15.6">
      <c r="A295" s="688"/>
      <c r="B295" s="240"/>
      <c r="C295" s="697">
        <v>394</v>
      </c>
      <c r="D295" s="82" t="s">
        <v>816</v>
      </c>
      <c r="E295" s="82"/>
      <c r="F295" s="694">
        <v>20</v>
      </c>
      <c r="G295" s="163"/>
      <c r="H295" s="695" t="s">
        <v>803</v>
      </c>
      <c r="I295" s="696">
        <v>0</v>
      </c>
      <c r="J295" s="698">
        <f>(100-I295)/F295</f>
        <v>5</v>
      </c>
      <c r="K295" s="1959"/>
      <c r="L295" s="470"/>
      <c r="M295" s="470"/>
      <c r="N295" s="470"/>
      <c r="O295" s="470"/>
      <c r="P295" s="470"/>
      <c r="Q295" s="349"/>
      <c r="R295" s="1203"/>
      <c r="S295" s="1222"/>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c r="AX295" s="240"/>
      <c r="AY295" s="240"/>
      <c r="AZ295" s="240"/>
      <c r="BA295" s="240"/>
      <c r="BB295" s="240"/>
      <c r="BC295" s="240"/>
      <c r="BD295" s="240"/>
      <c r="BE295" s="240"/>
      <c r="BF295" s="240"/>
      <c r="BG295" s="240"/>
      <c r="BH295" s="240"/>
      <c r="BI295" s="240"/>
      <c r="BJ295" s="240"/>
      <c r="BK295" s="240"/>
      <c r="BL295" s="240"/>
    </row>
    <row r="296" spans="1:64" ht="15.6">
      <c r="A296" s="688"/>
      <c r="B296" s="240"/>
      <c r="C296" s="697"/>
      <c r="D296" s="82"/>
      <c r="E296" s="82" t="s">
        <v>525</v>
      </c>
      <c r="F296" s="694"/>
      <c r="G296" s="163"/>
      <c r="H296" s="695"/>
      <c r="I296" s="696"/>
      <c r="J296" s="698"/>
      <c r="K296" s="1392"/>
      <c r="L296" s="470"/>
      <c r="M296" s="470"/>
      <c r="N296" s="470"/>
      <c r="O296" s="470"/>
      <c r="P296" s="470"/>
      <c r="Q296" s="349"/>
      <c r="R296" s="1203"/>
      <c r="S296" s="1222"/>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c r="AX296" s="240"/>
      <c r="AY296" s="240"/>
      <c r="AZ296" s="240"/>
      <c r="BA296" s="240"/>
      <c r="BB296" s="240"/>
      <c r="BC296" s="240"/>
      <c r="BD296" s="240"/>
      <c r="BE296" s="240"/>
      <c r="BF296" s="240"/>
      <c r="BG296" s="240"/>
      <c r="BH296" s="240"/>
      <c r="BI296" s="240"/>
      <c r="BJ296" s="240"/>
      <c r="BK296" s="240"/>
      <c r="BL296" s="240"/>
    </row>
    <row r="297" spans="1:64" ht="15.6">
      <c r="A297" s="688"/>
      <c r="B297" s="240"/>
      <c r="C297" s="697">
        <v>396</v>
      </c>
      <c r="D297" s="82" t="s">
        <v>817</v>
      </c>
      <c r="E297" s="82"/>
      <c r="F297" s="694">
        <v>18</v>
      </c>
      <c r="G297" s="163"/>
      <c r="H297" s="695" t="s">
        <v>813</v>
      </c>
      <c r="I297" s="696">
        <v>25</v>
      </c>
      <c r="J297" s="698">
        <f>(100-I297)/F297</f>
        <v>4.166666666666667</v>
      </c>
      <c r="K297" s="1959"/>
      <c r="L297" s="470"/>
      <c r="M297" s="470"/>
      <c r="N297" s="470"/>
      <c r="O297" s="470"/>
      <c r="P297" s="470"/>
      <c r="Q297" s="349"/>
      <c r="R297" s="1203"/>
      <c r="S297" s="1222"/>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c r="AX297" s="240"/>
      <c r="AY297" s="240"/>
      <c r="AZ297" s="240"/>
      <c r="BA297" s="240"/>
      <c r="BB297" s="240"/>
      <c r="BC297" s="240"/>
      <c r="BD297" s="240"/>
      <c r="BE297" s="240"/>
      <c r="BF297" s="240"/>
      <c r="BG297" s="240"/>
      <c r="BH297" s="240"/>
      <c r="BI297" s="240"/>
      <c r="BJ297" s="240"/>
      <c r="BK297" s="240"/>
      <c r="BL297" s="240"/>
    </row>
    <row r="298" spans="1:64" ht="15.6">
      <c r="A298" s="688"/>
      <c r="B298" s="240"/>
      <c r="C298" s="697"/>
      <c r="D298" s="82"/>
      <c r="E298" s="82"/>
      <c r="F298" s="694"/>
      <c r="G298" s="163"/>
      <c r="H298" s="695"/>
      <c r="I298" s="696"/>
      <c r="J298" s="698"/>
      <c r="K298" s="1392"/>
      <c r="L298" s="470"/>
      <c r="M298" s="470"/>
      <c r="N298" s="470"/>
      <c r="O298" s="470"/>
      <c r="P298" s="470"/>
      <c r="Q298" s="349"/>
      <c r="R298" s="1203"/>
      <c r="S298" s="1222"/>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c r="BK298" s="240"/>
      <c r="BL298" s="240"/>
    </row>
    <row r="299" spans="1:64" ht="15.6">
      <c r="A299" s="688"/>
      <c r="B299" s="240"/>
      <c r="C299" s="697">
        <v>397</v>
      </c>
      <c r="D299" s="82" t="s">
        <v>818</v>
      </c>
      <c r="E299" s="82"/>
      <c r="F299" s="694">
        <v>15</v>
      </c>
      <c r="G299" s="163"/>
      <c r="H299" s="695" t="s">
        <v>803</v>
      </c>
      <c r="I299" s="696">
        <v>0</v>
      </c>
      <c r="J299" s="698">
        <f>(100-I299)/F299</f>
        <v>6.666666666666667</v>
      </c>
      <c r="K299" s="1959">
        <v>817998.73</v>
      </c>
      <c r="L299" s="470"/>
      <c r="M299" s="470"/>
      <c r="N299" s="470"/>
      <c r="O299" s="470"/>
      <c r="P299" s="470"/>
      <c r="Q299" s="349"/>
      <c r="R299" s="1203"/>
      <c r="S299" s="1222"/>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c r="AX299" s="240"/>
      <c r="AY299" s="240"/>
      <c r="AZ299" s="240"/>
      <c r="BA299" s="240"/>
      <c r="BB299" s="240"/>
      <c r="BC299" s="240"/>
      <c r="BD299" s="240"/>
      <c r="BE299" s="240"/>
      <c r="BF299" s="240"/>
      <c r="BG299" s="240"/>
      <c r="BH299" s="240"/>
      <c r="BI299" s="240"/>
      <c r="BJ299" s="240"/>
      <c r="BK299" s="240"/>
      <c r="BL299" s="240"/>
    </row>
    <row r="300" spans="1:64" ht="16.2" thickBot="1">
      <c r="A300" s="688"/>
      <c r="B300" s="240"/>
      <c r="C300" s="697"/>
      <c r="D300" s="82"/>
      <c r="E300" s="82"/>
      <c r="F300" s="694"/>
      <c r="G300" s="163"/>
      <c r="H300" s="240"/>
      <c r="I300" s="696"/>
      <c r="J300" s="698"/>
      <c r="K300" s="1391"/>
      <c r="L300" s="470"/>
      <c r="M300" s="470"/>
      <c r="N300" s="470"/>
      <c r="O300" s="470"/>
      <c r="P300" s="470"/>
      <c r="Q300" s="349"/>
      <c r="R300" s="1203"/>
      <c r="S300" s="1222"/>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c r="AX300" s="240"/>
      <c r="AY300" s="240"/>
      <c r="AZ300" s="240"/>
      <c r="BA300" s="240"/>
      <c r="BB300" s="240"/>
      <c r="BC300" s="240"/>
      <c r="BD300" s="240"/>
      <c r="BE300" s="240"/>
      <c r="BF300" s="240"/>
      <c r="BG300" s="240"/>
      <c r="BH300" s="240"/>
      <c r="BI300" s="240"/>
      <c r="BJ300" s="240"/>
      <c r="BK300" s="240"/>
      <c r="BL300" s="240"/>
    </row>
    <row r="301" spans="1:64" ht="15.6">
      <c r="A301" s="688"/>
      <c r="B301" s="240"/>
      <c r="C301" s="697">
        <v>398</v>
      </c>
      <c r="D301" s="82" t="s">
        <v>819</v>
      </c>
      <c r="E301" s="82"/>
      <c r="F301" s="694">
        <v>15</v>
      </c>
      <c r="G301" s="163"/>
      <c r="H301" s="695" t="s">
        <v>803</v>
      </c>
      <c r="I301" s="696">
        <v>0</v>
      </c>
      <c r="J301" s="698">
        <f>(100-I301)/F301</f>
        <v>6.666666666666667</v>
      </c>
      <c r="K301" s="1393">
        <v>0</v>
      </c>
      <c r="L301" s="470"/>
      <c r="M301" s="470"/>
      <c r="N301" s="470"/>
      <c r="O301" s="470"/>
      <c r="P301" s="470"/>
      <c r="Q301" s="349"/>
      <c r="R301" s="1203"/>
      <c r="S301" s="1222"/>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c r="AX301" s="240"/>
      <c r="AY301" s="240"/>
      <c r="AZ301" s="240"/>
      <c r="BA301" s="240"/>
      <c r="BB301" s="240"/>
      <c r="BC301" s="240"/>
      <c r="BD301" s="240"/>
      <c r="BE301" s="240"/>
      <c r="BF301" s="240"/>
      <c r="BG301" s="240"/>
      <c r="BH301" s="240"/>
      <c r="BI301" s="240"/>
      <c r="BJ301" s="240"/>
      <c r="BK301" s="240"/>
      <c r="BL301" s="240"/>
    </row>
    <row r="302" spans="1:64" ht="16.2" thickBot="1">
      <c r="A302" s="688"/>
      <c r="B302" s="240"/>
      <c r="C302" s="697" t="s">
        <v>820</v>
      </c>
      <c r="D302" s="82"/>
      <c r="E302" s="82"/>
      <c r="F302" s="694"/>
      <c r="G302" s="163"/>
      <c r="H302" s="695"/>
      <c r="I302" s="696"/>
      <c r="J302" s="698"/>
      <c r="K302" s="1394">
        <f>SUM(K279:K301)</f>
        <v>2345101.27</v>
      </c>
      <c r="L302" s="470"/>
      <c r="M302" s="470"/>
      <c r="N302" s="470"/>
      <c r="O302" s="470"/>
      <c r="P302" s="470"/>
      <c r="Q302" s="349"/>
      <c r="R302" s="1203"/>
      <c r="S302" s="1222"/>
      <c r="T302" s="240"/>
      <c r="U302" s="1250"/>
      <c r="V302" s="1250"/>
      <c r="W302" s="1250"/>
      <c r="X302" s="1250"/>
      <c r="Y302" s="1250"/>
      <c r="Z302" s="1250"/>
      <c r="AA302" s="1250"/>
      <c r="AB302" s="1250"/>
      <c r="AC302" s="1250"/>
      <c r="AD302" s="1250"/>
      <c r="AE302" s="1250"/>
      <c r="AF302" s="1250"/>
      <c r="AG302" s="1250"/>
      <c r="AH302" s="1250"/>
      <c r="AI302" s="1250"/>
      <c r="AJ302" s="1250"/>
      <c r="AK302" s="1250"/>
      <c r="AL302" s="1250"/>
      <c r="AM302" s="1250"/>
      <c r="AN302" s="1250"/>
      <c r="AO302" s="1250"/>
      <c r="AP302" s="1250"/>
      <c r="AQ302" s="1250"/>
      <c r="AR302" s="1250"/>
      <c r="AS302" s="1250"/>
      <c r="AT302" s="1250"/>
      <c r="AU302" s="1250"/>
      <c r="AV302" s="1250"/>
      <c r="AW302" s="1250"/>
      <c r="AX302" s="1250"/>
      <c r="AY302" s="1250"/>
      <c r="AZ302" s="1250"/>
      <c r="BA302" s="1250"/>
      <c r="BB302" s="1250"/>
      <c r="BC302" s="1250"/>
      <c r="BD302" s="1250"/>
      <c r="BE302" s="1250"/>
      <c r="BF302" s="1250"/>
      <c r="BG302" s="1250"/>
      <c r="BH302" s="1250"/>
      <c r="BI302" s="1250"/>
      <c r="BJ302" s="1250"/>
      <c r="BK302" s="1250"/>
      <c r="BL302" s="1250"/>
    </row>
    <row r="303" spans="1:64" ht="16.2" thickBot="1">
      <c r="A303" s="688"/>
      <c r="B303" s="240"/>
      <c r="C303" s="866" t="s">
        <v>821</v>
      </c>
      <c r="D303" s="1314">
        <f>K302</f>
        <v>2345101.27</v>
      </c>
      <c r="E303" s="1763"/>
      <c r="F303" s="694"/>
      <c r="G303" s="163"/>
      <c r="H303" s="695"/>
      <c r="I303" s="696"/>
      <c r="J303" s="698"/>
      <c r="K303" s="1185"/>
      <c r="L303" s="470"/>
      <c r="M303" s="470"/>
      <c r="N303" s="470"/>
      <c r="O303" s="470"/>
      <c r="P303" s="470"/>
      <c r="Q303" s="349"/>
      <c r="R303" s="1203"/>
      <c r="S303" s="1222"/>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c r="AX303" s="240"/>
      <c r="AY303" s="240"/>
      <c r="AZ303" s="240"/>
      <c r="BA303" s="240"/>
      <c r="BB303" s="240"/>
      <c r="BC303" s="240"/>
      <c r="BD303" s="240"/>
      <c r="BE303" s="240"/>
      <c r="BF303" s="240"/>
      <c r="BG303" s="240"/>
      <c r="BH303" s="240"/>
      <c r="BI303" s="240"/>
      <c r="BJ303" s="240"/>
      <c r="BK303" s="240"/>
      <c r="BL303" s="240"/>
    </row>
    <row r="304" spans="1:64" ht="16.2" thickBot="1">
      <c r="A304" s="688"/>
      <c r="B304" s="240"/>
      <c r="C304" s="866"/>
      <c r="D304" s="1321"/>
      <c r="E304" s="82"/>
      <c r="F304" s="694"/>
      <c r="G304" s="163"/>
      <c r="H304" s="695"/>
      <c r="I304" s="696"/>
      <c r="J304" s="698"/>
      <c r="K304" s="470"/>
      <c r="L304" s="470"/>
      <c r="M304" s="470"/>
      <c r="N304" s="470"/>
      <c r="O304" s="470"/>
      <c r="P304" s="470"/>
      <c r="Q304" s="349"/>
      <c r="R304" s="1185"/>
      <c r="S304" s="1222"/>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c r="AX304" s="240"/>
      <c r="AY304" s="240"/>
      <c r="AZ304" s="240"/>
      <c r="BA304" s="240"/>
      <c r="BB304" s="240"/>
      <c r="BC304" s="240"/>
      <c r="BD304" s="240"/>
      <c r="BE304" s="240"/>
      <c r="BF304" s="240"/>
      <c r="BG304" s="240"/>
      <c r="BH304" s="240"/>
      <c r="BI304" s="240"/>
      <c r="BJ304" s="240"/>
      <c r="BK304" s="240"/>
      <c r="BL304" s="240"/>
    </row>
    <row r="305" spans="1:64" ht="31.8" thickBot="1">
      <c r="A305" s="688"/>
      <c r="B305" s="240"/>
      <c r="C305" s="334" t="s">
        <v>822</v>
      </c>
      <c r="D305" s="1321"/>
      <c r="E305" s="82"/>
      <c r="F305" s="483" t="s">
        <v>904</v>
      </c>
      <c r="G305" s="163"/>
      <c r="H305" s="1076" t="s">
        <v>797</v>
      </c>
      <c r="I305" s="1077" t="s">
        <v>799</v>
      </c>
      <c r="J305" s="1078" t="s">
        <v>823</v>
      </c>
      <c r="K305" s="1240" t="s">
        <v>603</v>
      </c>
      <c r="L305" s="751"/>
      <c r="M305" s="751"/>
      <c r="N305" s="751"/>
      <c r="O305" s="751"/>
      <c r="P305" s="751"/>
      <c r="Q305" s="1075"/>
      <c r="R305" s="240"/>
      <c r="S305" s="1221"/>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c r="AX305" s="240"/>
      <c r="AY305" s="240"/>
      <c r="AZ305" s="240"/>
      <c r="BA305" s="240"/>
      <c r="BB305" s="240"/>
      <c r="BC305" s="240"/>
      <c r="BD305" s="240"/>
      <c r="BE305" s="240"/>
      <c r="BF305" s="240"/>
      <c r="BG305" s="240"/>
      <c r="BH305" s="240"/>
      <c r="BI305" s="240"/>
      <c r="BJ305" s="240"/>
      <c r="BK305" s="240"/>
      <c r="BL305" s="240"/>
    </row>
    <row r="306" spans="1:64" ht="15.6">
      <c r="A306" s="688"/>
      <c r="B306" s="240"/>
      <c r="C306" s="697"/>
      <c r="D306" s="1321"/>
      <c r="E306" s="82"/>
      <c r="F306" s="694"/>
      <c r="G306" s="163"/>
      <c r="H306" s="695"/>
      <c r="I306" s="696"/>
      <c r="J306" s="698"/>
      <c r="K306" s="1238"/>
      <c r="L306" s="751"/>
      <c r="M306" s="751"/>
      <c r="N306" s="751"/>
      <c r="O306" s="751"/>
      <c r="P306" s="751"/>
      <c r="Q306" s="1075"/>
      <c r="R306" s="240"/>
      <c r="S306" s="1221"/>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c r="AX306" s="240"/>
      <c r="AY306" s="240"/>
      <c r="AZ306" s="240"/>
      <c r="BA306" s="240"/>
      <c r="BB306" s="240"/>
      <c r="BC306" s="240"/>
      <c r="BD306" s="240"/>
      <c r="BE306" s="240"/>
      <c r="BF306" s="240"/>
      <c r="BG306" s="240"/>
      <c r="BH306" s="240"/>
      <c r="BI306" s="240"/>
      <c r="BJ306" s="240"/>
      <c r="BK306" s="240"/>
      <c r="BL306" s="240"/>
    </row>
    <row r="307" spans="1:64" ht="15.6">
      <c r="A307" s="688"/>
      <c r="B307" s="240"/>
      <c r="C307" s="697">
        <v>303</v>
      </c>
      <c r="D307" s="1321" t="s">
        <v>824</v>
      </c>
      <c r="E307" s="82"/>
      <c r="F307" s="694">
        <v>5</v>
      </c>
      <c r="G307" s="163"/>
      <c r="H307" s="695" t="s">
        <v>803</v>
      </c>
      <c r="I307" s="696">
        <v>0</v>
      </c>
      <c r="J307" s="698">
        <f>(100-I307)/F307</f>
        <v>20</v>
      </c>
      <c r="K307" s="1961">
        <v>3177865.7199999997</v>
      </c>
      <c r="L307" s="751"/>
      <c r="M307" s="751"/>
      <c r="N307" s="751"/>
      <c r="O307" s="751"/>
      <c r="P307" s="751"/>
      <c r="Q307" s="1075"/>
      <c r="R307" s="240"/>
      <c r="S307" s="1221"/>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240"/>
      <c r="AY307" s="240"/>
      <c r="AZ307" s="240"/>
      <c r="BA307" s="240"/>
      <c r="BB307" s="240"/>
      <c r="BC307" s="240"/>
      <c r="BD307" s="240"/>
      <c r="BE307" s="240"/>
      <c r="BF307" s="240"/>
      <c r="BG307" s="240"/>
      <c r="BH307" s="240"/>
      <c r="BI307" s="240"/>
      <c r="BJ307" s="240"/>
      <c r="BK307" s="240"/>
      <c r="BL307" s="240"/>
    </row>
    <row r="308" spans="1:64" ht="16.2" thickBot="1">
      <c r="A308" s="688"/>
      <c r="B308" s="240"/>
      <c r="C308" s="697" t="s">
        <v>825</v>
      </c>
      <c r="D308" s="1321"/>
      <c r="E308" s="82"/>
      <c r="F308" s="694"/>
      <c r="G308" s="163"/>
      <c r="H308" s="695"/>
      <c r="I308" s="696"/>
      <c r="J308" s="698"/>
      <c r="K308" s="1534">
        <f>SUM(K307)</f>
        <v>3177865.7199999997</v>
      </c>
      <c r="L308" s="751"/>
      <c r="M308" s="751"/>
      <c r="N308" s="751"/>
      <c r="O308" s="751"/>
      <c r="P308" s="751"/>
      <c r="Q308" s="1075"/>
      <c r="R308" s="240"/>
      <c r="S308" s="1221"/>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240"/>
      <c r="AY308" s="240"/>
      <c r="AZ308" s="240"/>
      <c r="BA308" s="240"/>
      <c r="BB308" s="240"/>
      <c r="BC308" s="240"/>
      <c r="BD308" s="240"/>
      <c r="BE308" s="240"/>
      <c r="BF308" s="240"/>
      <c r="BG308" s="240"/>
      <c r="BH308" s="240"/>
      <c r="BI308" s="240"/>
      <c r="BJ308" s="240"/>
      <c r="BK308" s="240"/>
      <c r="BL308" s="240"/>
    </row>
    <row r="309" spans="1:64" ht="16.2" thickBot="1">
      <c r="A309" s="688"/>
      <c r="B309" s="240"/>
      <c r="C309" s="439" t="s">
        <v>826</v>
      </c>
      <c r="D309" s="1314">
        <f>K308</f>
        <v>3177865.7199999997</v>
      </c>
      <c r="E309" s="1763"/>
      <c r="F309" s="694"/>
      <c r="G309" s="163"/>
      <c r="H309" s="695"/>
      <c r="I309" s="696"/>
      <c r="J309" s="698"/>
      <c r="K309" s="1239"/>
      <c r="L309" s="751"/>
      <c r="M309" s="751"/>
      <c r="N309" s="751"/>
      <c r="O309" s="751"/>
      <c r="P309" s="751"/>
      <c r="Q309" s="1075"/>
      <c r="R309" s="240"/>
      <c r="S309" s="1221"/>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0"/>
      <c r="AY309" s="240"/>
      <c r="AZ309" s="240"/>
      <c r="BA309" s="240"/>
      <c r="BB309" s="240"/>
      <c r="BC309" s="240"/>
      <c r="BD309" s="240"/>
      <c r="BE309" s="240"/>
      <c r="BF309" s="240"/>
      <c r="BG309" s="240"/>
      <c r="BH309" s="240"/>
      <c r="BI309" s="240"/>
      <c r="BJ309" s="240"/>
      <c r="BK309" s="240"/>
      <c r="BL309" s="240"/>
    </row>
    <row r="310" spans="1:64" ht="13.8">
      <c r="A310" s="688"/>
      <c r="B310" s="240"/>
      <c r="C310" s="439"/>
      <c r="D310" s="240"/>
      <c r="E310" s="240"/>
      <c r="F310" s="240"/>
      <c r="G310" s="222"/>
      <c r="H310" s="222"/>
      <c r="I310" s="222"/>
      <c r="J310" s="222"/>
      <c r="K310" s="1075"/>
      <c r="L310" s="1075"/>
      <c r="M310" s="1075"/>
      <c r="N310" s="1075"/>
      <c r="O310" s="1075"/>
      <c r="P310" s="1075"/>
      <c r="Q310" s="1075"/>
      <c r="R310" s="240"/>
      <c r="S310" s="223"/>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c r="AX310" s="240"/>
      <c r="AY310" s="240"/>
      <c r="AZ310" s="240"/>
      <c r="BA310" s="240"/>
      <c r="BB310" s="240"/>
      <c r="BC310" s="240"/>
      <c r="BD310" s="240"/>
      <c r="BE310" s="240"/>
      <c r="BF310" s="240"/>
      <c r="BG310" s="240"/>
      <c r="BH310" s="240"/>
      <c r="BI310" s="240"/>
      <c r="BJ310" s="240"/>
      <c r="BK310" s="240"/>
      <c r="BL310" s="240"/>
    </row>
    <row r="311" spans="1:64" ht="13.8">
      <c r="A311" s="688"/>
      <c r="B311" s="240"/>
      <c r="C311" s="439"/>
      <c r="D311" s="486"/>
      <c r="E311" s="240"/>
      <c r="F311" s="240"/>
      <c r="G311" s="222"/>
      <c r="H311" s="222"/>
      <c r="I311" s="222"/>
      <c r="J311" s="222"/>
      <c r="K311" s="1062"/>
      <c r="L311" s="1062"/>
      <c r="M311" s="1062"/>
      <c r="N311" s="1062"/>
      <c r="O311" s="1062"/>
      <c r="P311" s="1062"/>
      <c r="Q311" s="1062"/>
      <c r="R311" s="240"/>
      <c r="S311" s="223"/>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0"/>
      <c r="AY311" s="240"/>
      <c r="AZ311" s="240"/>
      <c r="BA311" s="240"/>
      <c r="BB311" s="240"/>
      <c r="BC311" s="240"/>
      <c r="BD311" s="240"/>
      <c r="BE311" s="240"/>
      <c r="BF311" s="240"/>
      <c r="BG311" s="240"/>
      <c r="BH311" s="240"/>
      <c r="BI311" s="240"/>
      <c r="BJ311" s="240"/>
      <c r="BK311" s="240"/>
      <c r="BL311" s="240"/>
    </row>
    <row r="312" spans="1:64" ht="14.4" thickBot="1">
      <c r="A312" s="241"/>
      <c r="B312" s="242"/>
      <c r="C312" s="242" t="s">
        <v>827</v>
      </c>
      <c r="D312" s="242"/>
      <c r="E312" s="242"/>
      <c r="F312" s="242"/>
      <c r="G312" s="311"/>
      <c r="H312" s="311"/>
      <c r="I312" s="311"/>
      <c r="J312" s="311"/>
      <c r="K312" s="1080"/>
      <c r="L312" s="1080"/>
      <c r="M312" s="1080"/>
      <c r="N312" s="1080"/>
      <c r="O312" s="1080"/>
      <c r="P312" s="1080"/>
      <c r="Q312" s="1080"/>
      <c r="R312" s="1080"/>
      <c r="S312" s="311"/>
      <c r="T312" s="242"/>
      <c r="U312" s="242"/>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c r="AX312" s="240"/>
      <c r="AY312" s="240"/>
      <c r="AZ312" s="240"/>
      <c r="BA312" s="240"/>
      <c r="BB312" s="240"/>
      <c r="BC312" s="240"/>
      <c r="BD312" s="240"/>
      <c r="BE312" s="240"/>
      <c r="BF312" s="240"/>
      <c r="BG312" s="240"/>
      <c r="BH312" s="240"/>
      <c r="BI312" s="240"/>
      <c r="BJ312" s="240"/>
      <c r="BK312" s="240"/>
      <c r="BL312" s="240"/>
    </row>
    <row r="313" spans="1:64" ht="13.8">
      <c r="G313" s="221"/>
      <c r="H313" s="221"/>
      <c r="I313" s="221"/>
      <c r="J313" s="221"/>
      <c r="K313" s="221"/>
      <c r="L313" s="221"/>
      <c r="M313" s="221"/>
      <c r="N313" s="221"/>
      <c r="O313" s="221"/>
      <c r="P313" s="221"/>
      <c r="Q313" s="221"/>
      <c r="R313" s="221"/>
      <c r="S313" s="221"/>
    </row>
    <row r="314" spans="1:64" ht="21.6" thickBot="1">
      <c r="A314" s="298" t="s">
        <v>66</v>
      </c>
      <c r="G314" s="221"/>
      <c r="H314" s="221"/>
      <c r="I314" s="221"/>
      <c r="J314" s="221"/>
      <c r="K314" s="221"/>
      <c r="L314" s="221"/>
      <c r="M314" s="221"/>
      <c r="N314" s="221"/>
      <c r="O314" s="221"/>
      <c r="P314" s="221"/>
      <c r="Q314" s="221"/>
      <c r="R314" s="221"/>
      <c r="S314" s="221"/>
    </row>
    <row r="315" spans="1:64" ht="17.399999999999999">
      <c r="A315" s="320"/>
      <c r="B315" s="321"/>
      <c r="C315" s="327"/>
      <c r="D315" s="327"/>
      <c r="E315" s="327"/>
      <c r="F315" s="327"/>
      <c r="G315" s="2064"/>
      <c r="H315" s="2065"/>
      <c r="I315" s="720"/>
      <c r="J315" s="2064"/>
      <c r="K315" s="2065"/>
      <c r="L315" s="2064"/>
      <c r="M315" s="2064"/>
      <c r="N315" s="2065"/>
      <c r="O315" s="323"/>
      <c r="P315" s="323"/>
      <c r="Q315" s="323"/>
      <c r="R315" s="323"/>
      <c r="S315" s="324"/>
    </row>
    <row r="316" spans="1:64" ht="15.6">
      <c r="A316" s="706"/>
      <c r="B316" s="707"/>
      <c r="C316" s="708"/>
      <c r="D316" s="709"/>
      <c r="E316" s="710"/>
      <c r="F316" s="240"/>
      <c r="G316" s="222"/>
      <c r="H316" s="222"/>
      <c r="I316" s="222"/>
      <c r="J316" s="222"/>
      <c r="K316" s="222"/>
      <c r="L316" s="222"/>
      <c r="M316" s="222"/>
      <c r="N316" s="222"/>
      <c r="O316" s="222"/>
      <c r="P316" s="222"/>
      <c r="Q316" s="222"/>
      <c r="R316" s="222"/>
      <c r="S316" s="310"/>
    </row>
    <row r="317" spans="1:64" ht="13.8">
      <c r="A317" s="706"/>
      <c r="B317" s="240">
        <v>1</v>
      </c>
      <c r="C317" s="240" t="s">
        <v>244</v>
      </c>
      <c r="D317" s="240"/>
      <c r="E317" s="1034">
        <v>22856433</v>
      </c>
      <c r="F317" s="611"/>
      <c r="G317" s="222"/>
      <c r="H317" s="222"/>
      <c r="I317" s="222"/>
      <c r="J317" s="222"/>
      <c r="K317" s="222"/>
      <c r="L317" s="222"/>
      <c r="M317" s="222"/>
      <c r="N317" s="222"/>
      <c r="O317" s="222"/>
      <c r="P317" s="222"/>
      <c r="Q317" s="222"/>
      <c r="R317" s="222"/>
      <c r="S317" s="310"/>
    </row>
    <row r="318" spans="1:64" ht="13.8">
      <c r="A318" s="706"/>
      <c r="B318" s="240">
        <v>2</v>
      </c>
      <c r="C318" s="240" t="s">
        <v>245</v>
      </c>
      <c r="D318" s="240"/>
      <c r="E318" s="1034">
        <v>8786372</v>
      </c>
      <c r="F318" s="611"/>
      <c r="G318" s="222"/>
      <c r="H318" s="222"/>
      <c r="I318" s="222"/>
      <c r="J318" s="222"/>
      <c r="K318" s="222"/>
      <c r="L318" s="222"/>
      <c r="M318" s="222"/>
      <c r="N318" s="222"/>
      <c r="O318" s="222"/>
      <c r="P318" s="222"/>
      <c r="Q318" s="222"/>
      <c r="R318" s="222"/>
      <c r="S318" s="310"/>
    </row>
    <row r="319" spans="1:64" ht="13.8">
      <c r="A319" s="706"/>
      <c r="B319" s="240">
        <v>3</v>
      </c>
      <c r="C319" s="240" t="s">
        <v>246</v>
      </c>
      <c r="D319" s="240"/>
      <c r="E319" s="1034">
        <f>+E317-E318</f>
        <v>14070061</v>
      </c>
      <c r="F319" s="611"/>
      <c r="G319" s="222"/>
      <c r="H319" s="222"/>
      <c r="I319" s="222"/>
      <c r="J319" s="222"/>
      <c r="K319" s="222"/>
      <c r="L319" s="222"/>
      <c r="M319" s="222"/>
      <c r="N319" s="222"/>
      <c r="O319" s="222"/>
      <c r="P319" s="222"/>
      <c r="Q319" s="222"/>
      <c r="R319" s="222"/>
      <c r="S319" s="310"/>
    </row>
    <row r="320" spans="1:64" ht="13.8">
      <c r="A320" s="706"/>
      <c r="B320" s="240">
        <v>4</v>
      </c>
      <c r="C320" s="240" t="s">
        <v>249</v>
      </c>
      <c r="D320" s="240"/>
      <c r="E320" s="1034">
        <v>4408</v>
      </c>
      <c r="F320" s="611"/>
      <c r="G320" s="222"/>
      <c r="H320" s="222"/>
      <c r="I320" s="222"/>
      <c r="J320" s="222"/>
      <c r="K320" s="222"/>
      <c r="L320" s="222"/>
      <c r="M320" s="222"/>
      <c r="N320" s="222"/>
      <c r="O320" s="222"/>
      <c r="P320" s="222"/>
      <c r="Q320" s="222"/>
      <c r="R320" s="222"/>
      <c r="S320" s="310"/>
    </row>
    <row r="321" spans="1:19" ht="13.8">
      <c r="A321" s="706"/>
      <c r="B321" s="240">
        <v>5</v>
      </c>
      <c r="C321" s="240" t="s">
        <v>247</v>
      </c>
      <c r="D321" s="240"/>
      <c r="E321" s="839">
        <f>+E319/E320</f>
        <v>3191.9376134301269</v>
      </c>
      <c r="F321" s="611"/>
      <c r="G321" s="222"/>
      <c r="H321" s="222"/>
      <c r="I321" s="222"/>
      <c r="J321" s="222"/>
      <c r="K321" s="222"/>
      <c r="L321" s="222"/>
      <c r="M321" s="222"/>
      <c r="N321" s="222"/>
      <c r="O321" s="222"/>
      <c r="P321" s="222"/>
      <c r="Q321" s="222"/>
      <c r="R321" s="222"/>
      <c r="S321" s="310"/>
    </row>
    <row r="322" spans="1:19" ht="13.8">
      <c r="A322" s="706"/>
      <c r="B322" s="240">
        <v>6</v>
      </c>
      <c r="C322" s="240" t="s">
        <v>248</v>
      </c>
      <c r="D322" s="240"/>
      <c r="E322" s="1764">
        <v>0</v>
      </c>
      <c r="F322" s="611"/>
      <c r="G322" s="1035"/>
      <c r="H322" s="1035"/>
      <c r="I322" s="1035"/>
      <c r="J322" s="1035"/>
      <c r="K322" s="1035"/>
      <c r="L322" s="1035"/>
      <c r="M322" s="1035"/>
      <c r="N322" s="1035"/>
      <c r="O322" s="1035"/>
      <c r="P322" s="1035"/>
      <c r="Q322" s="1035"/>
      <c r="R322" s="1035"/>
      <c r="S322" s="1036"/>
    </row>
    <row r="323" spans="1:19" ht="13.8">
      <c r="A323" s="706"/>
      <c r="B323" s="240">
        <v>7</v>
      </c>
      <c r="C323" s="439" t="s">
        <v>228</v>
      </c>
      <c r="D323" s="240"/>
      <c r="E323" s="713">
        <f>E322*E321</f>
        <v>0</v>
      </c>
      <c r="F323" s="611"/>
      <c r="G323" s="1035"/>
      <c r="H323" s="1035"/>
      <c r="I323" s="1035"/>
      <c r="J323" s="1035"/>
      <c r="K323" s="1035"/>
      <c r="L323" s="1035"/>
      <c r="M323" s="1035"/>
      <c r="N323" s="1035"/>
      <c r="O323" s="1035"/>
      <c r="P323" s="1035"/>
      <c r="Q323" s="1035"/>
      <c r="R323" s="1035"/>
      <c r="S323" s="1036"/>
    </row>
    <row r="324" spans="1:19" ht="15">
      <c r="A324" s="706"/>
      <c r="B324" s="240">
        <v>8</v>
      </c>
      <c r="C324" s="240" t="s">
        <v>252</v>
      </c>
      <c r="D324" s="240"/>
      <c r="E324" s="1765">
        <v>0</v>
      </c>
      <c r="F324" s="1562"/>
      <c r="G324" s="1035"/>
      <c r="H324" s="1035"/>
      <c r="I324" s="1035"/>
      <c r="J324" s="1035"/>
      <c r="K324" s="1035"/>
      <c r="L324" s="1035"/>
      <c r="M324" s="1035"/>
      <c r="N324" s="1035"/>
      <c r="O324" s="1035"/>
      <c r="P324" s="1035"/>
      <c r="Q324" s="1035"/>
      <c r="R324" s="1035"/>
      <c r="S324" s="1036"/>
    </row>
    <row r="325" spans="1:19" ht="13.8">
      <c r="A325" s="1037">
        <v>57</v>
      </c>
      <c r="B325" s="355">
        <v>9</v>
      </c>
      <c r="C325" s="355" t="s">
        <v>851</v>
      </c>
      <c r="D325" s="240"/>
      <c r="E325" s="470">
        <f>+E323-E324</f>
        <v>0</v>
      </c>
      <c r="F325" s="592"/>
      <c r="G325" s="1035"/>
      <c r="H325" s="1035"/>
      <c r="I325" s="1035"/>
      <c r="J325" s="1035"/>
      <c r="K325" s="1035"/>
      <c r="L325" s="1035"/>
      <c r="M325" s="1035"/>
      <c r="N325" s="1035"/>
      <c r="O325" s="1035"/>
      <c r="P325" s="1035"/>
      <c r="Q325" s="1035"/>
      <c r="R325" s="1035"/>
      <c r="S325" s="1036"/>
    </row>
    <row r="326" spans="1:19" ht="14.4" thickBot="1">
      <c r="A326" s="1040"/>
      <c r="B326" s="242"/>
      <c r="C326" s="242" t="s">
        <v>257</v>
      </c>
      <c r="D326" s="242"/>
      <c r="E326" s="242"/>
      <c r="F326" s="242"/>
      <c r="G326" s="1038"/>
      <c r="H326" s="1038"/>
      <c r="I326" s="1038"/>
      <c r="J326" s="1038"/>
      <c r="K326" s="1038"/>
      <c r="L326" s="1038"/>
      <c r="M326" s="1038"/>
      <c r="N326" s="1038"/>
      <c r="O326" s="1038"/>
      <c r="P326" s="1038"/>
      <c r="Q326" s="1038"/>
      <c r="R326" s="1038"/>
      <c r="S326" s="1039"/>
    </row>
    <row r="327" spans="1:19" ht="13.8">
      <c r="G327" s="317"/>
      <c r="H327" s="317"/>
      <c r="I327" s="317"/>
      <c r="J327" s="317"/>
      <c r="K327" s="317"/>
      <c r="L327" s="317"/>
      <c r="M327" s="317"/>
      <c r="N327" s="317"/>
      <c r="O327" s="317"/>
      <c r="P327" s="317"/>
      <c r="Q327" s="317"/>
      <c r="R327" s="317"/>
      <c r="S327" s="317"/>
    </row>
    <row r="328" spans="1:19" ht="13.8">
      <c r="G328" s="317"/>
      <c r="H328" s="317"/>
      <c r="I328" s="317"/>
      <c r="J328" s="317"/>
      <c r="K328" s="317"/>
      <c r="L328" s="317"/>
      <c r="M328" s="317"/>
      <c r="N328" s="317"/>
      <c r="O328" s="317"/>
      <c r="P328" s="317"/>
      <c r="Q328" s="317"/>
      <c r="R328" s="317"/>
      <c r="S328" s="317"/>
    </row>
    <row r="329" spans="1:19" ht="13.8">
      <c r="G329" s="317"/>
      <c r="H329" s="317"/>
      <c r="I329" s="317"/>
      <c r="J329" s="317"/>
      <c r="K329" s="317"/>
      <c r="L329" s="317"/>
      <c r="M329" s="317"/>
      <c r="N329" s="317"/>
      <c r="O329" s="317"/>
      <c r="P329" s="317"/>
      <c r="Q329" s="317"/>
      <c r="R329" s="317"/>
      <c r="S329" s="317"/>
    </row>
    <row r="330" spans="1:19" ht="13.8">
      <c r="G330" s="317"/>
      <c r="H330" s="317"/>
      <c r="I330" s="317"/>
      <c r="J330" s="317"/>
      <c r="K330" s="317"/>
      <c r="L330" s="317"/>
      <c r="M330" s="317"/>
      <c r="N330" s="317"/>
      <c r="O330" s="317"/>
      <c r="P330" s="317"/>
      <c r="Q330" s="317"/>
      <c r="R330" s="317"/>
      <c r="S330" s="317"/>
    </row>
    <row r="331" spans="1:19" ht="13.8">
      <c r="G331" s="317"/>
      <c r="H331" s="317"/>
      <c r="I331" s="317"/>
      <c r="J331" s="317"/>
      <c r="K331" s="317"/>
      <c r="L331" s="317"/>
      <c r="M331" s="317"/>
      <c r="N331" s="317"/>
      <c r="O331" s="317"/>
      <c r="P331" s="317"/>
      <c r="Q331" s="317"/>
      <c r="R331" s="317"/>
      <c r="S331" s="317"/>
    </row>
    <row r="332" spans="1:19" ht="13.8">
      <c r="G332" s="317"/>
      <c r="H332" s="317"/>
      <c r="I332" s="317"/>
      <c r="J332" s="317"/>
      <c r="K332" s="317"/>
      <c r="L332" s="317"/>
      <c r="M332" s="317"/>
      <c r="N332" s="317"/>
      <c r="O332" s="317"/>
      <c r="P332" s="317"/>
      <c r="Q332" s="317"/>
      <c r="R332" s="317"/>
      <c r="S332" s="317"/>
    </row>
    <row r="333" spans="1:19" ht="13.8">
      <c r="G333" s="317"/>
      <c r="H333" s="317"/>
      <c r="I333" s="317"/>
      <c r="J333" s="317"/>
      <c r="K333" s="317"/>
      <c r="L333" s="317"/>
      <c r="M333" s="317"/>
      <c r="N333" s="317"/>
      <c r="O333" s="317"/>
      <c r="P333" s="317"/>
      <c r="Q333" s="317"/>
      <c r="R333" s="317"/>
      <c r="S333" s="317"/>
    </row>
    <row r="334" spans="1:19" ht="13.8">
      <c r="G334" s="317"/>
      <c r="H334" s="317"/>
      <c r="I334" s="317"/>
      <c r="J334" s="317"/>
      <c r="K334" s="317"/>
      <c r="L334" s="317"/>
      <c r="M334" s="317"/>
      <c r="N334" s="317"/>
      <c r="O334" s="317"/>
      <c r="P334" s="317"/>
      <c r="Q334" s="317"/>
      <c r="R334" s="317"/>
      <c r="S334" s="317"/>
    </row>
    <row r="335" spans="1:19" ht="13.8">
      <c r="G335" s="317"/>
      <c r="H335" s="317"/>
      <c r="I335" s="317"/>
      <c r="J335" s="317"/>
      <c r="K335" s="317"/>
      <c r="L335" s="317"/>
      <c r="M335" s="317"/>
      <c r="N335" s="317"/>
      <c r="O335" s="317"/>
      <c r="P335" s="317"/>
      <c r="Q335" s="317"/>
      <c r="R335" s="317"/>
      <c r="S335" s="317"/>
    </row>
    <row r="336" spans="1:19" ht="13.8">
      <c r="G336" s="317"/>
      <c r="H336" s="317"/>
      <c r="I336" s="317"/>
      <c r="J336" s="317"/>
      <c r="K336" s="317"/>
      <c r="L336" s="317"/>
      <c r="M336" s="317"/>
      <c r="N336" s="317"/>
      <c r="O336" s="317"/>
      <c r="P336" s="317"/>
      <c r="Q336" s="317"/>
      <c r="R336" s="317"/>
      <c r="S336" s="317"/>
    </row>
    <row r="337" spans="7:19" ht="13.8">
      <c r="G337" s="317"/>
      <c r="H337" s="317"/>
      <c r="I337" s="317"/>
      <c r="J337" s="317"/>
      <c r="K337" s="317"/>
      <c r="L337" s="317"/>
      <c r="M337" s="317"/>
      <c r="N337" s="317"/>
      <c r="O337" s="317"/>
      <c r="P337" s="317"/>
      <c r="Q337" s="317"/>
      <c r="R337" s="317"/>
      <c r="S337" s="317"/>
    </row>
    <row r="338" spans="7:19" ht="13.8">
      <c r="G338" s="317"/>
      <c r="H338" s="317"/>
      <c r="I338" s="317"/>
      <c r="J338" s="317"/>
      <c r="K338" s="317"/>
      <c r="L338" s="317"/>
      <c r="M338" s="317"/>
      <c r="N338" s="317"/>
      <c r="O338" s="317"/>
      <c r="P338" s="317"/>
      <c r="Q338" s="317"/>
      <c r="R338" s="317"/>
      <c r="S338" s="317"/>
    </row>
    <row r="339" spans="7:19" ht="13.8">
      <c r="G339" s="317"/>
      <c r="H339" s="317"/>
      <c r="I339" s="317"/>
      <c r="J339" s="317"/>
      <c r="K339" s="317"/>
      <c r="L339" s="317"/>
      <c r="M339" s="317"/>
      <c r="N339" s="317"/>
      <c r="O339" s="317"/>
      <c r="P339" s="317"/>
      <c r="Q339" s="317"/>
      <c r="R339" s="317"/>
      <c r="S339" s="317"/>
    </row>
    <row r="340" spans="7:19" ht="13.8">
      <c r="G340" s="317"/>
      <c r="H340" s="317"/>
      <c r="I340" s="317"/>
      <c r="J340" s="317"/>
      <c r="K340" s="317"/>
      <c r="L340" s="317"/>
      <c r="M340" s="317"/>
      <c r="N340" s="317"/>
      <c r="O340" s="317"/>
      <c r="P340" s="317"/>
      <c r="Q340" s="317"/>
      <c r="R340" s="317"/>
      <c r="S340" s="317"/>
    </row>
    <row r="341" spans="7:19" ht="13.8">
      <c r="G341" s="317"/>
      <c r="H341" s="317"/>
      <c r="I341" s="317"/>
      <c r="J341" s="317"/>
      <c r="K341" s="317"/>
      <c r="L341" s="317"/>
      <c r="M341" s="317"/>
      <c r="N341" s="317"/>
      <c r="O341" s="317"/>
      <c r="P341" s="317"/>
      <c r="Q341" s="317"/>
      <c r="R341" s="317"/>
      <c r="S341" s="317"/>
    </row>
    <row r="342" spans="7:19" ht="13.8">
      <c r="G342" s="317"/>
      <c r="H342" s="317"/>
      <c r="I342" s="317"/>
      <c r="J342" s="317"/>
      <c r="K342" s="317"/>
      <c r="L342" s="317"/>
      <c r="M342" s="317"/>
      <c r="N342" s="317"/>
      <c r="O342" s="317"/>
      <c r="P342" s="317"/>
      <c r="Q342" s="317"/>
      <c r="R342" s="317"/>
      <c r="S342" s="317"/>
    </row>
    <row r="343" spans="7:19" ht="13.8">
      <c r="G343" s="317"/>
      <c r="H343" s="317"/>
      <c r="I343" s="317"/>
      <c r="J343" s="317"/>
      <c r="K343" s="317"/>
      <c r="L343" s="317"/>
      <c r="M343" s="317"/>
      <c r="N343" s="317"/>
      <c r="O343" s="317"/>
      <c r="P343" s="317"/>
      <c r="Q343" s="317"/>
      <c r="R343" s="317"/>
      <c r="S343" s="317"/>
    </row>
    <row r="344" spans="7:19" ht="13.8">
      <c r="G344" s="317"/>
      <c r="H344" s="317"/>
      <c r="I344" s="317"/>
      <c r="J344" s="317"/>
      <c r="K344" s="317"/>
      <c r="L344" s="317"/>
      <c r="M344" s="317"/>
      <c r="N344" s="317"/>
      <c r="O344" s="317"/>
      <c r="P344" s="317"/>
      <c r="Q344" s="317"/>
      <c r="R344" s="317"/>
      <c r="S344" s="317"/>
    </row>
    <row r="345" spans="7:19" ht="13.8">
      <c r="G345" s="317"/>
      <c r="H345" s="317"/>
      <c r="I345" s="317"/>
      <c r="J345" s="317"/>
      <c r="K345" s="317"/>
      <c r="L345" s="317"/>
      <c r="M345" s="317"/>
      <c r="N345" s="317"/>
      <c r="O345" s="317"/>
      <c r="P345" s="317"/>
      <c r="Q345" s="317"/>
      <c r="R345" s="317"/>
      <c r="S345" s="317"/>
    </row>
    <row r="346" spans="7:19" ht="13.8">
      <c r="G346" s="317"/>
      <c r="H346" s="317"/>
      <c r="I346" s="317"/>
      <c r="J346" s="317"/>
      <c r="K346" s="317"/>
      <c r="L346" s="317"/>
      <c r="M346" s="317"/>
      <c r="N346" s="317"/>
      <c r="O346" s="317"/>
      <c r="P346" s="317"/>
      <c r="Q346" s="317"/>
      <c r="R346" s="317"/>
      <c r="S346" s="317"/>
    </row>
    <row r="347" spans="7:19" ht="13.8">
      <c r="G347" s="317"/>
      <c r="H347" s="317"/>
      <c r="I347" s="317"/>
      <c r="J347" s="317"/>
      <c r="K347" s="317"/>
      <c r="L347" s="317"/>
      <c r="M347" s="317"/>
      <c r="N347" s="317"/>
      <c r="O347" s="317"/>
      <c r="P347" s="317"/>
      <c r="Q347" s="317"/>
      <c r="R347" s="317"/>
      <c r="S347" s="317"/>
    </row>
    <row r="348" spans="7:19" ht="13.8">
      <c r="G348" s="317"/>
      <c r="H348" s="317"/>
      <c r="I348" s="317"/>
      <c r="J348" s="317"/>
      <c r="K348" s="317"/>
      <c r="L348" s="317"/>
      <c r="M348" s="317"/>
      <c r="N348" s="317"/>
      <c r="O348" s="317"/>
      <c r="P348" s="317"/>
      <c r="Q348" s="317"/>
      <c r="R348" s="317"/>
      <c r="S348" s="317"/>
    </row>
    <row r="349" spans="7:19" ht="13.8">
      <c r="G349" s="317"/>
      <c r="H349" s="317"/>
      <c r="I349" s="317"/>
      <c r="J349" s="317"/>
      <c r="K349" s="317"/>
      <c r="L349" s="317"/>
      <c r="M349" s="317"/>
      <c r="N349" s="317"/>
      <c r="O349" s="317"/>
      <c r="P349" s="317"/>
      <c r="Q349" s="317"/>
      <c r="R349" s="317"/>
      <c r="S349" s="317"/>
    </row>
    <row r="350" spans="7:19" ht="13.8">
      <c r="G350" s="317"/>
      <c r="H350" s="317"/>
      <c r="I350" s="317"/>
      <c r="J350" s="317"/>
      <c r="K350" s="317"/>
      <c r="L350" s="317"/>
      <c r="M350" s="317"/>
      <c r="N350" s="317"/>
      <c r="O350" s="317"/>
      <c r="P350" s="317"/>
      <c r="Q350" s="317"/>
      <c r="R350" s="317"/>
      <c r="S350" s="317"/>
    </row>
    <row r="351" spans="7:19" ht="13.8">
      <c r="G351" s="317"/>
      <c r="H351" s="317"/>
      <c r="I351" s="317"/>
      <c r="J351" s="317"/>
      <c r="K351" s="317"/>
      <c r="L351" s="317"/>
      <c r="M351" s="317"/>
      <c r="N351" s="317"/>
      <c r="O351" s="317"/>
      <c r="P351" s="317"/>
      <c r="Q351" s="317"/>
      <c r="R351" s="317"/>
      <c r="S351" s="317"/>
    </row>
    <row r="352" spans="7:19" ht="13.8">
      <c r="G352" s="317"/>
      <c r="H352" s="317"/>
      <c r="I352" s="317"/>
      <c r="J352" s="317"/>
      <c r="K352" s="317"/>
      <c r="L352" s="317"/>
      <c r="M352" s="317"/>
      <c r="N352" s="317"/>
      <c r="O352" s="317"/>
      <c r="P352" s="317"/>
      <c r="Q352" s="317"/>
      <c r="R352" s="317"/>
      <c r="S352" s="317"/>
    </row>
    <row r="353" spans="7:19" ht="13.8">
      <c r="G353" s="317"/>
      <c r="H353" s="317"/>
      <c r="I353" s="317"/>
      <c r="J353" s="317"/>
      <c r="K353" s="317"/>
      <c r="L353" s="317"/>
      <c r="M353" s="317"/>
      <c r="N353" s="317"/>
      <c r="O353" s="317"/>
      <c r="P353" s="317"/>
      <c r="Q353" s="317"/>
      <c r="R353" s="317"/>
      <c r="S353" s="317"/>
    </row>
    <row r="354" spans="7:19" ht="13.8">
      <c r="G354" s="317"/>
      <c r="H354" s="317"/>
      <c r="I354" s="317"/>
      <c r="J354" s="317"/>
      <c r="K354" s="317"/>
      <c r="L354" s="317"/>
      <c r="M354" s="317"/>
      <c r="N354" s="317"/>
      <c r="O354" s="317"/>
      <c r="P354" s="317"/>
      <c r="Q354" s="317"/>
      <c r="R354" s="317"/>
      <c r="S354" s="317"/>
    </row>
    <row r="355" spans="7:19" ht="13.8">
      <c r="G355" s="317"/>
      <c r="H355" s="317"/>
      <c r="I355" s="317"/>
      <c r="J355" s="317"/>
      <c r="K355" s="317"/>
      <c r="L355" s="317"/>
      <c r="M355" s="317"/>
      <c r="N355" s="317"/>
      <c r="O355" s="317"/>
      <c r="P355" s="317"/>
      <c r="Q355" s="317"/>
      <c r="R355" s="317"/>
      <c r="S355" s="317"/>
    </row>
    <row r="356" spans="7:19" ht="13.8">
      <c r="G356" s="317"/>
      <c r="H356" s="317"/>
      <c r="I356" s="317"/>
      <c r="J356" s="317"/>
      <c r="K356" s="317"/>
      <c r="L356" s="317"/>
      <c r="M356" s="317"/>
      <c r="N356" s="317"/>
      <c r="O356" s="317"/>
      <c r="P356" s="317"/>
      <c r="Q356" s="317"/>
      <c r="R356" s="317"/>
      <c r="S356" s="317"/>
    </row>
    <row r="357" spans="7:19" ht="13.8">
      <c r="G357" s="317"/>
      <c r="H357" s="317"/>
      <c r="I357" s="317"/>
      <c r="J357" s="317"/>
      <c r="K357" s="317"/>
      <c r="L357" s="317"/>
      <c r="M357" s="317"/>
      <c r="N357" s="317"/>
      <c r="O357" s="317"/>
      <c r="P357" s="317"/>
      <c r="Q357" s="317"/>
      <c r="R357" s="317"/>
      <c r="S357" s="317"/>
    </row>
    <row r="358" spans="7:19" ht="13.8">
      <c r="G358" s="317"/>
      <c r="H358" s="317"/>
      <c r="I358" s="317"/>
      <c r="J358" s="317"/>
      <c r="K358" s="317"/>
      <c r="L358" s="317"/>
      <c r="M358" s="317"/>
      <c r="N358" s="317"/>
      <c r="O358" s="317"/>
      <c r="P358" s="317"/>
      <c r="Q358" s="317"/>
      <c r="R358" s="317"/>
      <c r="S358" s="317"/>
    </row>
    <row r="359" spans="7:19" ht="13.8">
      <c r="G359" s="317"/>
      <c r="H359" s="317"/>
      <c r="I359" s="317"/>
      <c r="J359" s="317"/>
      <c r="K359" s="317"/>
      <c r="L359" s="317"/>
      <c r="M359" s="317"/>
      <c r="N359" s="317"/>
      <c r="O359" s="317"/>
      <c r="P359" s="317"/>
      <c r="Q359" s="317"/>
      <c r="R359" s="317"/>
      <c r="S359" s="317"/>
    </row>
    <row r="360" spans="7:19" ht="13.8">
      <c r="G360" s="317"/>
      <c r="H360" s="317"/>
      <c r="I360" s="317"/>
      <c r="J360" s="317"/>
      <c r="K360" s="317"/>
      <c r="L360" s="317"/>
      <c r="M360" s="317"/>
      <c r="N360" s="317"/>
      <c r="O360" s="317"/>
      <c r="P360" s="317"/>
      <c r="Q360" s="317"/>
      <c r="R360" s="317"/>
      <c r="S360" s="317"/>
    </row>
    <row r="361" spans="7:19" ht="13.8">
      <c r="G361" s="317"/>
      <c r="H361" s="317"/>
      <c r="I361" s="317"/>
      <c r="J361" s="317"/>
      <c r="K361" s="317"/>
      <c r="L361" s="317"/>
      <c r="M361" s="317"/>
      <c r="N361" s="317"/>
      <c r="O361" s="317"/>
      <c r="P361" s="317"/>
      <c r="Q361" s="317"/>
      <c r="R361" s="317"/>
      <c r="S361" s="317"/>
    </row>
    <row r="362" spans="7:19" ht="13.8">
      <c r="G362" s="317"/>
      <c r="H362" s="317"/>
      <c r="I362" s="317"/>
      <c r="J362" s="317"/>
      <c r="K362" s="317"/>
      <c r="L362" s="317"/>
      <c r="M362" s="317"/>
      <c r="N362" s="317"/>
      <c r="O362" s="317"/>
      <c r="P362" s="317"/>
      <c r="Q362" s="317"/>
      <c r="R362" s="317"/>
      <c r="S362" s="317"/>
    </row>
    <row r="363" spans="7:19" ht="13.8">
      <c r="G363" s="317"/>
      <c r="H363" s="317"/>
      <c r="I363" s="317"/>
      <c r="J363" s="317"/>
      <c r="K363" s="317"/>
      <c r="L363" s="317"/>
      <c r="M363" s="317"/>
      <c r="N363" s="317"/>
      <c r="O363" s="317"/>
      <c r="P363" s="317"/>
      <c r="Q363" s="317"/>
      <c r="R363" s="317"/>
      <c r="S363" s="317"/>
    </row>
    <row r="364" spans="7:19" ht="13.8">
      <c r="G364" s="317"/>
      <c r="H364" s="317"/>
      <c r="I364" s="317"/>
      <c r="J364" s="317"/>
      <c r="K364" s="317"/>
      <c r="L364" s="317"/>
      <c r="M364" s="317"/>
      <c r="N364" s="317"/>
      <c r="O364" s="317"/>
      <c r="P364" s="317"/>
      <c r="Q364" s="317"/>
      <c r="R364" s="317"/>
      <c r="S364" s="317"/>
    </row>
    <row r="365" spans="7:19" ht="13.8">
      <c r="G365" s="317"/>
      <c r="H365" s="317"/>
      <c r="I365" s="317"/>
      <c r="J365" s="317"/>
      <c r="K365" s="317"/>
      <c r="L365" s="317"/>
      <c r="M365" s="317"/>
      <c r="N365" s="317"/>
      <c r="O365" s="317"/>
      <c r="P365" s="317"/>
      <c r="Q365" s="317"/>
      <c r="R365" s="317"/>
      <c r="S365" s="317"/>
    </row>
    <row r="366" spans="7:19" ht="13.8">
      <c r="G366" s="317"/>
      <c r="H366" s="317"/>
      <c r="I366" s="317"/>
      <c r="J366" s="317"/>
      <c r="K366" s="317"/>
      <c r="L366" s="317"/>
      <c r="M366" s="317"/>
      <c r="N366" s="317"/>
      <c r="O366" s="317"/>
      <c r="P366" s="317"/>
      <c r="Q366" s="317"/>
      <c r="R366" s="317"/>
      <c r="S366" s="317"/>
    </row>
    <row r="367" spans="7:19" ht="13.8">
      <c r="G367" s="317"/>
      <c r="H367" s="317"/>
      <c r="I367" s="317"/>
      <c r="J367" s="317"/>
      <c r="K367" s="317"/>
      <c r="L367" s="317"/>
      <c r="M367" s="317"/>
      <c r="N367" s="317"/>
      <c r="O367" s="317"/>
      <c r="P367" s="317"/>
      <c r="Q367" s="317"/>
      <c r="R367" s="317"/>
      <c r="S367" s="317"/>
    </row>
    <row r="368" spans="7:19" ht="13.8">
      <c r="G368" s="317"/>
      <c r="H368" s="317"/>
      <c r="I368" s="317"/>
      <c r="J368" s="317"/>
      <c r="K368" s="317"/>
      <c r="L368" s="317"/>
      <c r="M368" s="317"/>
      <c r="N368" s="317"/>
      <c r="O368" s="317"/>
      <c r="P368" s="317"/>
      <c r="Q368" s="317"/>
      <c r="R368" s="317"/>
      <c r="S368" s="317"/>
    </row>
    <row r="369" spans="7:19" ht="13.8">
      <c r="G369" s="317"/>
      <c r="H369" s="317"/>
      <c r="I369" s="317"/>
      <c r="J369" s="317"/>
      <c r="K369" s="317"/>
      <c r="L369" s="317"/>
      <c r="M369" s="317"/>
      <c r="N369" s="317"/>
      <c r="O369" s="317"/>
      <c r="P369" s="317"/>
      <c r="Q369" s="317"/>
      <c r="R369" s="317"/>
      <c r="S369" s="317"/>
    </row>
    <row r="370" spans="7:19" ht="13.8">
      <c r="G370" s="317"/>
      <c r="H370" s="317"/>
      <c r="I370" s="317"/>
      <c r="J370" s="317"/>
      <c r="K370" s="317"/>
      <c r="L370" s="317"/>
      <c r="M370" s="317"/>
      <c r="N370" s="317"/>
      <c r="O370" s="317"/>
      <c r="P370" s="317"/>
      <c r="Q370" s="317"/>
      <c r="R370" s="317"/>
      <c r="S370" s="317"/>
    </row>
    <row r="371" spans="7:19" ht="13.8">
      <c r="G371" s="317"/>
      <c r="H371" s="317"/>
      <c r="I371" s="317"/>
      <c r="J371" s="317"/>
      <c r="K371" s="317"/>
      <c r="L371" s="317"/>
      <c r="M371" s="317"/>
      <c r="N371" s="317"/>
      <c r="O371" s="317"/>
      <c r="P371" s="317"/>
      <c r="Q371" s="317"/>
      <c r="R371" s="317"/>
      <c r="S371" s="317"/>
    </row>
    <row r="372" spans="7:19" ht="13.8">
      <c r="G372" s="317"/>
      <c r="H372" s="317"/>
      <c r="I372" s="317"/>
      <c r="J372" s="317"/>
      <c r="K372" s="317"/>
      <c r="L372" s="317"/>
      <c r="M372" s="317"/>
      <c r="N372" s="317"/>
      <c r="O372" s="317"/>
      <c r="P372" s="317"/>
      <c r="Q372" s="317"/>
      <c r="R372" s="317"/>
      <c r="S372" s="317"/>
    </row>
    <row r="373" spans="7:19" ht="13.8">
      <c r="G373" s="317"/>
      <c r="H373" s="317"/>
      <c r="I373" s="317"/>
      <c r="J373" s="317"/>
      <c r="K373" s="317"/>
      <c r="L373" s="317"/>
      <c r="M373" s="317"/>
      <c r="N373" s="317"/>
      <c r="O373" s="317"/>
      <c r="P373" s="317"/>
      <c r="Q373" s="317"/>
      <c r="R373" s="317"/>
      <c r="S373" s="317"/>
    </row>
    <row r="374" spans="7:19" ht="13.8">
      <c r="G374" s="317"/>
      <c r="H374" s="317"/>
      <c r="I374" s="317"/>
      <c r="J374" s="317"/>
      <c r="K374" s="317"/>
      <c r="L374" s="317"/>
      <c r="M374" s="317"/>
      <c r="N374" s="317"/>
      <c r="O374" s="317"/>
      <c r="P374" s="317"/>
      <c r="Q374" s="317"/>
      <c r="R374" s="317"/>
      <c r="S374" s="317"/>
    </row>
    <row r="375" spans="7:19" ht="13.8">
      <c r="G375" s="317"/>
      <c r="H375" s="317"/>
      <c r="I375" s="317"/>
      <c r="J375" s="317"/>
      <c r="K375" s="317"/>
      <c r="L375" s="317"/>
      <c r="M375" s="317"/>
      <c r="N375" s="317"/>
      <c r="O375" s="317"/>
      <c r="P375" s="317"/>
      <c r="Q375" s="317"/>
      <c r="R375" s="317"/>
      <c r="S375" s="317"/>
    </row>
    <row r="376" spans="7:19" ht="13.8">
      <c r="G376" s="317"/>
      <c r="H376" s="317"/>
      <c r="I376" s="317"/>
      <c r="J376" s="317"/>
      <c r="K376" s="317"/>
      <c r="L376" s="317"/>
      <c r="M376" s="317"/>
      <c r="N376" s="317"/>
      <c r="O376" s="317"/>
      <c r="P376" s="317"/>
      <c r="Q376" s="317"/>
      <c r="R376" s="317"/>
      <c r="S376" s="317"/>
    </row>
    <row r="377" spans="7:19" ht="13.8">
      <c r="G377" s="317"/>
      <c r="H377" s="317"/>
      <c r="I377" s="317"/>
      <c r="J377" s="317"/>
      <c r="K377" s="317"/>
      <c r="L377" s="317"/>
      <c r="M377" s="317"/>
      <c r="N377" s="317"/>
      <c r="O377" s="317"/>
      <c r="P377" s="317"/>
      <c r="Q377" s="317"/>
      <c r="R377" s="317"/>
      <c r="S377" s="317"/>
    </row>
    <row r="378" spans="7:19" ht="13.8">
      <c r="G378" s="317"/>
      <c r="H378" s="317"/>
      <c r="I378" s="317"/>
      <c r="J378" s="317"/>
      <c r="K378" s="317"/>
      <c r="L378" s="317"/>
      <c r="M378" s="317"/>
      <c r="N378" s="317"/>
      <c r="O378" s="317"/>
      <c r="P378" s="317"/>
      <c r="Q378" s="317"/>
      <c r="R378" s="317"/>
      <c r="S378" s="317"/>
    </row>
  </sheetData>
  <customSheetViews>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3"/>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6"/>
      <headerFooter alignWithMargins="0">
        <oddHeader>&amp;R&amp;14Page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63">
    <mergeCell ref="J315:K315"/>
    <mergeCell ref="L315:N315"/>
    <mergeCell ref="K176:S176"/>
    <mergeCell ref="K178:S178"/>
    <mergeCell ref="H198:S198"/>
    <mergeCell ref="G315:H315"/>
    <mergeCell ref="H202:S202"/>
    <mergeCell ref="H205:S205"/>
    <mergeCell ref="H204:S204"/>
    <mergeCell ref="K217:S217"/>
    <mergeCell ref="G249:H249"/>
    <mergeCell ref="J249:K249"/>
    <mergeCell ref="L249:N249"/>
    <mergeCell ref="K136:S136"/>
    <mergeCell ref="K151:S151"/>
    <mergeCell ref="K156:R156"/>
    <mergeCell ref="K135:S135"/>
    <mergeCell ref="K152:S152"/>
    <mergeCell ref="A5:F5"/>
    <mergeCell ref="A70:F70"/>
    <mergeCell ref="H200:S200"/>
    <mergeCell ref="K139:S139"/>
    <mergeCell ref="H203:S203"/>
    <mergeCell ref="A176:F176"/>
    <mergeCell ref="A166:F166"/>
    <mergeCell ref="N183:S183"/>
    <mergeCell ref="H192:S192"/>
    <mergeCell ref="A181:F181"/>
    <mergeCell ref="A187:F187"/>
    <mergeCell ref="K157:S157"/>
    <mergeCell ref="N184:S184"/>
    <mergeCell ref="K173:S173"/>
    <mergeCell ref="H197:S197"/>
    <mergeCell ref="K168:S168"/>
    <mergeCell ref="K166:S166"/>
    <mergeCell ref="K171:S171"/>
    <mergeCell ref="K187:S187"/>
    <mergeCell ref="H194:S194"/>
    <mergeCell ref="N181:S181"/>
    <mergeCell ref="K189:S189"/>
    <mergeCell ref="A171:F171"/>
    <mergeCell ref="A135:F135"/>
    <mergeCell ref="K155:S155"/>
    <mergeCell ref="K162:S162"/>
    <mergeCell ref="K167:S167"/>
    <mergeCell ref="K137:S137"/>
    <mergeCell ref="K138:S138"/>
    <mergeCell ref="K140:S140"/>
    <mergeCell ref="A160:F160"/>
    <mergeCell ref="K153:S153"/>
    <mergeCell ref="A151:F151"/>
    <mergeCell ref="K144:S144"/>
    <mergeCell ref="K147:S147"/>
    <mergeCell ref="K154:S154"/>
    <mergeCell ref="K145:S145"/>
    <mergeCell ref="A144:F144"/>
    <mergeCell ref="A217:F217"/>
    <mergeCell ref="K219:Q219"/>
    <mergeCell ref="H246:S246"/>
    <mergeCell ref="H201:S201"/>
    <mergeCell ref="A192:F192"/>
    <mergeCell ref="N209:S209"/>
    <mergeCell ref="A209:F209"/>
  </mergeCells>
  <phoneticPr fontId="0" type="noConversion"/>
  <printOptions horizontalCentered="1"/>
  <pageMargins left="0" right="0" top="0.9" bottom="0.48" header="0.5" footer="0.5"/>
  <pageSetup scale="25" fitToHeight="0" orientation="landscape" r:id="rId9"/>
  <headerFooter alignWithMargins="0">
    <oddHeader>&amp;R&amp;14EXHIBIT NO. TRC-203
ATTACHMENT H-18A
Page &amp;P of &amp;N</oddHeader>
    <oddFooter xml:space="preserve">&amp;C
</oddFooter>
  </headerFooter>
  <rowBreaks count="3" manualBreakCount="3">
    <brk id="67" max="47" man="1"/>
    <brk id="179" max="18" man="1"/>
    <brk id="247" max="47" man="1"/>
  </rowBreaks>
  <colBreaks count="7" manualBreakCount="7">
    <brk id="20" max="20" man="1"/>
    <brk id="20" min="67" max="85" man="1"/>
    <brk id="21" min="247" max="274" man="1"/>
    <brk id="35" min="247" max="274" man="1"/>
    <brk id="38" max="20" man="1"/>
    <brk id="38" min="67" max="85" man="1"/>
    <brk id="52" min="247" max="27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74"/>
  <sheetViews>
    <sheetView view="pageBreakPreview" topLeftCell="A19" zoomScale="75" zoomScaleNormal="115" zoomScaleSheetLayoutView="75" workbookViewId="0">
      <selection activeCell="P42" sqref="P42"/>
    </sheetView>
  </sheetViews>
  <sheetFormatPr defaultRowHeight="13.2"/>
  <cols>
    <col min="4" max="4" width="11.33203125" customWidth="1"/>
    <col min="7" max="7" width="9.33203125" customWidth="1"/>
    <col min="8" max="8" width="16.109375" customWidth="1"/>
    <col min="9" max="9" width="12.88671875" bestFit="1" customWidth="1"/>
    <col min="10" max="10" width="17.109375" customWidth="1"/>
    <col min="12" max="12" width="17.109375" customWidth="1"/>
    <col min="13" max="13" width="13.109375" customWidth="1"/>
    <col min="14" max="14" width="11.5546875" customWidth="1"/>
    <col min="15" max="15" width="15" customWidth="1"/>
    <col min="16" max="16" width="11.33203125" bestFit="1" customWidth="1"/>
    <col min="17" max="17" width="14" bestFit="1" customWidth="1"/>
  </cols>
  <sheetData>
    <row r="1" spans="1:19" ht="21" customHeight="1">
      <c r="B1" s="268"/>
      <c r="C1" s="263"/>
      <c r="E1" s="192"/>
      <c r="G1" s="193"/>
      <c r="H1" s="194"/>
      <c r="I1" s="380" t="s">
        <v>445</v>
      </c>
      <c r="J1" s="221"/>
      <c r="K1" s="221"/>
      <c r="L1" s="221"/>
      <c r="M1" s="221"/>
      <c r="N1" s="221"/>
      <c r="O1" s="221"/>
      <c r="P1" s="221"/>
      <c r="Q1" s="221"/>
      <c r="R1" s="221"/>
      <c r="S1" s="221"/>
    </row>
    <row r="2" spans="1:19" ht="21" customHeight="1">
      <c r="B2" s="340"/>
      <c r="C2" s="263"/>
      <c r="E2" s="192"/>
      <c r="G2" s="193"/>
      <c r="H2" s="194"/>
      <c r="J2" s="221"/>
      <c r="K2" s="221"/>
      <c r="L2" s="221"/>
      <c r="M2" s="221"/>
      <c r="N2" s="221"/>
      <c r="O2" s="221"/>
      <c r="P2" s="221"/>
      <c r="Q2" s="221"/>
      <c r="R2" s="221"/>
      <c r="S2" s="381"/>
    </row>
    <row r="3" spans="1:19" ht="21" customHeight="1">
      <c r="B3" s="340"/>
      <c r="C3" s="263"/>
      <c r="E3" s="192"/>
      <c r="G3" s="193"/>
      <c r="H3" s="194"/>
      <c r="I3" s="448" t="s">
        <v>487</v>
      </c>
      <c r="J3" s="221"/>
      <c r="K3" s="221"/>
      <c r="L3" s="221"/>
      <c r="M3" s="221"/>
      <c r="N3" s="221"/>
      <c r="O3" s="221"/>
      <c r="P3" s="221"/>
      <c r="Q3" s="221"/>
      <c r="R3" s="221"/>
      <c r="S3" s="381"/>
    </row>
    <row r="6" spans="1:19" ht="18" customHeight="1">
      <c r="A6" t="s">
        <v>740</v>
      </c>
      <c r="B6" s="2071" t="s">
        <v>454</v>
      </c>
      <c r="C6" s="2071"/>
      <c r="D6" s="2071"/>
      <c r="E6" s="2071"/>
      <c r="F6" s="2071"/>
      <c r="G6" s="2071"/>
      <c r="H6" s="2071"/>
      <c r="I6" s="2071"/>
      <c r="J6" s="2071"/>
      <c r="K6" s="2071"/>
      <c r="L6" s="2071"/>
      <c r="M6" s="2071"/>
      <c r="N6" s="2071"/>
      <c r="O6" s="2071"/>
      <c r="P6" s="2071"/>
      <c r="Q6" s="2071"/>
    </row>
    <row r="7" spans="1:19">
      <c r="B7" s="2"/>
      <c r="C7" s="2"/>
      <c r="D7" s="2"/>
      <c r="E7" s="2"/>
      <c r="F7" s="2"/>
      <c r="G7" s="2"/>
      <c r="H7" s="2"/>
      <c r="I7" s="2"/>
      <c r="J7" s="2"/>
      <c r="K7" s="2"/>
      <c r="L7" s="2"/>
      <c r="M7" s="2"/>
      <c r="N7" s="2"/>
      <c r="O7" s="2"/>
      <c r="P7" s="2"/>
      <c r="Q7" s="2"/>
    </row>
    <row r="8" spans="1:19">
      <c r="B8" s="2071" t="s">
        <v>455</v>
      </c>
      <c r="C8" s="2071"/>
      <c r="D8" s="2071"/>
      <c r="E8" s="2071"/>
      <c r="F8" s="2071"/>
      <c r="G8" s="2071"/>
      <c r="H8" s="2071"/>
      <c r="I8" s="2071"/>
      <c r="J8" s="2071"/>
      <c r="K8" s="2071"/>
      <c r="L8" s="2071"/>
      <c r="M8" s="2071"/>
      <c r="N8" s="2071"/>
      <c r="O8" s="2071"/>
      <c r="P8" s="2071"/>
      <c r="Q8" s="2071"/>
    </row>
    <row r="9" spans="1:19">
      <c r="B9" s="216"/>
      <c r="C9" s="216"/>
      <c r="D9" s="216"/>
      <c r="E9" s="216"/>
      <c r="F9" s="216"/>
      <c r="G9" s="216"/>
      <c r="H9" s="216"/>
      <c r="I9" s="216"/>
      <c r="J9" s="216"/>
      <c r="K9" s="216"/>
      <c r="L9" s="216"/>
      <c r="M9" s="216"/>
      <c r="N9" s="216"/>
    </row>
    <row r="10" spans="1:19" ht="42" customHeight="1">
      <c r="A10" t="s">
        <v>741</v>
      </c>
      <c r="B10" s="2072" t="s">
        <v>667</v>
      </c>
      <c r="C10" s="2072"/>
      <c r="D10" s="2072"/>
      <c r="E10" s="2072"/>
      <c r="F10" s="2072"/>
      <c r="G10" s="2072"/>
      <c r="H10" s="2072"/>
      <c r="I10" s="2072"/>
      <c r="J10" s="2072"/>
      <c r="K10" s="2072"/>
      <c r="L10" s="2072"/>
      <c r="M10" s="2072"/>
      <c r="N10" s="2072"/>
      <c r="O10" s="2072"/>
      <c r="P10" s="2072"/>
      <c r="Q10" s="2072"/>
    </row>
    <row r="11" spans="1:19" ht="12.75" customHeight="1">
      <c r="B11" s="217"/>
      <c r="C11" s="216"/>
      <c r="D11" s="216"/>
      <c r="E11" s="216"/>
      <c r="F11" s="216"/>
      <c r="G11" s="216"/>
      <c r="H11" s="216"/>
      <c r="I11" s="216"/>
      <c r="J11" s="216"/>
      <c r="K11" s="216"/>
      <c r="L11" s="216"/>
      <c r="M11" s="216"/>
      <c r="N11" s="216"/>
    </row>
    <row r="12" spans="1:19" s="217" customFormat="1" ht="39" customHeight="1">
      <c r="A12" s="405" t="s">
        <v>460</v>
      </c>
      <c r="B12" s="2071" t="s">
        <v>144</v>
      </c>
      <c r="C12" s="2071"/>
      <c r="D12" s="2071"/>
      <c r="E12" s="2071"/>
      <c r="F12" s="2071"/>
      <c r="G12" s="2071"/>
      <c r="H12" s="2071"/>
      <c r="I12" s="2071"/>
      <c r="J12" s="2071"/>
      <c r="K12" s="2071"/>
      <c r="L12" s="2071"/>
      <c r="M12" s="2071"/>
      <c r="N12" s="2071"/>
      <c r="O12" s="2071"/>
      <c r="P12" s="2071"/>
      <c r="Q12" s="2071"/>
    </row>
    <row r="13" spans="1:19" s="217" customFormat="1" ht="31.5" customHeight="1">
      <c r="B13" s="216"/>
      <c r="C13" s="216"/>
      <c r="D13" s="216"/>
      <c r="E13" s="216"/>
      <c r="F13" s="216"/>
      <c r="G13" s="216"/>
      <c r="H13" s="216"/>
      <c r="I13" s="216"/>
      <c r="J13" s="216"/>
      <c r="K13" s="216"/>
      <c r="L13" s="216"/>
      <c r="M13" s="216"/>
      <c r="N13" s="216"/>
      <c r="O13" s="216"/>
      <c r="P13" s="216"/>
    </row>
    <row r="14" spans="1:19" s="217" customFormat="1" ht="31.5" customHeight="1">
      <c r="B14" s="216"/>
      <c r="C14" s="216"/>
      <c r="D14" s="216"/>
      <c r="E14" s="216"/>
      <c r="F14" s="216"/>
      <c r="G14" s="216"/>
      <c r="H14" s="216"/>
      <c r="I14" s="216"/>
      <c r="J14" s="216"/>
      <c r="K14" s="216"/>
      <c r="L14" s="216"/>
      <c r="M14" s="216"/>
      <c r="N14" s="216"/>
      <c r="O14" s="216"/>
      <c r="P14" s="216"/>
    </row>
    <row r="15" spans="1:19" s="217" customFormat="1">
      <c r="B15" s="216"/>
      <c r="C15" s="216"/>
      <c r="D15" s="638" t="s">
        <v>446</v>
      </c>
      <c r="E15" s="638"/>
      <c r="F15" s="638"/>
      <c r="G15" s="638"/>
      <c r="H15" s="638" t="s">
        <v>447</v>
      </c>
      <c r="I15" s="638" t="s">
        <v>448</v>
      </c>
      <c r="J15" s="638" t="s">
        <v>449</v>
      </c>
      <c r="K15" s="638"/>
      <c r="L15" s="638"/>
      <c r="M15" s="638" t="s">
        <v>450</v>
      </c>
      <c r="N15" s="638" t="s">
        <v>451</v>
      </c>
      <c r="O15" s="638" t="s">
        <v>793</v>
      </c>
      <c r="P15" s="216"/>
    </row>
    <row r="16" spans="1:19" s="217" customFormat="1">
      <c r="B16" s="216"/>
      <c r="C16" s="216"/>
      <c r="E16" s="216"/>
      <c r="F16" s="216"/>
      <c r="G16" s="216"/>
      <c r="I16" s="212" t="s">
        <v>670</v>
      </c>
      <c r="J16" s="212"/>
      <c r="K16" s="212"/>
      <c r="L16" s="638"/>
      <c r="M16" s="638" t="s">
        <v>750</v>
      </c>
      <c r="N16" s="638"/>
      <c r="O16" s="638"/>
      <c r="P16" s="638"/>
    </row>
    <row r="17" spans="1:17" s="217" customFormat="1" ht="13.8" thickBot="1">
      <c r="B17" s="216"/>
      <c r="C17" s="216"/>
      <c r="E17" s="216"/>
      <c r="F17" s="216"/>
      <c r="G17" s="216"/>
      <c r="I17" s="212"/>
      <c r="J17" s="212"/>
      <c r="K17" s="212"/>
      <c r="L17" s="638"/>
      <c r="M17" s="638"/>
      <c r="N17" s="638"/>
      <c r="O17" s="638"/>
      <c r="P17" s="638"/>
    </row>
    <row r="18" spans="1:17" s="217" customFormat="1" ht="39.6">
      <c r="A18" s="806" t="s">
        <v>740</v>
      </c>
      <c r="B18" s="807" t="s">
        <v>668</v>
      </c>
      <c r="C18" s="808"/>
      <c r="D18" s="808"/>
      <c r="E18" s="808"/>
      <c r="F18" s="808"/>
      <c r="G18" s="808"/>
      <c r="H18" s="809" t="s">
        <v>456</v>
      </c>
      <c r="I18" s="617" t="s">
        <v>474</v>
      </c>
      <c r="J18" s="810" t="s">
        <v>828</v>
      </c>
      <c r="K18" s="853"/>
      <c r="L18" s="812" t="s">
        <v>457</v>
      </c>
      <c r="M18" s="813" t="s">
        <v>458</v>
      </c>
      <c r="N18" s="626"/>
      <c r="O18" s="650"/>
      <c r="P18" s="212"/>
      <c r="Q18" s="642"/>
    </row>
    <row r="19" spans="1:17" s="217" customFormat="1">
      <c r="A19" s="814"/>
      <c r="B19" s="746"/>
      <c r="C19" s="746" t="s">
        <v>943</v>
      </c>
      <c r="D19" s="746"/>
      <c r="E19" s="746"/>
      <c r="F19" s="746"/>
      <c r="G19" s="746"/>
      <c r="H19" s="981">
        <f>H$23*J63</f>
        <v>0</v>
      </c>
      <c r="I19" s="640"/>
      <c r="J19" s="815">
        <f>J$23*J63</f>
        <v>0</v>
      </c>
      <c r="K19" s="757"/>
      <c r="L19" s="814"/>
      <c r="M19" s="982">
        <v>0</v>
      </c>
      <c r="N19" s="355"/>
      <c r="O19" s="723"/>
      <c r="Q19" s="642"/>
    </row>
    <row r="20" spans="1:17" s="217" customFormat="1">
      <c r="A20" s="814"/>
      <c r="B20" s="746"/>
      <c r="C20" s="746" t="s">
        <v>459</v>
      </c>
      <c r="D20" s="746"/>
      <c r="E20" s="746"/>
      <c r="F20" s="746"/>
      <c r="G20" s="746"/>
      <c r="H20" s="981">
        <f>H$23*J64</f>
        <v>0</v>
      </c>
      <c r="I20" s="640"/>
      <c r="J20" s="815">
        <f>J$23*J64</f>
        <v>0</v>
      </c>
      <c r="K20" s="757"/>
      <c r="L20" s="814"/>
      <c r="M20" s="982">
        <v>0</v>
      </c>
      <c r="N20" s="240"/>
      <c r="O20" s="796"/>
      <c r="Q20" s="642"/>
    </row>
    <row r="21" spans="1:17" s="217" customFormat="1">
      <c r="A21" s="814"/>
      <c r="B21" s="746"/>
      <c r="C21" s="746" t="s">
        <v>32</v>
      </c>
      <c r="D21" s="746"/>
      <c r="E21" s="746"/>
      <c r="F21" s="746"/>
      <c r="G21" s="746"/>
      <c r="H21" s="983">
        <f>H$23*J65</f>
        <v>0</v>
      </c>
      <c r="I21" s="817"/>
      <c r="J21" s="818">
        <f>J$23*J65</f>
        <v>0</v>
      </c>
      <c r="K21" s="757"/>
      <c r="L21" s="814"/>
      <c r="M21" s="984">
        <v>0</v>
      </c>
      <c r="N21" s="240"/>
      <c r="O21" s="796"/>
      <c r="Q21" s="642"/>
    </row>
    <row r="22" spans="1:17" s="217" customFormat="1">
      <c r="A22" s="814"/>
      <c r="B22" s="746"/>
      <c r="C22" s="736"/>
      <c r="D22" s="736"/>
      <c r="E22" s="736"/>
      <c r="F22" s="736"/>
      <c r="G22" s="736"/>
      <c r="H22" s="470"/>
      <c r="I22" s="355"/>
      <c r="J22" s="819"/>
      <c r="K22" s="757"/>
      <c r="L22" s="814"/>
      <c r="M22" s="412"/>
      <c r="N22" s="240"/>
      <c r="O22" s="796"/>
    </row>
    <row r="23" spans="1:17" s="217" customFormat="1">
      <c r="A23" s="814"/>
      <c r="B23" s="746"/>
      <c r="C23" s="746" t="s">
        <v>603</v>
      </c>
      <c r="D23" s="746"/>
      <c r="E23" s="746"/>
      <c r="F23" s="746"/>
      <c r="G23" s="746"/>
      <c r="H23" s="611">
        <f>'5 - Cost Support'!G220</f>
        <v>0</v>
      </c>
      <c r="I23" s="470">
        <f>+'5 - Cost Support'!G162</f>
        <v>0</v>
      </c>
      <c r="J23" s="646">
        <f>'5 - Cost Support'!G219</f>
        <v>0</v>
      </c>
      <c r="K23" s="611"/>
      <c r="L23" s="814"/>
      <c r="M23" s="611">
        <f>SUM(M19:M21)</f>
        <v>0</v>
      </c>
      <c r="N23" s="240"/>
      <c r="O23" s="796"/>
      <c r="P23" s="820"/>
    </row>
    <row r="24" spans="1:17" s="217" customFormat="1" ht="13.8" thickBot="1">
      <c r="A24" s="821"/>
      <c r="B24" s="822"/>
      <c r="C24" s="822"/>
      <c r="D24" s="822"/>
      <c r="E24" s="822"/>
      <c r="F24" s="822"/>
      <c r="G24" s="822"/>
      <c r="H24" s="822"/>
      <c r="I24" s="822"/>
      <c r="J24" s="823"/>
      <c r="K24" s="824"/>
      <c r="L24" s="814"/>
      <c r="M24" s="746"/>
      <c r="N24" s="240"/>
      <c r="O24" s="796"/>
    </row>
    <row r="25" spans="1:17" s="217" customFormat="1">
      <c r="L25" s="814"/>
      <c r="M25" s="746"/>
      <c r="N25" s="746"/>
      <c r="O25" s="825"/>
    </row>
    <row r="26" spans="1:17" s="217" customFormat="1" ht="13.8" thickBot="1">
      <c r="L26" s="814"/>
      <c r="M26" s="746"/>
      <c r="N26" s="746"/>
      <c r="O26" s="825"/>
    </row>
    <row r="27" spans="1:17" s="217" customFormat="1" ht="39.6">
      <c r="A27" s="806" t="s">
        <v>460</v>
      </c>
      <c r="B27" s="807" t="s">
        <v>669</v>
      </c>
      <c r="C27" s="808"/>
      <c r="D27" s="808"/>
      <c r="E27" s="808"/>
      <c r="F27" s="808"/>
      <c r="G27" s="808"/>
      <c r="H27" s="2065" t="s">
        <v>670</v>
      </c>
      <c r="I27" s="2065"/>
      <c r="J27" s="2070"/>
      <c r="K27" s="212"/>
      <c r="L27" s="826" t="s">
        <v>465</v>
      </c>
      <c r="M27" s="811" t="s">
        <v>750</v>
      </c>
      <c r="N27" s="811" t="s">
        <v>466</v>
      </c>
      <c r="O27" s="827" t="s">
        <v>467</v>
      </c>
    </row>
    <row r="28" spans="1:17" s="217" customFormat="1" ht="26.4">
      <c r="A28" s="814"/>
      <c r="B28" s="746"/>
      <c r="C28" s="746" t="str">
        <f>+C19</f>
        <v>Prexy - 502 Junction 138 kV (CWIP)</v>
      </c>
      <c r="D28" s="746"/>
      <c r="E28" s="746"/>
      <c r="F28" s="746"/>
      <c r="G28" s="746"/>
      <c r="H28" s="828" t="s">
        <v>468</v>
      </c>
      <c r="I28" s="462" t="s">
        <v>474</v>
      </c>
      <c r="J28" s="829" t="s">
        <v>828</v>
      </c>
      <c r="K28" s="648"/>
      <c r="L28" s="645"/>
      <c r="M28" s="462"/>
      <c r="N28" s="462"/>
      <c r="O28" s="1374"/>
    </row>
    <row r="29" spans="1:17" s="217" customFormat="1">
      <c r="A29" s="814"/>
      <c r="B29" s="746"/>
      <c r="C29" s="746">
        <v>1</v>
      </c>
      <c r="D29" s="746"/>
      <c r="E29" s="746"/>
      <c r="F29" s="746"/>
      <c r="G29" s="746"/>
      <c r="H29" s="747">
        <f>'5 - Cost Support'!G220*J63</f>
        <v>0</v>
      </c>
      <c r="I29" s="816">
        <f>I23*J63</f>
        <v>0</v>
      </c>
      <c r="J29" s="830">
        <f>J19</f>
        <v>0</v>
      </c>
      <c r="K29" s="443"/>
      <c r="L29" s="814"/>
      <c r="M29" s="816">
        <f>'6- Est &amp; Reconcile WS'!X238</f>
        <v>0</v>
      </c>
      <c r="N29" s="816">
        <v>0</v>
      </c>
      <c r="O29" s="1375"/>
      <c r="P29" s="1158"/>
    </row>
    <row r="30" spans="1:17" s="217" customFormat="1">
      <c r="A30" s="814"/>
      <c r="B30" s="746"/>
      <c r="C30" s="746">
        <v>2</v>
      </c>
      <c r="D30" s="746"/>
      <c r="E30" s="746"/>
      <c r="F30" s="746"/>
      <c r="G30" s="746"/>
      <c r="H30" s="747">
        <v>0</v>
      </c>
      <c r="I30" s="747">
        <v>0</v>
      </c>
      <c r="J30" s="830">
        <v>0</v>
      </c>
      <c r="K30" s="458"/>
      <c r="L30" s="814"/>
      <c r="M30" s="747">
        <v>0</v>
      </c>
      <c r="N30" s="747">
        <v>0</v>
      </c>
      <c r="O30" s="1376"/>
    </row>
    <row r="31" spans="1:17" s="217" customFormat="1">
      <c r="A31" s="814"/>
      <c r="B31" s="746"/>
      <c r="C31" s="746">
        <v>3</v>
      </c>
      <c r="D31" s="746"/>
      <c r="E31" s="746"/>
      <c r="F31" s="746"/>
      <c r="G31" s="824"/>
      <c r="H31" s="747">
        <v>0</v>
      </c>
      <c r="I31" s="747">
        <v>0</v>
      </c>
      <c r="J31" s="830">
        <v>0</v>
      </c>
      <c r="K31" s="458"/>
      <c r="L31" s="814"/>
      <c r="M31" s="747">
        <v>0</v>
      </c>
      <c r="N31" s="747">
        <v>0</v>
      </c>
      <c r="O31" s="1376"/>
    </row>
    <row r="32" spans="1:17" s="217" customFormat="1">
      <c r="A32" s="814"/>
      <c r="B32" s="746"/>
      <c r="C32" s="746">
        <v>4</v>
      </c>
      <c r="D32" s="746"/>
      <c r="E32" s="746"/>
      <c r="F32" s="746"/>
      <c r="G32" s="746"/>
      <c r="H32" s="747">
        <v>0</v>
      </c>
      <c r="I32" s="747">
        <v>0</v>
      </c>
      <c r="J32" s="830">
        <v>0</v>
      </c>
      <c r="K32" s="458"/>
      <c r="L32" s="814"/>
      <c r="M32" s="747">
        <v>0</v>
      </c>
      <c r="N32" s="747">
        <v>0</v>
      </c>
      <c r="O32" s="1376"/>
    </row>
    <row r="33" spans="1:17" s="217" customFormat="1">
      <c r="A33" s="814"/>
      <c r="B33" s="746"/>
      <c r="C33" s="746" t="s">
        <v>666</v>
      </c>
      <c r="D33" s="746"/>
      <c r="E33" s="746"/>
      <c r="F33" s="746"/>
      <c r="G33" s="746"/>
      <c r="H33" s="747" t="s">
        <v>525</v>
      </c>
      <c r="I33" s="747" t="s">
        <v>525</v>
      </c>
      <c r="J33" s="955"/>
      <c r="K33" s="458"/>
      <c r="L33" s="814"/>
      <c r="M33" s="747" t="s">
        <v>525</v>
      </c>
      <c r="N33" s="747" t="s">
        <v>525</v>
      </c>
      <c r="O33" s="1376"/>
    </row>
    <row r="34" spans="1:17" s="217" customFormat="1">
      <c r="A34" s="814"/>
      <c r="B34" s="746"/>
      <c r="C34" s="746" t="s">
        <v>603</v>
      </c>
      <c r="D34" s="746"/>
      <c r="E34" s="746"/>
      <c r="F34" s="746"/>
      <c r="G34" s="746"/>
      <c r="H34" s="831">
        <f>SUM(H29:H33)</f>
        <v>0</v>
      </c>
      <c r="I34" s="831">
        <f>SUM(I29:I33)</f>
        <v>0</v>
      </c>
      <c r="J34" s="958">
        <f>SUM(J29:J33)</f>
        <v>0</v>
      </c>
      <c r="K34" s="748"/>
      <c r="L34" s="814"/>
      <c r="M34" s="831">
        <f>SUM(M29:M33)</f>
        <v>0</v>
      </c>
      <c r="N34" s="831">
        <f>SUM(N29:N33)</f>
        <v>0</v>
      </c>
      <c r="O34" s="1377"/>
    </row>
    <row r="35" spans="1:17" s="217" customFormat="1">
      <c r="A35" s="814"/>
      <c r="B35" s="746"/>
      <c r="C35" s="746"/>
      <c r="D35" s="746"/>
      <c r="E35" s="746"/>
      <c r="F35" s="746"/>
      <c r="G35" s="746"/>
      <c r="H35" s="831"/>
      <c r="I35" s="831"/>
      <c r="J35" s="958"/>
      <c r="K35" s="458"/>
      <c r="L35" s="814"/>
      <c r="M35" s="831"/>
      <c r="N35" s="831"/>
      <c r="O35" s="1377"/>
    </row>
    <row r="36" spans="1:17" s="217" customFormat="1">
      <c r="A36" s="814"/>
      <c r="B36" s="746"/>
      <c r="C36" s="746" t="str">
        <f>C20</f>
        <v>Prexy - 502 Junction 500 kV (CWIP)</v>
      </c>
      <c r="D36" s="746"/>
      <c r="E36" s="746"/>
      <c r="F36" s="746"/>
      <c r="G36" s="746"/>
      <c r="H36" s="831"/>
      <c r="I36" s="831"/>
      <c r="J36" s="956"/>
      <c r="K36" s="458"/>
      <c r="L36" s="814"/>
      <c r="M36" s="831"/>
      <c r="N36" s="831"/>
      <c r="O36" s="1377"/>
    </row>
    <row r="37" spans="1:17" s="217" customFormat="1">
      <c r="A37" s="814"/>
      <c r="B37" s="746"/>
      <c r="C37" s="746">
        <v>1</v>
      </c>
      <c r="D37" s="746"/>
      <c r="E37" s="746"/>
      <c r="F37" s="746"/>
      <c r="G37" s="746"/>
      <c r="H37" s="747">
        <f>'5 - Cost Support'!G220*J64</f>
        <v>0</v>
      </c>
      <c r="I37" s="747">
        <f>I23*J64</f>
        <v>0</v>
      </c>
      <c r="J37" s="830">
        <f>J20</f>
        <v>0</v>
      </c>
      <c r="K37" s="443"/>
      <c r="L37" s="814"/>
      <c r="M37" s="816">
        <f>'6- Est &amp; Reconcile WS'!W238</f>
        <v>0</v>
      </c>
      <c r="N37" s="816">
        <v>0</v>
      </c>
      <c r="O37" s="1375"/>
    </row>
    <row r="38" spans="1:17" s="217" customFormat="1">
      <c r="A38" s="814"/>
      <c r="B38" s="746"/>
      <c r="C38" s="746">
        <v>2</v>
      </c>
      <c r="D38" s="746"/>
      <c r="E38" s="746"/>
      <c r="F38" s="746"/>
      <c r="G38" s="746"/>
      <c r="H38" s="747">
        <v>0</v>
      </c>
      <c r="I38" s="747">
        <v>0</v>
      </c>
      <c r="J38" s="830">
        <v>0</v>
      </c>
      <c r="K38" s="458"/>
      <c r="L38" s="814"/>
      <c r="M38" s="747">
        <v>0</v>
      </c>
      <c r="N38" s="747">
        <v>0</v>
      </c>
      <c r="O38" s="1376"/>
      <c r="Q38" s="642"/>
    </row>
    <row r="39" spans="1:17" s="217" customFormat="1">
      <c r="A39" s="814"/>
      <c r="B39" s="746"/>
      <c r="C39" s="746">
        <v>3</v>
      </c>
      <c r="D39" s="746"/>
      <c r="E39" s="746"/>
      <c r="F39" s="746"/>
      <c r="G39" s="746"/>
      <c r="H39" s="747">
        <v>0</v>
      </c>
      <c r="I39" s="747">
        <v>0</v>
      </c>
      <c r="J39" s="830">
        <v>0</v>
      </c>
      <c r="K39" s="458"/>
      <c r="L39" s="814"/>
      <c r="M39" s="747">
        <v>0</v>
      </c>
      <c r="N39" s="747">
        <v>0</v>
      </c>
      <c r="O39" s="1376"/>
      <c r="Q39" s="642"/>
    </row>
    <row r="40" spans="1:17" s="217" customFormat="1">
      <c r="A40" s="814"/>
      <c r="B40" s="746"/>
      <c r="C40" s="746">
        <v>4</v>
      </c>
      <c r="D40" s="746"/>
      <c r="E40" s="746"/>
      <c r="F40" s="746"/>
      <c r="G40" s="746"/>
      <c r="H40" s="747">
        <v>0</v>
      </c>
      <c r="I40" s="747">
        <v>0</v>
      </c>
      <c r="J40" s="830">
        <v>0</v>
      </c>
      <c r="K40" s="458"/>
      <c r="L40" s="814"/>
      <c r="M40" s="747">
        <v>0</v>
      </c>
      <c r="N40" s="747">
        <v>0</v>
      </c>
      <c r="O40" s="1376"/>
      <c r="Q40" s="642"/>
    </row>
    <row r="41" spans="1:17" s="217" customFormat="1">
      <c r="A41" s="814"/>
      <c r="B41" s="746"/>
      <c r="C41" s="746" t="s">
        <v>666</v>
      </c>
      <c r="D41" s="746"/>
      <c r="E41" s="746"/>
      <c r="F41" s="746"/>
      <c r="G41" s="746"/>
      <c r="H41" s="816"/>
      <c r="I41" s="816"/>
      <c r="J41" s="955"/>
      <c r="K41" s="458"/>
      <c r="L41" s="814"/>
      <c r="M41" s="816"/>
      <c r="N41" s="816"/>
      <c r="O41" s="1375"/>
      <c r="Q41" s="1245"/>
    </row>
    <row r="42" spans="1:17" s="217" customFormat="1">
      <c r="A42" s="814"/>
      <c r="B42" s="746"/>
      <c r="C42" s="746" t="s">
        <v>603</v>
      </c>
      <c r="D42" s="746"/>
      <c r="E42" s="746"/>
      <c r="F42" s="746"/>
      <c r="G42" s="746"/>
      <c r="H42" s="831">
        <f>SUM(H37:H41)</f>
        <v>0</v>
      </c>
      <c r="I42" s="831">
        <f>SUM(I37:I41)</f>
        <v>0</v>
      </c>
      <c r="J42" s="958">
        <f>SUM(J37:J41)</f>
        <v>0</v>
      </c>
      <c r="K42" s="748"/>
      <c r="L42" s="814"/>
      <c r="M42" s="831">
        <f>SUM(M37:M41)</f>
        <v>0</v>
      </c>
      <c r="N42" s="831">
        <f>SUM(N37:N41)</f>
        <v>0</v>
      </c>
      <c r="O42" s="1377"/>
    </row>
    <row r="43" spans="1:17" s="217" customFormat="1">
      <c r="A43" s="814"/>
      <c r="B43" s="746"/>
      <c r="C43" s="746"/>
      <c r="D43" s="746"/>
      <c r="E43" s="746"/>
      <c r="F43" s="746"/>
      <c r="G43" s="746"/>
      <c r="H43" s="831"/>
      <c r="I43" s="831"/>
      <c r="J43" s="956"/>
      <c r="L43" s="814"/>
      <c r="M43" s="831"/>
      <c r="N43" s="831"/>
      <c r="O43" s="1377"/>
    </row>
    <row r="44" spans="1:17" s="217" customFormat="1">
      <c r="A44" s="814"/>
      <c r="B44" s="746"/>
      <c r="C44" s="746" t="str">
        <f>+C21</f>
        <v>502 Junction - Territorial Line               (CWIP)</v>
      </c>
      <c r="D44" s="746"/>
      <c r="E44" s="746"/>
      <c r="F44" s="746"/>
      <c r="G44" s="746"/>
      <c r="H44" s="831"/>
      <c r="I44" s="831"/>
      <c r="J44" s="956"/>
      <c r="K44" s="746"/>
      <c r="L44" s="814"/>
      <c r="M44" s="831"/>
      <c r="N44" s="831"/>
      <c r="O44" s="1377"/>
    </row>
    <row r="45" spans="1:17" s="217" customFormat="1">
      <c r="A45" s="814"/>
      <c r="B45" s="746"/>
      <c r="C45" s="746">
        <v>1</v>
      </c>
      <c r="D45" s="746"/>
      <c r="E45" s="746"/>
      <c r="F45" s="746"/>
      <c r="G45" s="746"/>
      <c r="H45" s="747">
        <f>'5 - Cost Support'!G220*J65</f>
        <v>0</v>
      </c>
      <c r="I45" s="747">
        <f>I23*J65</f>
        <v>0</v>
      </c>
      <c r="J45" s="830">
        <f>J21</f>
        <v>0</v>
      </c>
      <c r="K45" s="757"/>
      <c r="L45" s="814"/>
      <c r="M45" s="1515">
        <f>'6- Est &amp; Reconcile WS'!T239</f>
        <v>0</v>
      </c>
      <c r="N45" s="816">
        <v>0</v>
      </c>
      <c r="O45" s="1375">
        <v>0</v>
      </c>
    </row>
    <row r="46" spans="1:17" s="217" customFormat="1">
      <c r="A46" s="814"/>
      <c r="B46" s="746"/>
      <c r="C46" s="746">
        <v>2</v>
      </c>
      <c r="D46" s="746"/>
      <c r="E46" s="746"/>
      <c r="F46" s="746"/>
      <c r="G46" s="746"/>
      <c r="H46" s="747">
        <v>0</v>
      </c>
      <c r="I46" s="747">
        <v>0</v>
      </c>
      <c r="J46" s="830">
        <v>0</v>
      </c>
      <c r="K46" s="458"/>
      <c r="L46" s="814"/>
      <c r="M46" s="631">
        <v>0</v>
      </c>
      <c r="N46" s="747">
        <v>0</v>
      </c>
      <c r="O46" s="1376">
        <v>0</v>
      </c>
    </row>
    <row r="47" spans="1:17" s="217" customFormat="1">
      <c r="A47" s="814"/>
      <c r="B47" s="746"/>
      <c r="C47" s="746">
        <v>3</v>
      </c>
      <c r="D47" s="746"/>
      <c r="E47" s="746"/>
      <c r="F47" s="746"/>
      <c r="G47" s="746"/>
      <c r="H47" s="747">
        <v>0</v>
      </c>
      <c r="I47" s="747">
        <v>0</v>
      </c>
      <c r="J47" s="830">
        <v>0</v>
      </c>
      <c r="K47" s="458"/>
      <c r="L47" s="814"/>
      <c r="M47" s="631">
        <v>0</v>
      </c>
      <c r="N47" s="747">
        <v>0</v>
      </c>
      <c r="O47" s="1376">
        <v>0</v>
      </c>
    </row>
    <row r="48" spans="1:17" s="217" customFormat="1">
      <c r="A48" s="814"/>
      <c r="B48" s="746"/>
      <c r="C48" s="746">
        <v>4</v>
      </c>
      <c r="D48" s="746"/>
      <c r="E48" s="746"/>
      <c r="F48" s="746"/>
      <c r="G48" s="746"/>
      <c r="H48" s="747">
        <v>0</v>
      </c>
      <c r="I48" s="747">
        <v>0</v>
      </c>
      <c r="J48" s="830">
        <v>0</v>
      </c>
      <c r="K48" s="458"/>
      <c r="L48" s="814"/>
      <c r="M48" s="631">
        <v>0</v>
      </c>
      <c r="N48" s="747">
        <v>0</v>
      </c>
      <c r="O48" s="1376">
        <v>0</v>
      </c>
    </row>
    <row r="49" spans="1:16" s="217" customFormat="1">
      <c r="A49" s="814"/>
      <c r="B49" s="746"/>
      <c r="C49" s="746" t="s">
        <v>666</v>
      </c>
      <c r="D49" s="746"/>
      <c r="E49" s="746"/>
      <c r="F49" s="746"/>
      <c r="G49" s="746"/>
      <c r="H49" s="816"/>
      <c r="I49" s="816"/>
      <c r="J49" s="955"/>
      <c r="K49" s="458"/>
      <c r="L49" s="814"/>
      <c r="M49" s="1515"/>
      <c r="N49" s="816"/>
      <c r="O49" s="1375"/>
    </row>
    <row r="50" spans="1:16" ht="13.8" thickBot="1">
      <c r="A50" s="821"/>
      <c r="B50" s="822"/>
      <c r="C50" s="822" t="s">
        <v>603</v>
      </c>
      <c r="D50" s="822"/>
      <c r="E50" s="822"/>
      <c r="F50" s="822"/>
      <c r="G50" s="822"/>
      <c r="H50" s="832">
        <f>SUM(H45:H49)</f>
        <v>0</v>
      </c>
      <c r="I50" s="832">
        <f>SUM(I45:I49)</f>
        <v>0</v>
      </c>
      <c r="J50" s="959">
        <f>SUM(J45:J49)</f>
        <v>0</v>
      </c>
      <c r="K50" s="748"/>
      <c r="L50" s="814"/>
      <c r="M50" s="1516">
        <f>SUM(M45:M49)</f>
        <v>0</v>
      </c>
      <c r="N50" s="831">
        <f>SUM(N45:N49)</f>
        <v>0</v>
      </c>
      <c r="O50" s="1377">
        <f>SUM(O45:O49)</f>
        <v>0</v>
      </c>
      <c r="P50" s="217"/>
    </row>
    <row r="51" spans="1:16">
      <c r="A51" s="217"/>
      <c r="B51" s="217"/>
      <c r="C51" s="217"/>
      <c r="D51" s="217"/>
      <c r="E51" s="217"/>
      <c r="F51" s="217"/>
      <c r="G51" s="217"/>
      <c r="H51" s="997"/>
      <c r="I51" s="997"/>
      <c r="J51" s="997" t="s">
        <v>525</v>
      </c>
      <c r="K51" s="217"/>
      <c r="L51" s="814"/>
      <c r="M51" s="831"/>
      <c r="N51" s="831"/>
      <c r="O51" s="1377"/>
      <c r="P51" s="217"/>
    </row>
    <row r="52" spans="1:16" ht="13.8" thickBot="1">
      <c r="I52" s="445"/>
      <c r="L52" s="688"/>
      <c r="M52" s="611"/>
      <c r="N52" s="611"/>
      <c r="O52" s="1378"/>
    </row>
    <row r="53" spans="1:16" ht="29.25" customHeight="1">
      <c r="C53" s="765" t="s">
        <v>453</v>
      </c>
      <c r="D53" s="626"/>
      <c r="E53" s="626"/>
      <c r="F53" s="626"/>
      <c r="G53" s="626"/>
      <c r="H53" s="626"/>
      <c r="I53" s="2066" t="s">
        <v>677</v>
      </c>
      <c r="J53" s="2066"/>
      <c r="K53" s="2067"/>
      <c r="L53" s="688"/>
      <c r="M53" s="470"/>
      <c r="N53" s="470"/>
      <c r="O53" s="1379">
        <f>O50+O42+O34</f>
        <v>0</v>
      </c>
    </row>
    <row r="54" spans="1:16" ht="25.5" customHeight="1">
      <c r="C54" s="465" t="s">
        <v>676</v>
      </c>
      <c r="D54" s="355"/>
      <c r="E54" s="355"/>
      <c r="F54" s="355"/>
      <c r="G54" s="355"/>
      <c r="H54" s="355"/>
      <c r="I54" s="2068" t="s">
        <v>677</v>
      </c>
      <c r="J54" s="2068"/>
      <c r="K54" s="2069"/>
      <c r="L54" s="688"/>
      <c r="M54" s="470"/>
      <c r="N54" s="611"/>
      <c r="O54" s="1378"/>
    </row>
    <row r="55" spans="1:16" ht="13.8" thickBot="1">
      <c r="C55" s="241" t="s">
        <v>671</v>
      </c>
      <c r="D55" s="242"/>
      <c r="E55" s="242"/>
      <c r="F55" s="242"/>
      <c r="G55" s="242"/>
      <c r="H55" s="242"/>
      <c r="I55" s="242"/>
      <c r="J55" s="242"/>
      <c r="K55" s="243"/>
      <c r="L55" s="241"/>
      <c r="M55" s="1007"/>
      <c r="N55" s="957"/>
      <c r="O55" s="999"/>
    </row>
    <row r="57" spans="1:16">
      <c r="A57" t="s">
        <v>443</v>
      </c>
    </row>
    <row r="58" spans="1:16">
      <c r="A58">
        <v>1</v>
      </c>
      <c r="B58" s="215" t="s">
        <v>469</v>
      </c>
      <c r="C58" s="2"/>
      <c r="D58" s="2"/>
      <c r="E58" s="2"/>
      <c r="F58" s="2"/>
      <c r="G58" s="2"/>
      <c r="H58" s="2"/>
      <c r="I58" s="2"/>
      <c r="J58" s="2"/>
      <c r="K58" s="2"/>
      <c r="L58" s="2"/>
      <c r="M58" s="2"/>
      <c r="N58" s="2"/>
      <c r="O58" s="2"/>
      <c r="P58" s="2"/>
    </row>
    <row r="59" spans="1:16">
      <c r="B59" s="215"/>
      <c r="C59" s="215" t="s">
        <v>663</v>
      </c>
      <c r="D59" s="2"/>
      <c r="E59" s="2"/>
      <c r="F59" s="2"/>
      <c r="G59" s="2"/>
      <c r="H59" s="2"/>
      <c r="I59" s="2"/>
      <c r="J59" s="2"/>
      <c r="K59" s="2"/>
      <c r="L59" s="2"/>
      <c r="M59" s="2"/>
      <c r="N59" s="2"/>
      <c r="O59" s="2"/>
      <c r="P59" s="2"/>
    </row>
    <row r="60" spans="1:16">
      <c r="B60" s="215"/>
      <c r="C60" s="215"/>
      <c r="D60" s="2"/>
      <c r="E60" s="2"/>
      <c r="F60" s="2"/>
      <c r="G60" s="2"/>
      <c r="H60" s="2"/>
      <c r="I60" s="2"/>
      <c r="J60" s="2"/>
      <c r="K60" s="2"/>
      <c r="L60" s="2"/>
      <c r="M60" s="2"/>
      <c r="N60" s="2"/>
      <c r="O60" s="2"/>
      <c r="P60" s="2"/>
    </row>
    <row r="61" spans="1:16">
      <c r="B61" s="215"/>
      <c r="C61" s="215"/>
      <c r="D61" s="2" t="s">
        <v>470</v>
      </c>
      <c r="E61" s="2"/>
      <c r="F61" s="2"/>
      <c r="G61" s="2"/>
      <c r="H61" s="484" t="s">
        <v>471</v>
      </c>
      <c r="I61" s="2"/>
      <c r="J61" s="484" t="s">
        <v>614</v>
      </c>
      <c r="K61" s="2"/>
      <c r="L61" s="2"/>
      <c r="M61" s="2"/>
      <c r="N61" s="2"/>
      <c r="O61" s="2"/>
      <c r="P61" s="2"/>
    </row>
    <row r="62" spans="1:16">
      <c r="B62" s="215"/>
      <c r="C62" s="215"/>
      <c r="D62" s="2"/>
      <c r="E62" s="2"/>
      <c r="F62" s="2"/>
      <c r="G62" s="2"/>
      <c r="H62" s="484" t="s">
        <v>472</v>
      </c>
      <c r="I62" s="2"/>
      <c r="J62" s="2"/>
      <c r="K62" s="2"/>
      <c r="L62" s="2"/>
      <c r="M62" s="2"/>
      <c r="N62" s="2"/>
      <c r="O62" s="2"/>
      <c r="P62" s="2"/>
    </row>
    <row r="63" spans="1:16">
      <c r="B63" s="215"/>
      <c r="C63" s="215"/>
      <c r="D63" s="736" t="s">
        <v>235</v>
      </c>
      <c r="E63" s="736"/>
      <c r="F63" s="736"/>
      <c r="G63" s="2"/>
      <c r="H63" s="1015">
        <v>94140000</v>
      </c>
      <c r="I63" s="2"/>
      <c r="J63" s="988">
        <f>H63/H67</f>
        <v>0.10734321550741163</v>
      </c>
      <c r="K63" s="2"/>
      <c r="L63" s="2"/>
      <c r="M63" s="2"/>
      <c r="N63" s="2"/>
      <c r="O63" s="2"/>
      <c r="P63" s="2"/>
    </row>
    <row r="64" spans="1:16">
      <c r="B64" s="215"/>
      <c r="C64" s="215"/>
      <c r="D64" s="736" t="s">
        <v>234</v>
      </c>
      <c r="E64" s="736"/>
      <c r="F64" s="736"/>
      <c r="G64" s="2"/>
      <c r="H64" s="1015">
        <v>121260000</v>
      </c>
      <c r="I64" s="2"/>
      <c r="J64" s="988">
        <f>H64/H67</f>
        <v>0.13826681870011404</v>
      </c>
      <c r="K64" s="2"/>
      <c r="L64" s="2"/>
      <c r="M64" s="2"/>
      <c r="N64" s="2"/>
      <c r="O64" s="2"/>
      <c r="P64" s="2"/>
    </row>
    <row r="65" spans="1:16">
      <c r="B65" s="215"/>
      <c r="C65" s="215"/>
      <c r="D65" s="978" t="s">
        <v>848</v>
      </c>
      <c r="E65" s="736"/>
      <c r="F65" s="736"/>
      <c r="G65" s="2"/>
      <c r="H65" s="983">
        <v>661600000</v>
      </c>
      <c r="I65" s="2"/>
      <c r="J65" s="989">
        <f>H65/H67</f>
        <v>0.7543899657924743</v>
      </c>
      <c r="K65" s="2"/>
      <c r="L65" s="2"/>
      <c r="M65" s="2"/>
      <c r="N65" s="2"/>
      <c r="O65" s="2"/>
      <c r="P65" s="2"/>
    </row>
    <row r="66" spans="1:16">
      <c r="B66" s="215"/>
      <c r="C66" s="215"/>
      <c r="D66" s="736"/>
      <c r="E66" s="736"/>
      <c r="F66" s="736"/>
      <c r="G66" s="2"/>
      <c r="H66" s="610"/>
      <c r="I66" s="2"/>
      <c r="J66" s="2"/>
      <c r="K66" s="2"/>
      <c r="L66" s="2"/>
      <c r="M66" s="2"/>
      <c r="N66" s="2"/>
      <c r="O66" s="2"/>
      <c r="P66" s="2"/>
    </row>
    <row r="67" spans="1:16" ht="13.8" thickBot="1">
      <c r="B67" s="215"/>
      <c r="C67" s="215"/>
      <c r="D67" s="736" t="s">
        <v>603</v>
      </c>
      <c r="E67" s="736"/>
      <c r="F67" s="736"/>
      <c r="G67" s="2"/>
      <c r="H67" s="1016">
        <f>SUM(H63:H65)</f>
        <v>877000000</v>
      </c>
      <c r="I67" s="2"/>
      <c r="J67" s="987">
        <f>SUM(J63:J66)</f>
        <v>1</v>
      </c>
      <c r="K67" s="2"/>
      <c r="L67" s="2"/>
      <c r="M67" s="2"/>
      <c r="N67" s="2"/>
      <c r="O67" s="2"/>
      <c r="P67" s="2"/>
    </row>
    <row r="68" spans="1:16" ht="13.8" thickTop="1">
      <c r="B68" s="215"/>
      <c r="C68" s="215"/>
      <c r="D68" s="2"/>
      <c r="E68" s="2"/>
      <c r="F68" s="2"/>
      <c r="G68" s="2"/>
      <c r="H68" s="2"/>
      <c r="I68" s="2"/>
      <c r="J68" s="2"/>
      <c r="K68" s="2"/>
      <c r="L68" s="2"/>
      <c r="M68" s="2"/>
      <c r="N68" s="2"/>
      <c r="O68" s="2"/>
      <c r="P68" s="2"/>
    </row>
    <row r="69" spans="1:16">
      <c r="B69" s="215"/>
      <c r="C69" s="215"/>
      <c r="D69" s="2"/>
      <c r="E69" s="2"/>
      <c r="F69" s="2"/>
      <c r="G69" s="2"/>
      <c r="H69" s="2"/>
      <c r="I69" s="2"/>
      <c r="J69" s="2"/>
      <c r="K69" s="2"/>
      <c r="L69" s="2"/>
      <c r="M69" s="2"/>
      <c r="N69" s="2"/>
      <c r="O69" s="2"/>
      <c r="P69" s="2"/>
    </row>
    <row r="70" spans="1:16">
      <c r="B70" s="215"/>
      <c r="C70" s="215"/>
      <c r="D70" s="2"/>
      <c r="E70" s="2"/>
      <c r="F70" s="2"/>
      <c r="G70" s="2"/>
      <c r="H70" s="2"/>
      <c r="I70" s="2"/>
      <c r="J70" s="2"/>
      <c r="K70" s="2"/>
      <c r="L70" s="2"/>
      <c r="M70" s="2"/>
      <c r="N70" s="2"/>
      <c r="O70" s="2"/>
      <c r="P70" s="2"/>
    </row>
    <row r="71" spans="1:16">
      <c r="B71" s="215"/>
      <c r="C71" s="215"/>
      <c r="D71" s="2"/>
      <c r="E71" s="2"/>
      <c r="F71" s="2"/>
      <c r="G71" s="2"/>
      <c r="H71" s="2"/>
      <c r="I71" s="2"/>
      <c r="J71" s="2"/>
      <c r="K71" s="2"/>
      <c r="L71" s="2"/>
      <c r="M71" s="2"/>
      <c r="N71" s="2"/>
      <c r="O71" s="2"/>
      <c r="P71" s="2"/>
    </row>
    <row r="72" spans="1:16">
      <c r="B72" s="215"/>
      <c r="C72" s="215"/>
      <c r="D72" s="2"/>
      <c r="E72" s="2"/>
      <c r="F72" s="2"/>
      <c r="G72" s="2"/>
      <c r="H72" s="2"/>
      <c r="I72" s="2"/>
      <c r="J72" s="2"/>
      <c r="K72" s="2"/>
      <c r="L72" s="2"/>
      <c r="M72" s="2"/>
      <c r="N72" s="2"/>
      <c r="O72" s="2"/>
      <c r="P72" s="2"/>
    </row>
    <row r="73" spans="1:16">
      <c r="A73">
        <v>2</v>
      </c>
      <c r="B73" t="s">
        <v>473</v>
      </c>
    </row>
    <row r="74" spans="1:16">
      <c r="C74" t="s">
        <v>452</v>
      </c>
    </row>
  </sheetData>
  <mergeCells count="7">
    <mergeCell ref="I53:K53"/>
    <mergeCell ref="I54:K54"/>
    <mergeCell ref="H27:J27"/>
    <mergeCell ref="B6:Q6"/>
    <mergeCell ref="B8:Q8"/>
    <mergeCell ref="B10:Q10"/>
    <mergeCell ref="B12:Q12"/>
  </mergeCells>
  <phoneticPr fontId="0" type="noConversion"/>
  <printOptions horizontalCentered="1"/>
  <pageMargins left="0.75" right="0.46" top="0.87" bottom="0.5" header="0.5" footer="0.5"/>
  <pageSetup scale="43" orientation="portrait" r:id="rId1"/>
  <headerFooter alignWithMargins="0">
    <oddHeader>&amp;R&amp;12EXHIBIT NO. TRC-203
ATTACHMENT H-18A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15"/>
  </sheetPr>
  <dimension ref="A1:AG397"/>
  <sheetViews>
    <sheetView showGridLines="0" view="pageBreakPreview" topLeftCell="B124" zoomScale="85" zoomScaleNormal="75" zoomScaleSheetLayoutView="85" workbookViewId="0">
      <selection activeCell="L133" sqref="L133"/>
    </sheetView>
  </sheetViews>
  <sheetFormatPr defaultRowHeight="13.2"/>
  <cols>
    <col min="1" max="1" width="5.33203125" style="212" customWidth="1"/>
    <col min="2" max="2" width="6.109375" style="212" customWidth="1"/>
    <col min="3" max="3" width="10.44140625" style="212" customWidth="1"/>
    <col min="4" max="4" width="20.5546875" style="212" customWidth="1"/>
    <col min="5" max="5" width="16.33203125" customWidth="1"/>
    <col min="6" max="6" width="17.33203125" customWidth="1"/>
    <col min="7" max="7" width="17.88671875" customWidth="1"/>
    <col min="8" max="9" width="17" customWidth="1"/>
    <col min="10" max="10" width="16.88671875" customWidth="1"/>
    <col min="11" max="11" width="17.109375" customWidth="1"/>
    <col min="12" max="12" width="15.44140625" customWidth="1"/>
    <col min="13" max="13" width="15.88671875" customWidth="1"/>
    <col min="14" max="14" width="15.33203125" customWidth="1"/>
    <col min="15" max="15" width="16.109375" customWidth="1"/>
    <col min="16" max="16" width="15.88671875" customWidth="1"/>
    <col min="17" max="17" width="17.88671875" customWidth="1"/>
    <col min="18" max="18" width="17.109375" bestFit="1" customWidth="1"/>
    <col min="19" max="19" width="17.6640625" bestFit="1" customWidth="1"/>
    <col min="20" max="20" width="20.109375" customWidth="1"/>
    <col min="21" max="21" width="17.33203125" customWidth="1"/>
    <col min="22" max="22" width="16.6640625" customWidth="1"/>
    <col min="23" max="23" width="13.6640625" customWidth="1"/>
    <col min="24" max="24" width="0.109375" customWidth="1"/>
    <col min="25" max="25" width="48" customWidth="1"/>
    <col min="26" max="26" width="14.88671875" customWidth="1"/>
    <col min="27" max="27" width="12.5546875" customWidth="1"/>
    <col min="29" max="29" width="11.109375" customWidth="1"/>
    <col min="30" max="30" width="10.33203125" customWidth="1"/>
    <col min="31" max="31" width="10.44140625" bestFit="1" customWidth="1"/>
  </cols>
  <sheetData>
    <row r="1" spans="1:33" ht="17.399999999999999">
      <c r="A1" s="2013" t="s">
        <v>445</v>
      </c>
      <c r="B1" s="2013"/>
      <c r="C1" s="2013"/>
      <c r="D1" s="2013"/>
      <c r="E1" s="2013"/>
      <c r="F1" s="2013"/>
      <c r="G1" s="2013"/>
      <c r="H1" s="2013"/>
      <c r="I1" s="2013"/>
      <c r="J1" s="2013"/>
      <c r="K1" s="2013"/>
      <c r="L1" s="2013"/>
      <c r="M1" s="2013"/>
      <c r="N1" s="2013"/>
      <c r="O1" s="2013"/>
      <c r="P1" s="2013"/>
      <c r="Q1" s="2013"/>
      <c r="R1" s="2013"/>
      <c r="S1" s="2013"/>
      <c r="T1" s="2013"/>
    </row>
    <row r="2" spans="1:33">
      <c r="A2" s="227"/>
    </row>
    <row r="3" spans="1:33" ht="18">
      <c r="A3" s="2020" t="s">
        <v>616</v>
      </c>
      <c r="B3" s="2020"/>
      <c r="C3" s="2020"/>
      <c r="D3" s="2020"/>
      <c r="E3" s="2020"/>
      <c r="F3" s="2020"/>
      <c r="G3" s="2020"/>
      <c r="H3" s="2020"/>
      <c r="I3" s="2020"/>
      <c r="J3" s="2020"/>
      <c r="K3" s="2020"/>
      <c r="L3" s="2020"/>
      <c r="M3" s="2020"/>
      <c r="N3" s="2020"/>
      <c r="O3" s="2020"/>
      <c r="P3" s="2020"/>
      <c r="Q3" s="2020"/>
      <c r="R3" s="2020"/>
      <c r="S3" s="2020"/>
      <c r="T3" s="2020"/>
    </row>
    <row r="5" spans="1:33" ht="13.8">
      <c r="L5" s="227"/>
      <c r="Q5" s="227"/>
      <c r="R5" s="449"/>
    </row>
    <row r="6" spans="1:33" ht="13.8">
      <c r="A6" s="357" t="s">
        <v>290</v>
      </c>
      <c r="B6" s="357" t="s">
        <v>291</v>
      </c>
      <c r="C6" s="357" t="s">
        <v>292</v>
      </c>
      <c r="D6" s="357"/>
      <c r="E6" s="357" t="s">
        <v>293</v>
      </c>
      <c r="F6" s="358"/>
      <c r="G6" s="358"/>
      <c r="H6" s="358"/>
      <c r="I6" s="358"/>
      <c r="J6" s="358"/>
      <c r="K6" s="358"/>
      <c r="L6" s="358"/>
      <c r="M6" s="358"/>
      <c r="N6" s="358"/>
      <c r="O6" s="358"/>
      <c r="P6" s="358"/>
      <c r="Q6" s="616"/>
      <c r="R6" s="358"/>
      <c r="S6" s="358"/>
      <c r="T6" s="358"/>
      <c r="U6" s="358"/>
      <c r="V6" s="358"/>
      <c r="W6" s="358"/>
      <c r="X6" s="358"/>
      <c r="Y6" s="358"/>
      <c r="Z6" s="358"/>
      <c r="AA6" s="358"/>
      <c r="AB6" s="358"/>
      <c r="AC6" s="358"/>
      <c r="AD6" s="358"/>
      <c r="AE6" s="358"/>
      <c r="AF6" s="358"/>
      <c r="AG6" s="359"/>
    </row>
    <row r="7" spans="1:33" ht="13.8">
      <c r="B7" s="357"/>
      <c r="C7" s="357"/>
      <c r="D7" s="357"/>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9"/>
    </row>
    <row r="8" spans="1:33" ht="13.8">
      <c r="A8" s="360" t="s">
        <v>294</v>
      </c>
      <c r="B8" s="357"/>
      <c r="C8" s="357"/>
      <c r="D8" s="357"/>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9"/>
    </row>
    <row r="9" spans="1:33" ht="13.8">
      <c r="A9" s="782">
        <v>1</v>
      </c>
      <c r="B9" s="781" t="s">
        <v>295</v>
      </c>
      <c r="C9" s="782" t="s">
        <v>285</v>
      </c>
      <c r="D9" s="782"/>
      <c r="E9" s="783" t="s">
        <v>976</v>
      </c>
      <c r="F9" s="359"/>
      <c r="G9" s="359"/>
      <c r="H9" s="359"/>
      <c r="I9" s="359"/>
      <c r="J9" s="359"/>
      <c r="K9" s="359"/>
      <c r="L9" s="359"/>
      <c r="M9" s="359"/>
      <c r="N9" s="359"/>
      <c r="O9" s="359"/>
      <c r="P9" s="359"/>
      <c r="Q9" s="358"/>
      <c r="R9" s="358"/>
      <c r="S9" s="358"/>
      <c r="T9" s="358"/>
      <c r="U9" s="358"/>
      <c r="V9" s="358"/>
      <c r="W9" s="358"/>
      <c r="X9" s="358"/>
      <c r="Y9" s="358"/>
      <c r="Z9" s="358"/>
      <c r="AA9" s="358"/>
      <c r="AB9" s="358"/>
      <c r="AC9" s="358"/>
      <c r="AD9" s="358"/>
      <c r="AE9" s="358"/>
      <c r="AF9" s="358"/>
      <c r="AG9" s="359"/>
    </row>
    <row r="10" spans="1:33" ht="13.8">
      <c r="A10" s="782">
        <v>2</v>
      </c>
      <c r="B10" s="781" t="str">
        <f>+B9</f>
        <v>April</v>
      </c>
      <c r="C10" s="782" t="str">
        <f>+C9</f>
        <v>Year 2</v>
      </c>
      <c r="D10" s="782"/>
      <c r="E10" s="785" t="s">
        <v>754</v>
      </c>
      <c r="F10" s="359"/>
      <c r="G10" s="359"/>
      <c r="H10" s="359"/>
      <c r="I10" s="359"/>
      <c r="J10" s="359"/>
      <c r="K10" s="359"/>
      <c r="L10" s="359"/>
      <c r="M10" s="359"/>
      <c r="N10" s="359"/>
      <c r="O10" s="359"/>
      <c r="P10" s="359"/>
      <c r="Q10" s="358"/>
      <c r="R10" s="358"/>
      <c r="S10" s="358"/>
      <c r="T10" s="358"/>
      <c r="U10" s="358"/>
      <c r="V10" s="358"/>
      <c r="W10" s="358"/>
      <c r="X10" s="358"/>
      <c r="Y10" s="358"/>
      <c r="Z10" s="358"/>
      <c r="AA10" s="358"/>
      <c r="AB10" s="358"/>
      <c r="AC10" s="358"/>
      <c r="AD10" s="358"/>
      <c r="AE10" s="358"/>
      <c r="AF10" s="358"/>
      <c r="AG10" s="359"/>
    </row>
    <row r="11" spans="1:33" ht="13.8">
      <c r="A11" s="782">
        <v>3</v>
      </c>
      <c r="B11" s="781" t="s">
        <v>295</v>
      </c>
      <c r="C11" s="782" t="str">
        <f>+C10</f>
        <v>Year 2</v>
      </c>
      <c r="D11" s="782"/>
      <c r="E11" s="785" t="s">
        <v>564</v>
      </c>
      <c r="F11" s="359"/>
      <c r="G11" s="359"/>
      <c r="H11" s="739"/>
      <c r="I11" s="739"/>
      <c r="J11" s="739"/>
      <c r="K11" s="739"/>
      <c r="L11" s="739"/>
      <c r="M11" s="739"/>
      <c r="N11" s="359"/>
      <c r="O11" s="359"/>
      <c r="P11" s="359"/>
      <c r="Q11" s="358"/>
      <c r="R11" s="358"/>
      <c r="S11" s="358"/>
      <c r="T11" s="358"/>
      <c r="U11" s="358"/>
      <c r="V11" s="358"/>
      <c r="W11" s="358"/>
      <c r="X11" s="358"/>
      <c r="Y11" s="358"/>
      <c r="Z11" s="358"/>
      <c r="AA11" s="358"/>
      <c r="AB11" s="358"/>
      <c r="AC11" s="358"/>
      <c r="AD11" s="358"/>
      <c r="AE11" s="358"/>
      <c r="AF11" s="358"/>
      <c r="AG11" s="359"/>
    </row>
    <row r="12" spans="1:33" ht="13.8">
      <c r="A12" s="782">
        <v>4</v>
      </c>
      <c r="B12" s="781" t="s">
        <v>296</v>
      </c>
      <c r="C12" s="782" t="str">
        <f>+C11</f>
        <v>Year 2</v>
      </c>
      <c r="D12" s="782"/>
      <c r="E12" s="783" t="s">
        <v>427</v>
      </c>
      <c r="F12" s="359"/>
      <c r="G12" s="359"/>
      <c r="H12" s="739"/>
      <c r="I12" s="739"/>
      <c r="J12" s="739"/>
      <c r="K12" s="739"/>
      <c r="L12" s="739"/>
      <c r="M12" s="739"/>
      <c r="N12" s="359"/>
      <c r="O12" s="359"/>
      <c r="P12" s="359"/>
      <c r="Q12" s="358"/>
      <c r="R12" s="358"/>
      <c r="S12" s="358"/>
      <c r="T12" s="358"/>
      <c r="U12" s="358"/>
      <c r="V12" s="358"/>
      <c r="W12" s="358"/>
      <c r="X12" s="358"/>
      <c r="Y12" s="358"/>
      <c r="Z12" s="358"/>
      <c r="AA12" s="358"/>
      <c r="AB12" s="358"/>
      <c r="AC12" s="358"/>
      <c r="AD12" s="358"/>
      <c r="AE12" s="358"/>
      <c r="AF12" s="358"/>
      <c r="AG12" s="359"/>
    </row>
    <row r="13" spans="1:33" ht="13.8">
      <c r="A13" s="782">
        <v>5</v>
      </c>
      <c r="B13" s="784" t="s">
        <v>325</v>
      </c>
      <c r="C13" s="782" t="str">
        <f>+C12</f>
        <v>Year 2</v>
      </c>
      <c r="D13" s="782"/>
      <c r="E13" s="783" t="s">
        <v>428</v>
      </c>
      <c r="F13" s="359"/>
      <c r="G13" s="359"/>
      <c r="H13" s="359"/>
      <c r="I13" s="359"/>
      <c r="J13" s="359"/>
      <c r="K13" s="359"/>
      <c r="L13" s="359"/>
      <c r="M13" s="359"/>
      <c r="N13" s="359"/>
      <c r="O13" s="359"/>
      <c r="P13" s="359"/>
      <c r="Q13" s="358"/>
      <c r="R13" s="358"/>
      <c r="S13" s="358"/>
      <c r="T13" s="358"/>
      <c r="U13" s="358"/>
      <c r="V13" s="358"/>
      <c r="W13" s="358"/>
      <c r="X13" s="358"/>
      <c r="Y13" s="358"/>
      <c r="Z13" s="358"/>
      <c r="AA13" s="358"/>
      <c r="AB13" s="358"/>
      <c r="AC13" s="358"/>
      <c r="AD13" s="358"/>
      <c r="AE13" s="358"/>
      <c r="AF13" s="358"/>
      <c r="AG13" s="359"/>
    </row>
    <row r="14" spans="1:33" ht="13.8">
      <c r="A14" s="782"/>
      <c r="B14" s="781"/>
      <c r="C14" s="782"/>
      <c r="D14" s="782"/>
      <c r="E14" s="783"/>
      <c r="F14" s="359"/>
      <c r="G14" s="359"/>
      <c r="H14" s="359"/>
      <c r="I14" s="359"/>
      <c r="J14" s="359"/>
      <c r="K14" s="359"/>
      <c r="L14" s="359"/>
      <c r="M14" s="359"/>
      <c r="N14" s="359"/>
      <c r="O14" s="359"/>
      <c r="P14" s="359"/>
      <c r="Q14" s="358"/>
      <c r="R14" s="358"/>
      <c r="S14" s="358"/>
      <c r="T14" s="358"/>
      <c r="U14" s="358"/>
      <c r="V14" s="358"/>
      <c r="W14" s="358"/>
      <c r="X14" s="358"/>
      <c r="Y14" s="358"/>
      <c r="Z14" s="358"/>
      <c r="AA14" s="358"/>
      <c r="AB14" s="358"/>
      <c r="AC14" s="358"/>
      <c r="AD14" s="358"/>
      <c r="AE14" s="358"/>
      <c r="AF14" s="358"/>
      <c r="AG14" s="359"/>
    </row>
    <row r="15" spans="1:33" ht="13.8">
      <c r="A15" s="782"/>
      <c r="B15" s="781"/>
      <c r="C15" s="782"/>
      <c r="D15" s="782"/>
      <c r="E15" s="783"/>
      <c r="F15" s="359"/>
      <c r="G15" s="359"/>
      <c r="H15" s="359"/>
      <c r="I15" s="359"/>
      <c r="J15" s="359"/>
      <c r="K15" s="359"/>
      <c r="L15" s="359"/>
      <c r="M15" s="359"/>
      <c r="N15" s="359"/>
      <c r="O15" s="359"/>
      <c r="P15" s="359"/>
      <c r="Q15" s="358"/>
      <c r="R15" s="358"/>
      <c r="S15" s="358"/>
      <c r="T15" s="358"/>
      <c r="U15" s="358"/>
      <c r="V15" s="358"/>
      <c r="W15" s="358"/>
      <c r="X15" s="358"/>
      <c r="Y15" s="358"/>
      <c r="Z15" s="358"/>
      <c r="AA15" s="358"/>
      <c r="AB15" s="358"/>
      <c r="AC15" s="358"/>
      <c r="AD15" s="358"/>
      <c r="AE15" s="358"/>
      <c r="AF15" s="358"/>
      <c r="AG15" s="359"/>
    </row>
    <row r="16" spans="1:33" ht="13.8">
      <c r="A16" s="782">
        <v>6</v>
      </c>
      <c r="B16" s="781" t="s">
        <v>295</v>
      </c>
      <c r="C16" s="782" t="s">
        <v>288</v>
      </c>
      <c r="D16" s="782"/>
      <c r="E16" s="785" t="s">
        <v>756</v>
      </c>
      <c r="F16" s="359"/>
      <c r="G16" s="359"/>
      <c r="H16" s="359"/>
      <c r="I16" s="359"/>
      <c r="J16" s="359"/>
      <c r="K16" s="359"/>
      <c r="L16" s="359"/>
      <c r="M16" s="359"/>
      <c r="N16" s="359"/>
      <c r="O16" s="359"/>
      <c r="P16" s="359"/>
      <c r="Q16" s="358"/>
      <c r="R16" s="358"/>
      <c r="S16" s="358"/>
      <c r="T16" s="358"/>
      <c r="U16" s="358"/>
      <c r="V16" s="358"/>
      <c r="W16" s="358"/>
      <c r="X16" s="358"/>
      <c r="Y16" s="358"/>
      <c r="Z16" s="358"/>
      <c r="AA16" s="358"/>
      <c r="AB16" s="358"/>
      <c r="AC16" s="358"/>
      <c r="AD16" s="358"/>
      <c r="AE16" s="358"/>
      <c r="AF16" s="358"/>
      <c r="AG16" s="359"/>
    </row>
    <row r="17" spans="1:33" ht="26.25" customHeight="1">
      <c r="A17" s="787">
        <v>7</v>
      </c>
      <c r="B17" s="786" t="str">
        <f>+B16</f>
        <v>April</v>
      </c>
      <c r="C17" s="787" t="str">
        <f>+C16</f>
        <v>Year 3</v>
      </c>
      <c r="D17" s="787"/>
      <c r="E17" s="2074" t="s">
        <v>236</v>
      </c>
      <c r="F17" s="2075"/>
      <c r="G17" s="2075"/>
      <c r="H17" s="2075"/>
      <c r="I17" s="2075"/>
      <c r="J17" s="2075"/>
      <c r="K17" s="2075"/>
      <c r="L17" s="2075"/>
      <c r="M17" s="2075"/>
      <c r="N17" s="2075"/>
      <c r="O17" s="2075"/>
      <c r="P17" s="628"/>
      <c r="Q17" s="217"/>
      <c r="R17" s="217"/>
      <c r="S17" s="358"/>
      <c r="T17" s="358"/>
      <c r="U17" s="358"/>
      <c r="V17" s="358"/>
      <c r="W17" s="358"/>
      <c r="X17" s="358"/>
      <c r="Y17" s="358"/>
      <c r="Z17" s="358"/>
      <c r="AA17" s="358"/>
      <c r="AB17" s="358"/>
      <c r="AC17" s="358"/>
      <c r="AD17" s="358"/>
      <c r="AE17" s="358"/>
      <c r="AF17" s="358"/>
      <c r="AG17" s="359"/>
    </row>
    <row r="18" spans="1:33" ht="16.5" customHeight="1">
      <c r="A18" s="787">
        <v>8</v>
      </c>
      <c r="B18" s="786" t="str">
        <f>+B17</f>
        <v>April</v>
      </c>
      <c r="C18" s="787" t="str">
        <f>+C17</f>
        <v>Year 3</v>
      </c>
      <c r="D18" s="787"/>
      <c r="E18" s="2074" t="s">
        <v>478</v>
      </c>
      <c r="F18" s="2075"/>
      <c r="G18" s="2075"/>
      <c r="H18" s="2075"/>
      <c r="I18" s="2075"/>
      <c r="J18" s="2075"/>
      <c r="K18" s="2075"/>
      <c r="L18" s="2075"/>
      <c r="M18" s="2075"/>
      <c r="N18" s="2075"/>
      <c r="O18" s="2075"/>
      <c r="P18" s="628"/>
      <c r="Q18" s="358"/>
      <c r="R18" s="358"/>
      <c r="S18" s="358"/>
      <c r="T18" s="358"/>
      <c r="U18" s="358"/>
      <c r="V18" s="358"/>
      <c r="W18" s="358"/>
      <c r="X18" s="358"/>
      <c r="Y18" s="358"/>
      <c r="Z18" s="358"/>
      <c r="AA18" s="358"/>
      <c r="AB18" s="358"/>
      <c r="AC18" s="358"/>
      <c r="AD18" s="358"/>
      <c r="AE18" s="358"/>
      <c r="AF18" s="358"/>
      <c r="AG18" s="359"/>
    </row>
    <row r="19" spans="1:33" ht="13.8">
      <c r="A19" s="782">
        <v>9</v>
      </c>
      <c r="B19" s="781" t="str">
        <f>+B12</f>
        <v>May</v>
      </c>
      <c r="C19" s="782" t="str">
        <f>+C18</f>
        <v>Year 3</v>
      </c>
      <c r="D19" s="782"/>
      <c r="E19" s="783" t="s">
        <v>479</v>
      </c>
      <c r="F19" s="359"/>
      <c r="G19" s="359"/>
      <c r="H19" s="359"/>
      <c r="I19" s="359"/>
      <c r="J19" s="359"/>
      <c r="K19" s="359"/>
      <c r="L19" s="359"/>
      <c r="M19" s="359"/>
      <c r="N19" s="359"/>
      <c r="O19" s="359"/>
      <c r="P19" s="359"/>
      <c r="Q19" s="358"/>
      <c r="R19" s="358"/>
      <c r="S19" s="358"/>
      <c r="T19" s="358"/>
      <c r="U19" s="358"/>
      <c r="V19" s="358"/>
      <c r="W19" s="358"/>
      <c r="X19" s="358"/>
      <c r="Y19" s="358"/>
      <c r="Z19" s="358"/>
      <c r="AA19" s="358"/>
      <c r="AB19" s="358"/>
      <c r="AC19" s="358"/>
      <c r="AD19" s="358"/>
      <c r="AE19" s="358"/>
      <c r="AF19" s="358"/>
      <c r="AG19" s="359"/>
    </row>
    <row r="20" spans="1:33" ht="13.8">
      <c r="A20" s="782">
        <v>10</v>
      </c>
      <c r="B20" s="784" t="str">
        <f>+B13</f>
        <v>June</v>
      </c>
      <c r="C20" s="782" t="str">
        <f>+C19</f>
        <v>Year 3</v>
      </c>
      <c r="D20" s="782"/>
      <c r="E20" s="783" t="s">
        <v>480</v>
      </c>
      <c r="F20" s="359"/>
      <c r="G20" s="359"/>
      <c r="H20" s="359"/>
      <c r="I20" s="359"/>
      <c r="J20" s="359"/>
      <c r="K20" s="359"/>
      <c r="L20" s="359"/>
      <c r="M20" s="359"/>
      <c r="N20" s="359"/>
      <c r="O20" s="359"/>
      <c r="P20" s="359"/>
      <c r="Q20" s="358"/>
      <c r="R20" s="358"/>
      <c r="S20" s="358"/>
      <c r="T20" s="358"/>
      <c r="U20" s="358"/>
      <c r="V20" s="358"/>
      <c r="W20" s="358"/>
      <c r="X20" s="358"/>
      <c r="Y20" s="358"/>
      <c r="Z20" s="358"/>
      <c r="AA20" s="358"/>
      <c r="AB20" s="358"/>
      <c r="AC20" s="358"/>
      <c r="AD20" s="358"/>
      <c r="AE20" s="358"/>
      <c r="AF20" s="358"/>
      <c r="AG20" s="359"/>
    </row>
    <row r="21" spans="1:33" ht="13.8">
      <c r="A21" s="782"/>
      <c r="B21" s="784"/>
      <c r="C21" s="781"/>
      <c r="D21" s="781"/>
      <c r="E21" s="783"/>
      <c r="F21" s="359"/>
      <c r="G21" s="359"/>
      <c r="H21" s="359"/>
      <c r="I21" s="359"/>
      <c r="J21" s="359"/>
      <c r="K21" s="359"/>
      <c r="L21" s="359"/>
      <c r="M21" s="359"/>
      <c r="N21" s="359"/>
      <c r="O21" s="359"/>
      <c r="P21" s="359"/>
      <c r="Q21" s="358"/>
      <c r="R21" s="358"/>
      <c r="S21" s="358"/>
      <c r="T21" s="358"/>
      <c r="U21" s="358"/>
      <c r="V21" s="358"/>
      <c r="W21" s="358"/>
      <c r="X21" s="358"/>
      <c r="Y21" s="358"/>
      <c r="Z21" s="358"/>
      <c r="AA21" s="358"/>
      <c r="AB21" s="358"/>
      <c r="AC21" s="358"/>
      <c r="AD21" s="358"/>
      <c r="AE21" s="358"/>
      <c r="AF21" s="358"/>
      <c r="AG21" s="359"/>
    </row>
    <row r="22" spans="1:33" ht="13.8">
      <c r="A22" s="450" t="s">
        <v>791</v>
      </c>
      <c r="B22" s="1162"/>
      <c r="C22" s="1162"/>
      <c r="D22" s="1162"/>
      <c r="E22" s="1163"/>
      <c r="F22" s="374"/>
      <c r="G22" s="374"/>
      <c r="H22" s="2076"/>
      <c r="I22" s="2076"/>
      <c r="J22" s="2076"/>
      <c r="K22" s="2076"/>
      <c r="L22" s="2076"/>
      <c r="M22" s="358"/>
      <c r="N22" s="358"/>
      <c r="O22" s="358"/>
      <c r="P22" s="358"/>
      <c r="Q22" s="358"/>
      <c r="R22" s="358"/>
      <c r="S22" s="358"/>
      <c r="T22" s="358"/>
      <c r="U22" s="358"/>
      <c r="V22" s="358"/>
      <c r="W22" s="358"/>
      <c r="X22" s="358"/>
      <c r="Y22" s="358"/>
      <c r="Z22" s="358"/>
      <c r="AA22" s="358"/>
      <c r="AB22" s="358"/>
      <c r="AC22" s="358"/>
      <c r="AD22" s="358"/>
      <c r="AE22" s="358"/>
      <c r="AF22" s="358"/>
      <c r="AG22" s="359"/>
    </row>
    <row r="23" spans="1:33" ht="13.8">
      <c r="A23" s="450"/>
      <c r="B23" s="451"/>
      <c r="C23" s="357"/>
      <c r="D23" s="357"/>
      <c r="E23" s="361"/>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9"/>
    </row>
    <row r="24" spans="1:33" ht="13.8">
      <c r="A24" s="451">
        <f>+A9</f>
        <v>1</v>
      </c>
      <c r="B24" s="357" t="str">
        <f>+B9</f>
        <v>April</v>
      </c>
      <c r="C24" s="357" t="str">
        <f>+C9</f>
        <v>Year 2</v>
      </c>
      <c r="D24" s="357"/>
      <c r="E24" s="358" t="str">
        <f>+E9</f>
        <v>TO populates the formula with Year 1 data</v>
      </c>
      <c r="F24" s="358"/>
      <c r="G24" s="358"/>
      <c r="H24" s="358"/>
      <c r="I24" s="358"/>
      <c r="J24" s="358"/>
      <c r="K24" s="358"/>
      <c r="L24" s="358"/>
      <c r="M24" s="358"/>
      <c r="N24" s="358"/>
      <c r="O24" s="358"/>
      <c r="P24" s="358"/>
      <c r="Q24" s="358"/>
      <c r="S24" s="358"/>
      <c r="T24" s="358"/>
      <c r="U24" s="358"/>
      <c r="V24" s="358"/>
      <c r="W24" s="358"/>
      <c r="X24" s="358"/>
      <c r="Y24" s="358"/>
      <c r="Z24" s="358"/>
      <c r="AA24" s="358"/>
      <c r="AB24" s="358"/>
      <c r="AC24" s="358"/>
      <c r="AD24" s="358"/>
      <c r="AE24" s="358"/>
      <c r="AF24" s="358"/>
      <c r="AG24" s="359"/>
    </row>
    <row r="25" spans="1:33" ht="13.8">
      <c r="A25" s="451"/>
      <c r="B25" s="357"/>
      <c r="C25" s="357"/>
      <c r="D25" s="357"/>
      <c r="E25" s="560"/>
      <c r="F25" s="358" t="s">
        <v>974</v>
      </c>
      <c r="G25" s="358"/>
      <c r="H25" s="358"/>
      <c r="I25" s="358"/>
      <c r="J25" s="452" t="s">
        <v>226</v>
      </c>
      <c r="K25" s="452"/>
      <c r="L25" s="358"/>
      <c r="M25" s="374"/>
      <c r="N25" s="2"/>
      <c r="O25" s="2"/>
      <c r="P25" s="358"/>
      <c r="Q25" s="358"/>
      <c r="R25" s="358"/>
      <c r="S25" s="358"/>
      <c r="T25" s="358"/>
      <c r="U25" s="358"/>
      <c r="V25" s="358"/>
      <c r="W25" s="358"/>
      <c r="X25" s="358"/>
      <c r="Y25" s="358"/>
      <c r="Z25" s="358"/>
      <c r="AA25" s="358"/>
      <c r="AB25" s="358"/>
      <c r="AC25" s="358"/>
      <c r="AD25" s="358"/>
      <c r="AE25" s="358"/>
      <c r="AF25" s="358"/>
      <c r="AG25" s="359"/>
    </row>
    <row r="26" spans="1:33" ht="13.8">
      <c r="A26" s="451"/>
      <c r="B26" s="357"/>
      <c r="C26" s="357"/>
      <c r="D26" s="357"/>
      <c r="E26" s="358"/>
      <c r="F26" s="358"/>
      <c r="G26" s="358"/>
      <c r="H26" s="358"/>
      <c r="I26" s="358"/>
      <c r="J26" s="358"/>
      <c r="K26" s="358"/>
      <c r="L26" s="358"/>
      <c r="M26" s="358"/>
      <c r="N26" s="358"/>
      <c r="O26" s="358"/>
      <c r="P26" s="358"/>
      <c r="Q26" s="358"/>
      <c r="R26" s="358"/>
      <c r="S26" s="616"/>
      <c r="T26" s="358"/>
      <c r="U26" s="358"/>
      <c r="V26" s="358"/>
      <c r="W26" s="358"/>
      <c r="X26" s="358"/>
      <c r="Y26" s="358"/>
      <c r="Z26" s="358"/>
      <c r="AA26" s="358"/>
      <c r="AB26" s="358"/>
      <c r="AC26" s="358"/>
      <c r="AD26" s="358"/>
      <c r="AE26" s="358"/>
      <c r="AF26" s="358"/>
      <c r="AG26" s="359"/>
    </row>
    <row r="27" spans="1:33" ht="13.8">
      <c r="A27" s="451">
        <f>A10</f>
        <v>2</v>
      </c>
      <c r="B27" s="357" t="str">
        <f>B10</f>
        <v>April</v>
      </c>
      <c r="C27" s="357" t="str">
        <f>C10</f>
        <v>Year 2</v>
      </c>
      <c r="D27" s="1086"/>
      <c r="E27" s="363" t="str">
        <f>+E10</f>
        <v>TO estimates all transmission Cap Adds and CWIP for Year 2 based on each project's cost using the average of 13 monthly balances.  Cap Adds are the projects expected to be in service in Year 2.</v>
      </c>
      <c r="F27" s="358"/>
      <c r="G27" s="358"/>
      <c r="H27" s="358"/>
      <c r="I27" s="358"/>
      <c r="J27" s="358"/>
      <c r="K27" s="358"/>
      <c r="L27" s="358"/>
      <c r="M27" s="358"/>
      <c r="N27" s="358"/>
      <c r="O27" s="358"/>
      <c r="P27" s="358"/>
      <c r="Q27" s="358"/>
      <c r="S27" s="358"/>
      <c r="T27" s="358"/>
      <c r="U27" s="358"/>
      <c r="V27" s="358"/>
      <c r="W27" s="358"/>
      <c r="X27" s="358"/>
      <c r="Y27" s="358"/>
      <c r="Z27" s="358"/>
      <c r="AA27" s="358"/>
      <c r="AB27" s="358"/>
      <c r="AC27" s="358"/>
      <c r="AD27" s="358"/>
      <c r="AE27" s="358"/>
      <c r="AF27" s="358"/>
      <c r="AG27" s="359"/>
    </row>
    <row r="28" spans="1:33" ht="14.4" thickBot="1">
      <c r="A28" s="357"/>
      <c r="B28" s="357"/>
      <c r="C28" s="357"/>
      <c r="D28" s="357"/>
      <c r="E28" s="363"/>
      <c r="F28" s="358"/>
      <c r="G28" s="358"/>
      <c r="H28" s="358"/>
      <c r="I28" s="358"/>
      <c r="J28" s="358"/>
      <c r="Q28" s="358"/>
      <c r="T28" s="355"/>
      <c r="U28" s="355"/>
      <c r="V28" s="355"/>
      <c r="W28" s="355"/>
      <c r="X28" s="2073"/>
      <c r="Y28" s="2073"/>
      <c r="Z28" s="2073"/>
      <c r="AA28" s="2073"/>
      <c r="AB28" s="2073"/>
      <c r="AC28" s="358"/>
      <c r="AD28" s="358"/>
      <c r="AE28" s="358"/>
      <c r="AF28" s="358"/>
      <c r="AG28" s="359"/>
    </row>
    <row r="29" spans="1:33" ht="22.5" customHeight="1" thickBot="1">
      <c r="A29" s="357"/>
      <c r="B29" s="357"/>
      <c r="C29" s="357"/>
      <c r="D29" s="759" t="s">
        <v>432</v>
      </c>
      <c r="E29" s="760" t="s">
        <v>433</v>
      </c>
      <c r="F29" s="760" t="s">
        <v>434</v>
      </c>
      <c r="G29" s="760" t="s">
        <v>435</v>
      </c>
      <c r="H29" s="760" t="s">
        <v>722</v>
      </c>
      <c r="I29" s="760" t="s">
        <v>728</v>
      </c>
      <c r="J29" s="617" t="s">
        <v>544</v>
      </c>
      <c r="K29" s="617" t="s">
        <v>545</v>
      </c>
      <c r="L29" s="1322" t="s">
        <v>347</v>
      </c>
      <c r="M29" s="354"/>
      <c r="N29" s="2077" t="s">
        <v>660</v>
      </c>
      <c r="O29" s="2078"/>
      <c r="P29" s="2078"/>
      <c r="Q29" s="2078"/>
      <c r="R29" s="2078"/>
      <c r="S29" s="2078"/>
      <c r="T29" s="2078"/>
      <c r="U29" s="2078"/>
      <c r="V29" s="2079"/>
      <c r="W29" s="746"/>
      <c r="X29" s="676"/>
      <c r="Y29" s="676"/>
      <c r="Z29" s="676"/>
      <c r="AA29" s="676"/>
      <c r="AB29" s="676"/>
      <c r="AC29" s="358"/>
      <c r="AD29" s="358"/>
      <c r="AE29" s="358"/>
      <c r="AF29" s="358"/>
      <c r="AG29" s="359"/>
    </row>
    <row r="30" spans="1:33" ht="57" customHeight="1" thickBot="1">
      <c r="A30" s="357"/>
      <c r="B30" s="357"/>
      <c r="C30" s="358"/>
      <c r="D30" s="1574"/>
      <c r="E30" s="1575" t="s">
        <v>1219</v>
      </c>
      <c r="F30" s="1575" t="s">
        <v>1220</v>
      </c>
      <c r="G30" s="1575" t="s">
        <v>1239</v>
      </c>
      <c r="H30" s="1575" t="s">
        <v>1224</v>
      </c>
      <c r="I30" s="1575" t="s">
        <v>1249</v>
      </c>
      <c r="J30" s="1575" t="s">
        <v>1251</v>
      </c>
      <c r="K30" s="1246" t="s">
        <v>1048</v>
      </c>
      <c r="L30" s="1576" t="s">
        <v>567</v>
      </c>
      <c r="M30" s="742"/>
      <c r="N30" s="1323" t="s">
        <v>659</v>
      </c>
      <c r="O30" s="1246" t="str">
        <f t="shared" ref="O30:U30" si="0">E30</f>
        <v>Richwood Hill</v>
      </c>
      <c r="P30" s="1246" t="str">
        <f t="shared" si="0"/>
        <v>Erie South</v>
      </c>
      <c r="Q30" s="1246" t="str">
        <f t="shared" si="0"/>
        <v>Joffre Sub</v>
      </c>
      <c r="R30" s="1246" t="str">
        <f t="shared" si="0"/>
        <v>Oak Mound</v>
      </c>
      <c r="S30" s="1246" t="str">
        <f t="shared" si="0"/>
        <v>Damascus Substation</v>
      </c>
      <c r="T30" s="1246" t="str">
        <f t="shared" si="0"/>
        <v>Warren Substation</v>
      </c>
      <c r="U30" s="1246" t="str">
        <f t="shared" si="0"/>
        <v>Kammer</v>
      </c>
      <c r="V30" s="1247" t="s">
        <v>567</v>
      </c>
      <c r="W30" s="742"/>
      <c r="X30" s="742"/>
      <c r="Y30" s="742"/>
      <c r="Z30" s="742"/>
      <c r="AA30" s="742"/>
      <c r="AB30" s="742"/>
      <c r="AC30" s="742"/>
      <c r="AD30" s="358"/>
      <c r="AE30" s="358"/>
      <c r="AF30" s="358"/>
      <c r="AG30" s="359"/>
    </row>
    <row r="31" spans="1:33" ht="14.4" thickBot="1">
      <c r="A31" s="357"/>
      <c r="B31" s="357"/>
      <c r="C31" s="358"/>
      <c r="D31" s="1577"/>
      <c r="E31" s="1246" t="s">
        <v>721</v>
      </c>
      <c r="F31" s="1246" t="s">
        <v>721</v>
      </c>
      <c r="G31" s="1246" t="s">
        <v>721</v>
      </c>
      <c r="H31" s="1246" t="s">
        <v>721</v>
      </c>
      <c r="I31" s="1246" t="s">
        <v>721</v>
      </c>
      <c r="J31" s="1246" t="s">
        <v>721</v>
      </c>
      <c r="K31" s="1246" t="s">
        <v>721</v>
      </c>
      <c r="L31" s="1246" t="s">
        <v>721</v>
      </c>
      <c r="M31" s="742"/>
      <c r="N31" s="1578"/>
      <c r="O31" s="1246" t="s">
        <v>721</v>
      </c>
      <c r="P31" s="1246" t="s">
        <v>721</v>
      </c>
      <c r="Q31" s="1246" t="s">
        <v>721</v>
      </c>
      <c r="R31" s="1246" t="s">
        <v>721</v>
      </c>
      <c r="S31" s="1579" t="s">
        <v>721</v>
      </c>
      <c r="T31" s="1246" t="s">
        <v>721</v>
      </c>
      <c r="U31" s="1246" t="s">
        <v>721</v>
      </c>
      <c r="V31" s="1247" t="s">
        <v>750</v>
      </c>
      <c r="W31" s="742"/>
      <c r="X31" s="742"/>
      <c r="Y31" s="742"/>
      <c r="Z31" s="742"/>
      <c r="AA31" s="742"/>
      <c r="AB31" s="742"/>
      <c r="AC31" s="742"/>
      <c r="AD31" s="358"/>
      <c r="AE31" s="358"/>
      <c r="AF31" s="358"/>
      <c r="AG31" s="359"/>
    </row>
    <row r="32" spans="1:33" ht="40.5" customHeight="1">
      <c r="A32" s="357"/>
      <c r="B32" s="357"/>
      <c r="C32" s="740" t="s">
        <v>123</v>
      </c>
      <c r="D32" s="1580" t="s">
        <v>305</v>
      </c>
      <c r="E32" s="1968">
        <v>0</v>
      </c>
      <c r="F32" s="1968">
        <v>0</v>
      </c>
      <c r="G32" s="1968">
        <v>0</v>
      </c>
      <c r="H32" s="1969">
        <v>0</v>
      </c>
      <c r="I32" s="1789">
        <v>0</v>
      </c>
      <c r="J32" s="1969">
        <v>0</v>
      </c>
      <c r="K32" s="1968">
        <v>0</v>
      </c>
      <c r="L32" s="1970">
        <v>0</v>
      </c>
      <c r="M32" s="1581"/>
      <c r="N32" s="1766"/>
      <c r="O32" s="1582">
        <f t="shared" ref="O32:V32" si="1">E32</f>
        <v>0</v>
      </c>
      <c r="P32" s="1582">
        <f t="shared" si="1"/>
        <v>0</v>
      </c>
      <c r="Q32" s="1582">
        <f t="shared" si="1"/>
        <v>0</v>
      </c>
      <c r="R32" s="1582">
        <f t="shared" si="1"/>
        <v>0</v>
      </c>
      <c r="S32" s="1582">
        <f t="shared" si="1"/>
        <v>0</v>
      </c>
      <c r="T32" s="1582">
        <f t="shared" si="1"/>
        <v>0</v>
      </c>
      <c r="U32" s="1582">
        <f t="shared" si="1"/>
        <v>0</v>
      </c>
      <c r="V32" s="1589">
        <f t="shared" si="1"/>
        <v>0</v>
      </c>
      <c r="W32" s="470"/>
      <c r="X32" s="755"/>
      <c r="Y32" s="755"/>
      <c r="Z32" s="756"/>
      <c r="AA32" s="756"/>
      <c r="AB32" s="756"/>
      <c r="AC32" s="757"/>
      <c r="AE32" s="364"/>
      <c r="AF32" s="358"/>
      <c r="AG32" s="359"/>
    </row>
    <row r="33" spans="1:33" ht="13.8">
      <c r="A33" s="357"/>
      <c r="B33" s="357"/>
      <c r="C33" s="614" t="s">
        <v>1295</v>
      </c>
      <c r="D33" s="1081" t="s">
        <v>305</v>
      </c>
      <c r="E33" s="1789">
        <v>1005.8299999982119</v>
      </c>
      <c r="F33" s="1789"/>
      <c r="G33" s="1789">
        <v>28.600000008940697</v>
      </c>
      <c r="H33" s="1602">
        <v>-3362.2699999958277</v>
      </c>
      <c r="I33" s="1789"/>
      <c r="J33" s="1602"/>
      <c r="K33" s="1789"/>
      <c r="L33" s="1588">
        <v>-812094.50000011921</v>
      </c>
      <c r="M33" s="1583"/>
      <c r="N33" s="465"/>
      <c r="O33" s="1584">
        <f t="shared" ref="O33:V44" si="2">O32+E33</f>
        <v>1005.8299999982119</v>
      </c>
      <c r="P33" s="1584">
        <f t="shared" si="2"/>
        <v>0</v>
      </c>
      <c r="Q33" s="1584">
        <f t="shared" si="2"/>
        <v>28.600000008940697</v>
      </c>
      <c r="R33" s="1584">
        <f t="shared" si="2"/>
        <v>-3362.2699999958277</v>
      </c>
      <c r="S33" s="1584">
        <f t="shared" si="2"/>
        <v>0</v>
      </c>
      <c r="T33" s="1584">
        <f t="shared" si="2"/>
        <v>0</v>
      </c>
      <c r="U33" s="1584">
        <f t="shared" si="2"/>
        <v>0</v>
      </c>
      <c r="V33" s="1590">
        <f t="shared" si="2"/>
        <v>-812094.50000011921</v>
      </c>
      <c r="W33" s="470"/>
      <c r="X33" s="755"/>
      <c r="Y33" s="755"/>
      <c r="Z33" s="756"/>
      <c r="AA33" s="756"/>
      <c r="AB33" s="756"/>
      <c r="AC33" s="757"/>
      <c r="AE33" s="364"/>
      <c r="AF33" s="358"/>
      <c r="AG33" s="359"/>
    </row>
    <row r="34" spans="1:33" ht="13.8">
      <c r="A34" s="357"/>
      <c r="B34" s="357"/>
      <c r="C34" s="358" t="s">
        <v>327</v>
      </c>
      <c r="D34" s="1081" t="s">
        <v>305</v>
      </c>
      <c r="E34" s="1789">
        <v>939.8999999910593</v>
      </c>
      <c r="F34" s="1789">
        <v>211.57000000029802</v>
      </c>
      <c r="G34" s="1789">
        <v>3449.8999999985099</v>
      </c>
      <c r="H34" s="1602">
        <v>28256.729999989271</v>
      </c>
      <c r="I34" s="1789"/>
      <c r="J34" s="1602"/>
      <c r="K34" s="1789"/>
      <c r="L34" s="1588">
        <v>28309.549999833107</v>
      </c>
      <c r="M34" s="1583"/>
      <c r="N34" s="465"/>
      <c r="O34" s="1584">
        <f t="shared" si="2"/>
        <v>1945.7299999892712</v>
      </c>
      <c r="P34" s="1584">
        <f t="shared" si="2"/>
        <v>211.57000000029802</v>
      </c>
      <c r="Q34" s="1584">
        <f t="shared" si="2"/>
        <v>3478.5000000074506</v>
      </c>
      <c r="R34" s="1584">
        <f t="shared" si="2"/>
        <v>24894.459999993443</v>
      </c>
      <c r="S34" s="1584">
        <f t="shared" si="2"/>
        <v>0</v>
      </c>
      <c r="T34" s="1584">
        <f t="shared" si="2"/>
        <v>0</v>
      </c>
      <c r="U34" s="1584">
        <f t="shared" si="2"/>
        <v>0</v>
      </c>
      <c r="V34" s="1590">
        <f t="shared" si="2"/>
        <v>-783784.9500002861</v>
      </c>
      <c r="W34" s="470"/>
      <c r="X34" s="755"/>
      <c r="Y34" s="755"/>
      <c r="Z34" s="756"/>
      <c r="AA34" s="756"/>
      <c r="AB34" s="756"/>
      <c r="AC34" s="757"/>
      <c r="AE34" s="364"/>
      <c r="AF34" s="358"/>
      <c r="AG34" s="359"/>
    </row>
    <row r="35" spans="1:33" ht="13.8">
      <c r="A35" s="357"/>
      <c r="B35" s="357"/>
      <c r="C35" s="358" t="s">
        <v>328</v>
      </c>
      <c r="D35" s="1081" t="s">
        <v>305</v>
      </c>
      <c r="E35" s="1789">
        <v>939.90000000596046</v>
      </c>
      <c r="F35" s="1789">
        <v>84.339999996125698</v>
      </c>
      <c r="G35" s="1789">
        <v>28.600000001490116</v>
      </c>
      <c r="H35" s="1602">
        <v>143936.03000001609</v>
      </c>
      <c r="I35" s="1789"/>
      <c r="J35" s="1602"/>
      <c r="K35" s="1789"/>
      <c r="L35" s="1588">
        <v>14497.339999914169</v>
      </c>
      <c r="M35" s="1583"/>
      <c r="N35" s="465"/>
      <c r="O35" s="1584">
        <f t="shared" si="2"/>
        <v>2885.6299999952316</v>
      </c>
      <c r="P35" s="1584">
        <f t="shared" si="2"/>
        <v>295.90999999642372</v>
      </c>
      <c r="Q35" s="1584">
        <f t="shared" si="2"/>
        <v>3507.1000000089407</v>
      </c>
      <c r="R35" s="1584">
        <f t="shared" si="2"/>
        <v>168830.49000000954</v>
      </c>
      <c r="S35" s="1584">
        <f t="shared" si="2"/>
        <v>0</v>
      </c>
      <c r="T35" s="1584">
        <f t="shared" si="2"/>
        <v>0</v>
      </c>
      <c r="U35" s="1584">
        <f t="shared" si="2"/>
        <v>0</v>
      </c>
      <c r="V35" s="1590">
        <f t="shared" si="2"/>
        <v>-769287.61000037193</v>
      </c>
      <c r="W35" s="470"/>
      <c r="X35" s="755"/>
      <c r="Y35" s="755"/>
      <c r="Z35" s="756"/>
      <c r="AA35" s="756"/>
      <c r="AB35" s="756"/>
      <c r="AC35" s="757"/>
      <c r="AE35" s="364"/>
      <c r="AF35" s="358"/>
      <c r="AG35" s="359"/>
    </row>
    <row r="36" spans="1:33" ht="13.8">
      <c r="A36" s="357"/>
      <c r="B36" s="357"/>
      <c r="C36" s="358" t="s">
        <v>329</v>
      </c>
      <c r="D36" s="1082" t="s">
        <v>305</v>
      </c>
      <c r="E36" s="1789">
        <v>939.90000000596046</v>
      </c>
      <c r="F36" s="1789">
        <v>1002.320000000298</v>
      </c>
      <c r="G36" s="1789">
        <v>889.17999999970198</v>
      </c>
      <c r="H36" s="1602">
        <v>259583.93000000715</v>
      </c>
      <c r="I36" s="1789">
        <v>0</v>
      </c>
      <c r="J36" s="1602">
        <v>0</v>
      </c>
      <c r="K36" s="1789">
        <v>0</v>
      </c>
      <c r="L36" s="1588">
        <v>23185.009999990463</v>
      </c>
      <c r="M36" s="1583"/>
      <c r="N36" s="465"/>
      <c r="O36" s="1584">
        <f t="shared" si="2"/>
        <v>3825.5300000011921</v>
      </c>
      <c r="P36" s="1584">
        <f t="shared" si="2"/>
        <v>1298.2299999967217</v>
      </c>
      <c r="Q36" s="1584">
        <f t="shared" si="2"/>
        <v>4396.2800000086427</v>
      </c>
      <c r="R36" s="1584">
        <f t="shared" si="2"/>
        <v>428414.42000001669</v>
      </c>
      <c r="S36" s="1584">
        <f t="shared" si="2"/>
        <v>0</v>
      </c>
      <c r="T36" s="1584">
        <f t="shared" si="2"/>
        <v>0</v>
      </c>
      <c r="U36" s="1584">
        <f t="shared" si="2"/>
        <v>0</v>
      </c>
      <c r="V36" s="1590">
        <f t="shared" si="2"/>
        <v>-746102.60000038147</v>
      </c>
      <c r="W36" s="470"/>
      <c r="X36" s="755"/>
      <c r="Y36" s="755"/>
      <c r="Z36" s="756"/>
      <c r="AA36" s="756"/>
      <c r="AB36" s="756"/>
      <c r="AC36" s="757"/>
      <c r="AE36" s="364"/>
      <c r="AF36" s="358"/>
      <c r="AG36" s="359"/>
    </row>
    <row r="37" spans="1:33" ht="13.8">
      <c r="A37" s="357"/>
      <c r="B37" s="357"/>
      <c r="C37" s="358" t="s">
        <v>296</v>
      </c>
      <c r="D37" s="1082" t="s">
        <v>306</v>
      </c>
      <c r="E37" s="1789">
        <v>0</v>
      </c>
      <c r="F37" s="1789">
        <v>0</v>
      </c>
      <c r="G37" s="1789">
        <v>0</v>
      </c>
      <c r="H37" s="1602">
        <v>629365.03875000007</v>
      </c>
      <c r="I37" s="1789">
        <v>0</v>
      </c>
      <c r="J37" s="1602">
        <v>0</v>
      </c>
      <c r="K37" s="1789">
        <v>0</v>
      </c>
      <c r="L37" s="1588">
        <v>1680941.1734840849</v>
      </c>
      <c r="M37" s="1583"/>
      <c r="N37" s="465"/>
      <c r="O37" s="1584">
        <f t="shared" si="2"/>
        <v>3825.5300000011921</v>
      </c>
      <c r="P37" s="1584">
        <f t="shared" si="2"/>
        <v>1298.2299999967217</v>
      </c>
      <c r="Q37" s="1584">
        <f t="shared" si="2"/>
        <v>4396.2800000086427</v>
      </c>
      <c r="R37" s="1584">
        <f t="shared" si="2"/>
        <v>1057779.4587500168</v>
      </c>
      <c r="S37" s="1584">
        <f t="shared" si="2"/>
        <v>0</v>
      </c>
      <c r="T37" s="1584">
        <f t="shared" si="2"/>
        <v>0</v>
      </c>
      <c r="U37" s="1584">
        <f t="shared" si="2"/>
        <v>0</v>
      </c>
      <c r="V37" s="1590">
        <f t="shared" si="2"/>
        <v>934838.57348370343</v>
      </c>
      <c r="W37" s="470"/>
      <c r="X37" s="755"/>
      <c r="Y37" s="755"/>
      <c r="Z37" s="756"/>
      <c r="AA37" s="756"/>
      <c r="AB37" s="756"/>
      <c r="AC37" s="757"/>
      <c r="AE37" s="364"/>
      <c r="AF37" s="358"/>
      <c r="AG37" s="359"/>
    </row>
    <row r="38" spans="1:33" ht="13.8">
      <c r="A38" s="357"/>
      <c r="B38" s="357"/>
      <c r="C38" s="358" t="s">
        <v>330</v>
      </c>
      <c r="D38" s="1082" t="s">
        <v>306</v>
      </c>
      <c r="E38" s="1789">
        <v>0</v>
      </c>
      <c r="F38" s="1789">
        <v>0</v>
      </c>
      <c r="G38" s="1789">
        <v>0</v>
      </c>
      <c r="H38" s="1602">
        <v>863547.37874999992</v>
      </c>
      <c r="I38" s="1789">
        <v>0</v>
      </c>
      <c r="J38" s="1971">
        <v>0</v>
      </c>
      <c r="K38" s="1789">
        <v>0</v>
      </c>
      <c r="L38" s="1588">
        <v>283923.11069065239</v>
      </c>
      <c r="M38" s="1583"/>
      <c r="N38" s="465"/>
      <c r="O38" s="1584">
        <f t="shared" si="2"/>
        <v>3825.5300000011921</v>
      </c>
      <c r="P38" s="1584">
        <f t="shared" si="2"/>
        <v>1298.2299999967217</v>
      </c>
      <c r="Q38" s="1584">
        <f t="shared" si="2"/>
        <v>4396.2800000086427</v>
      </c>
      <c r="R38" s="1584">
        <f t="shared" si="2"/>
        <v>1921326.8375000167</v>
      </c>
      <c r="S38" s="1584">
        <f t="shared" si="2"/>
        <v>0</v>
      </c>
      <c r="T38" s="1584">
        <f t="shared" si="2"/>
        <v>0</v>
      </c>
      <c r="U38" s="1584">
        <f t="shared" si="2"/>
        <v>0</v>
      </c>
      <c r="V38" s="1590">
        <f t="shared" si="2"/>
        <v>1218761.6841743558</v>
      </c>
      <c r="W38" s="470"/>
      <c r="X38" s="755"/>
      <c r="Y38" s="755"/>
      <c r="Z38" s="756"/>
      <c r="AA38" s="756"/>
      <c r="AB38" s="756"/>
      <c r="AC38" s="757"/>
      <c r="AE38" s="364"/>
      <c r="AF38" s="358"/>
      <c r="AG38" s="359"/>
    </row>
    <row r="39" spans="1:33" ht="13.8">
      <c r="A39" s="357"/>
      <c r="B39" s="357"/>
      <c r="C39" s="358" t="s">
        <v>331</v>
      </c>
      <c r="D39" s="1082" t="s">
        <v>306</v>
      </c>
      <c r="E39" s="1789">
        <v>0</v>
      </c>
      <c r="F39" s="1789">
        <v>0</v>
      </c>
      <c r="G39" s="1789">
        <v>0</v>
      </c>
      <c r="H39" s="1602">
        <v>863547.37874999992</v>
      </c>
      <c r="I39" s="1789">
        <v>0</v>
      </c>
      <c r="J39" s="1602">
        <v>0</v>
      </c>
      <c r="K39" s="1789">
        <v>0</v>
      </c>
      <c r="L39" s="1588">
        <v>2121.1432951139809</v>
      </c>
      <c r="M39" s="1583"/>
      <c r="N39" s="465"/>
      <c r="O39" s="1584">
        <f t="shared" si="2"/>
        <v>3825.5300000011921</v>
      </c>
      <c r="P39" s="1584">
        <f t="shared" si="2"/>
        <v>1298.2299999967217</v>
      </c>
      <c r="Q39" s="1584">
        <f t="shared" si="2"/>
        <v>4396.2800000086427</v>
      </c>
      <c r="R39" s="1584">
        <f t="shared" si="2"/>
        <v>2784874.2162500164</v>
      </c>
      <c r="S39" s="1584">
        <f t="shared" si="2"/>
        <v>0</v>
      </c>
      <c r="T39" s="1584">
        <f t="shared" si="2"/>
        <v>0</v>
      </c>
      <c r="U39" s="1584">
        <f t="shared" si="2"/>
        <v>0</v>
      </c>
      <c r="V39" s="1590">
        <f t="shared" si="2"/>
        <v>1220882.8274694697</v>
      </c>
      <c r="W39" s="470"/>
      <c r="X39" s="755"/>
      <c r="Y39" s="755"/>
      <c r="Z39" s="756"/>
      <c r="AA39" s="756"/>
      <c r="AB39" s="756"/>
      <c r="AC39" s="757"/>
      <c r="AE39" s="364"/>
      <c r="AF39" s="358"/>
      <c r="AG39" s="359"/>
    </row>
    <row r="40" spans="1:33" ht="13.8">
      <c r="A40" s="357"/>
      <c r="B40" s="357"/>
      <c r="C40" s="358" t="s">
        <v>332</v>
      </c>
      <c r="D40" s="1082" t="s">
        <v>306</v>
      </c>
      <c r="E40" s="1789">
        <v>0</v>
      </c>
      <c r="F40" s="1789">
        <v>0</v>
      </c>
      <c r="G40" s="1789">
        <v>0</v>
      </c>
      <c r="H40" s="1602">
        <v>585455.85</v>
      </c>
      <c r="I40" s="1789">
        <v>0</v>
      </c>
      <c r="J40" s="1602">
        <v>0</v>
      </c>
      <c r="K40" s="1789">
        <v>0</v>
      </c>
      <c r="L40" s="1588">
        <v>11.193176041829966</v>
      </c>
      <c r="M40" s="1583"/>
      <c r="N40" s="465"/>
      <c r="O40" s="1584">
        <f t="shared" si="2"/>
        <v>3825.5300000011921</v>
      </c>
      <c r="P40" s="1584">
        <f t="shared" si="2"/>
        <v>1298.2299999967217</v>
      </c>
      <c r="Q40" s="1584">
        <f t="shared" si="2"/>
        <v>4396.2800000086427</v>
      </c>
      <c r="R40" s="1584">
        <f t="shared" si="2"/>
        <v>3370330.0662500164</v>
      </c>
      <c r="S40" s="1584">
        <f t="shared" si="2"/>
        <v>0</v>
      </c>
      <c r="T40" s="1584">
        <f t="shared" si="2"/>
        <v>0</v>
      </c>
      <c r="U40" s="1584">
        <f t="shared" si="2"/>
        <v>0</v>
      </c>
      <c r="V40" s="1590">
        <f t="shared" si="2"/>
        <v>1220894.0206455116</v>
      </c>
      <c r="W40" s="470"/>
      <c r="X40" s="755"/>
      <c r="Y40" s="755"/>
      <c r="Z40" s="756"/>
      <c r="AA40" s="756"/>
      <c r="AB40" s="756"/>
      <c r="AC40" s="757"/>
      <c r="AE40" s="364"/>
      <c r="AF40" s="358"/>
      <c r="AG40" s="359"/>
    </row>
    <row r="41" spans="1:33" ht="13.8">
      <c r="A41" s="357"/>
      <c r="B41" s="357"/>
      <c r="C41" s="358" t="s">
        <v>333</v>
      </c>
      <c r="D41" s="1082" t="s">
        <v>306</v>
      </c>
      <c r="E41" s="1789">
        <v>0</v>
      </c>
      <c r="F41" s="1789">
        <v>0</v>
      </c>
      <c r="G41" s="1789">
        <v>0</v>
      </c>
      <c r="H41" s="1602">
        <v>526910.26500000001</v>
      </c>
      <c r="I41" s="1789">
        <v>0</v>
      </c>
      <c r="J41" s="1602">
        <v>0</v>
      </c>
      <c r="K41" s="1789">
        <v>0</v>
      </c>
      <c r="L41" s="1588">
        <v>3.7748521675491693</v>
      </c>
      <c r="M41" s="1583"/>
      <c r="N41" s="465"/>
      <c r="O41" s="1584">
        <f t="shared" si="2"/>
        <v>3825.5300000011921</v>
      </c>
      <c r="P41" s="1584">
        <f t="shared" si="2"/>
        <v>1298.2299999967217</v>
      </c>
      <c r="Q41" s="1584">
        <f t="shared" si="2"/>
        <v>4396.2800000086427</v>
      </c>
      <c r="R41" s="1584">
        <f t="shared" si="2"/>
        <v>3897240.3312500166</v>
      </c>
      <c r="S41" s="1584">
        <f t="shared" si="2"/>
        <v>0</v>
      </c>
      <c r="T41" s="1584">
        <f t="shared" si="2"/>
        <v>0</v>
      </c>
      <c r="U41" s="1584">
        <f t="shared" si="2"/>
        <v>0</v>
      </c>
      <c r="V41" s="1590">
        <f t="shared" si="2"/>
        <v>1220897.7954976792</v>
      </c>
      <c r="W41" s="470"/>
      <c r="X41" s="755"/>
      <c r="Y41" s="755"/>
      <c r="Z41" s="756"/>
      <c r="AA41" s="756"/>
      <c r="AB41" s="756"/>
      <c r="AC41" s="757"/>
      <c r="AE41" s="364"/>
      <c r="AF41" s="358"/>
      <c r="AG41" s="359"/>
    </row>
    <row r="42" spans="1:33" ht="13.8">
      <c r="A42" s="357"/>
      <c r="B42" s="357"/>
      <c r="C42" s="358" t="s">
        <v>334</v>
      </c>
      <c r="D42" s="1082" t="s">
        <v>306</v>
      </c>
      <c r="E42" s="1789">
        <v>0</v>
      </c>
      <c r="F42" s="1789">
        <v>0</v>
      </c>
      <c r="G42" s="1789">
        <v>0</v>
      </c>
      <c r="H42" s="1602">
        <v>0</v>
      </c>
      <c r="I42" s="1789">
        <v>0</v>
      </c>
      <c r="J42" s="1602">
        <v>0</v>
      </c>
      <c r="K42" s="1789">
        <v>0</v>
      </c>
      <c r="L42" s="1588">
        <v>3.3007055773387708E-2</v>
      </c>
      <c r="M42" s="1583"/>
      <c r="N42" s="465"/>
      <c r="O42" s="1584">
        <f t="shared" si="2"/>
        <v>3825.5300000011921</v>
      </c>
      <c r="P42" s="1584">
        <f t="shared" si="2"/>
        <v>1298.2299999967217</v>
      </c>
      <c r="Q42" s="1584">
        <f t="shared" si="2"/>
        <v>4396.2800000086427</v>
      </c>
      <c r="R42" s="1584">
        <f t="shared" si="2"/>
        <v>3897240.3312500166</v>
      </c>
      <c r="S42" s="1584">
        <f t="shared" si="2"/>
        <v>0</v>
      </c>
      <c r="T42" s="1584">
        <f t="shared" si="2"/>
        <v>0</v>
      </c>
      <c r="U42" s="1584">
        <f t="shared" si="2"/>
        <v>0</v>
      </c>
      <c r="V42" s="1590">
        <f t="shared" si="2"/>
        <v>1220897.8285047349</v>
      </c>
      <c r="W42" s="470"/>
      <c r="X42" s="755"/>
      <c r="Y42" s="755"/>
      <c r="Z42" s="756"/>
      <c r="AA42" s="756"/>
      <c r="AB42" s="756"/>
      <c r="AC42" s="757"/>
      <c r="AE42" s="364"/>
      <c r="AF42" s="358"/>
      <c r="AG42" s="359"/>
    </row>
    <row r="43" spans="1:33" ht="13.8">
      <c r="A43" s="357"/>
      <c r="B43" s="357"/>
      <c r="C43" s="358" t="s">
        <v>335</v>
      </c>
      <c r="D43" s="1082" t="s">
        <v>306</v>
      </c>
      <c r="E43" s="1789">
        <v>0</v>
      </c>
      <c r="F43" s="1789">
        <v>0</v>
      </c>
      <c r="G43" s="1789">
        <v>0</v>
      </c>
      <c r="H43" s="1602">
        <v>0</v>
      </c>
      <c r="I43" s="1789">
        <v>0</v>
      </c>
      <c r="J43" s="1602">
        <v>0</v>
      </c>
      <c r="K43" s="1789">
        <v>0</v>
      </c>
      <c r="L43" s="1588">
        <v>6.763938356470523E-3</v>
      </c>
      <c r="M43" s="1583"/>
      <c r="N43" s="465"/>
      <c r="O43" s="1584">
        <f t="shared" si="2"/>
        <v>3825.5300000011921</v>
      </c>
      <c r="P43" s="1584">
        <f t="shared" si="2"/>
        <v>1298.2299999967217</v>
      </c>
      <c r="Q43" s="1584">
        <f>Q42+G43</f>
        <v>4396.2800000086427</v>
      </c>
      <c r="R43" s="1584">
        <f t="shared" si="2"/>
        <v>3897240.3312500166</v>
      </c>
      <c r="S43" s="1584">
        <f t="shared" si="2"/>
        <v>0</v>
      </c>
      <c r="T43" s="1584">
        <f t="shared" si="2"/>
        <v>0</v>
      </c>
      <c r="U43" s="1584">
        <f t="shared" si="2"/>
        <v>0</v>
      </c>
      <c r="V43" s="1590">
        <f t="shared" si="2"/>
        <v>1220897.8352686733</v>
      </c>
      <c r="W43" s="470"/>
      <c r="X43" s="755"/>
      <c r="Y43" s="755"/>
      <c r="Z43" s="756"/>
      <c r="AA43" s="355"/>
      <c r="AB43" s="756"/>
      <c r="AC43" s="757"/>
      <c r="AE43" s="364"/>
      <c r="AF43" s="358"/>
      <c r="AG43" s="359"/>
    </row>
    <row r="44" spans="1:33" ht="14.4" thickBot="1">
      <c r="A44" s="357"/>
      <c r="B44" s="357"/>
      <c r="C44" s="358" t="s">
        <v>336</v>
      </c>
      <c r="D44" s="764" t="s">
        <v>306</v>
      </c>
      <c r="E44" s="1793">
        <v>0</v>
      </c>
      <c r="F44" s="1793">
        <v>0</v>
      </c>
      <c r="G44" s="1793">
        <v>0</v>
      </c>
      <c r="H44" s="1972">
        <v>0</v>
      </c>
      <c r="I44" s="1793">
        <v>0</v>
      </c>
      <c r="J44" s="1972">
        <v>0</v>
      </c>
      <c r="K44" s="1793">
        <v>0</v>
      </c>
      <c r="L44" s="1591">
        <v>8.195011018039237E-5</v>
      </c>
      <c r="M44" s="1583"/>
      <c r="N44" s="1767"/>
      <c r="O44" s="1585">
        <f t="shared" si="2"/>
        <v>3825.5300000011921</v>
      </c>
      <c r="P44" s="1585">
        <f t="shared" si="2"/>
        <v>1298.2299999967217</v>
      </c>
      <c r="Q44" s="1585">
        <f>Q43+G44</f>
        <v>4396.2800000086427</v>
      </c>
      <c r="R44" s="1585">
        <f t="shared" si="2"/>
        <v>3897240.3312500166</v>
      </c>
      <c r="S44" s="1585">
        <f t="shared" si="2"/>
        <v>0</v>
      </c>
      <c r="T44" s="1585">
        <f t="shared" si="2"/>
        <v>0</v>
      </c>
      <c r="U44" s="1585">
        <f t="shared" si="2"/>
        <v>0</v>
      </c>
      <c r="V44" s="1592">
        <f t="shared" si="2"/>
        <v>1220897.8353506234</v>
      </c>
      <c r="W44" s="470"/>
      <c r="X44" s="755"/>
      <c r="Y44" s="755"/>
      <c r="Z44" s="756"/>
      <c r="AA44" s="355"/>
      <c r="AB44" s="756"/>
      <c r="AC44" s="757"/>
      <c r="AE44" s="364"/>
      <c r="AF44" s="358"/>
      <c r="AG44" s="359"/>
    </row>
    <row r="45" spans="1:33" ht="13.8">
      <c r="A45" s="357"/>
      <c r="B45" s="357"/>
      <c r="C45" s="358" t="s">
        <v>603</v>
      </c>
      <c r="D45" s="376" t="s">
        <v>525</v>
      </c>
      <c r="E45" s="1364">
        <f>SUM(E32:E44)</f>
        <v>3825.5300000011921</v>
      </c>
      <c r="F45" s="1364">
        <f t="shared" ref="F45:K45" si="3">SUM(F32:F44)</f>
        <v>1298.2299999967217</v>
      </c>
      <c r="G45" s="1364">
        <f t="shared" si="3"/>
        <v>4396.2800000086427</v>
      </c>
      <c r="H45" s="1364">
        <f t="shared" si="3"/>
        <v>3897240.3312500166</v>
      </c>
      <c r="I45" s="1364">
        <f t="shared" si="3"/>
        <v>0</v>
      </c>
      <c r="J45" s="1364">
        <f t="shared" si="3"/>
        <v>0</v>
      </c>
      <c r="K45" s="1364">
        <f t="shared" si="3"/>
        <v>0</v>
      </c>
      <c r="L45" s="1364">
        <f>SUM(L32:L44)</f>
        <v>1220897.8353506234</v>
      </c>
      <c r="M45" s="1587"/>
      <c r="O45" s="1326">
        <f t="shared" ref="O45:V45" si="4">SUM(O32:O44)</f>
        <v>40266.959999993443</v>
      </c>
      <c r="P45" s="1326">
        <f t="shared" si="4"/>
        <v>12191.549999967217</v>
      </c>
      <c r="Q45" s="1326">
        <f t="shared" si="4"/>
        <v>46580.720000103116</v>
      </c>
      <c r="R45" s="1326">
        <f t="shared" si="4"/>
        <v>25342049.003750153</v>
      </c>
      <c r="S45" s="1326">
        <f t="shared" si="4"/>
        <v>0</v>
      </c>
      <c r="T45" s="1326">
        <f t="shared" si="4"/>
        <v>0</v>
      </c>
      <c r="U45" s="1326">
        <f t="shared" si="4"/>
        <v>0</v>
      </c>
      <c r="V45" s="1326">
        <f t="shared" si="4"/>
        <v>6367698.740393593</v>
      </c>
      <c r="W45" s="1326"/>
      <c r="X45" s="755"/>
      <c r="Y45" s="755"/>
      <c r="Z45" s="755"/>
      <c r="AA45" s="675"/>
      <c r="AB45" s="676"/>
      <c r="AC45" s="755"/>
      <c r="AD45" s="364"/>
      <c r="AE45" s="364"/>
      <c r="AF45" s="358"/>
      <c r="AG45" s="359"/>
    </row>
    <row r="46" spans="1:33" ht="13.8">
      <c r="A46" s="357"/>
      <c r="B46" s="357"/>
      <c r="C46" s="358"/>
      <c r="E46" s="445"/>
      <c r="F46" s="445"/>
      <c r="G46" s="364"/>
      <c r="H46" s="364"/>
      <c r="I46" s="364"/>
      <c r="J46" s="364" t="s">
        <v>525</v>
      </c>
      <c r="K46" s="364"/>
      <c r="M46" s="2"/>
      <c r="N46" s="757"/>
      <c r="O46" s="757">
        <f t="shared" ref="O46:V46" si="5">O45/13</f>
        <v>3097.4584615379572</v>
      </c>
      <c r="P46" s="757">
        <f t="shared" si="5"/>
        <v>937.81153845901667</v>
      </c>
      <c r="Q46" s="757">
        <f>Q45/13</f>
        <v>3583.1323077002398</v>
      </c>
      <c r="R46" s="757">
        <f t="shared" si="5"/>
        <v>1949388.384903858</v>
      </c>
      <c r="S46" s="757">
        <f t="shared" si="5"/>
        <v>0</v>
      </c>
      <c r="T46" s="757">
        <f t="shared" si="5"/>
        <v>0</v>
      </c>
      <c r="U46" s="757">
        <f t="shared" si="5"/>
        <v>0</v>
      </c>
      <c r="V46" s="757">
        <f t="shared" si="5"/>
        <v>489822.98003027641</v>
      </c>
      <c r="W46" s="757"/>
      <c r="X46" s="743"/>
      <c r="Y46" s="743"/>
      <c r="Z46" s="743"/>
      <c r="AA46" s="355"/>
      <c r="AB46" s="676"/>
      <c r="AC46" s="676"/>
      <c r="AD46" s="358"/>
      <c r="AE46" s="358"/>
      <c r="AF46" s="358"/>
      <c r="AG46" s="359"/>
    </row>
    <row r="47" spans="1:33" ht="13.8">
      <c r="A47" s="357"/>
      <c r="B47" s="357"/>
      <c r="C47" s="358"/>
      <c r="D47" s="358"/>
      <c r="F47" s="364"/>
      <c r="G47" s="364"/>
      <c r="H47" s="1962"/>
      <c r="I47" s="364"/>
      <c r="J47" s="364"/>
      <c r="M47" s="2"/>
      <c r="N47" s="1848" t="s">
        <v>661</v>
      </c>
      <c r="O47" s="1848" t="s">
        <v>661</v>
      </c>
      <c r="P47" s="1848" t="s">
        <v>661</v>
      </c>
      <c r="Q47" s="1848" t="s">
        <v>661</v>
      </c>
      <c r="R47" s="1848"/>
      <c r="S47" s="1848"/>
      <c r="T47" s="1848" t="s">
        <v>227</v>
      </c>
      <c r="U47" s="676"/>
      <c r="V47" s="755"/>
      <c r="W47" s="743"/>
      <c r="X47" s="743"/>
      <c r="Y47" s="676"/>
      <c r="Z47" s="676"/>
      <c r="AA47" s="755"/>
      <c r="AB47" s="676"/>
      <c r="AC47" s="358"/>
      <c r="AD47" s="358"/>
      <c r="AE47" s="358"/>
      <c r="AF47" s="358"/>
      <c r="AG47" s="359"/>
    </row>
    <row r="48" spans="1:33" ht="14.4" thickBot="1">
      <c r="A48" s="357"/>
      <c r="B48" s="357"/>
      <c r="C48" s="358"/>
      <c r="D48" s="358"/>
      <c r="F48" s="364"/>
      <c r="G48" s="364"/>
      <c r="H48" s="1962"/>
      <c r="I48" s="364"/>
      <c r="J48" s="364"/>
      <c r="M48" s="2"/>
      <c r="N48" s="1848"/>
      <c r="O48" s="1848"/>
      <c r="P48" s="1848"/>
      <c r="Q48" s="1848"/>
      <c r="R48" s="1848"/>
      <c r="S48" s="1848"/>
      <c r="T48" s="1848"/>
      <c r="U48" s="676"/>
      <c r="V48" s="755"/>
      <c r="W48" s="743"/>
      <c r="X48" s="743"/>
      <c r="Y48" s="676"/>
      <c r="Z48" s="676"/>
      <c r="AA48" s="755"/>
      <c r="AB48" s="676"/>
      <c r="AC48" s="358"/>
      <c r="AD48" s="358"/>
      <c r="AE48" s="358"/>
      <c r="AF48" s="358"/>
      <c r="AG48" s="359"/>
    </row>
    <row r="49" spans="1:33" ht="14.4" thickBot="1">
      <c r="A49" s="357"/>
      <c r="B49" s="357"/>
      <c r="C49" s="357"/>
      <c r="D49" s="1578" t="s">
        <v>432</v>
      </c>
      <c r="E49" s="1846" t="s">
        <v>433</v>
      </c>
      <c r="F49" s="1846" t="s">
        <v>434</v>
      </c>
      <c r="G49" s="1846" t="s">
        <v>435</v>
      </c>
      <c r="H49" s="1846" t="s">
        <v>722</v>
      </c>
      <c r="I49" s="1846" t="s">
        <v>728</v>
      </c>
      <c r="J49" s="1826" t="s">
        <v>544</v>
      </c>
      <c r="K49" s="1826" t="s">
        <v>545</v>
      </c>
      <c r="L49" s="1847" t="s">
        <v>347</v>
      </c>
      <c r="M49" s="354"/>
      <c r="N49" s="2077" t="s">
        <v>660</v>
      </c>
      <c r="O49" s="2078"/>
      <c r="P49" s="2078"/>
      <c r="Q49" s="2078"/>
      <c r="R49" s="2078"/>
      <c r="S49" s="2078"/>
      <c r="T49" s="2078"/>
      <c r="U49" s="2078"/>
      <c r="V49" s="2079"/>
      <c r="W49" s="743"/>
      <c r="X49" s="743"/>
      <c r="Y49" s="676"/>
      <c r="Z49" s="676"/>
      <c r="AA49" s="755"/>
      <c r="AB49" s="676"/>
      <c r="AC49" s="358"/>
      <c r="AD49" s="358"/>
      <c r="AE49" s="358"/>
      <c r="AF49" s="358"/>
      <c r="AG49" s="359"/>
    </row>
    <row r="50" spans="1:33" ht="27" thickBot="1">
      <c r="A50" s="357"/>
      <c r="B50" s="357"/>
      <c r="C50" s="358"/>
      <c r="D50" s="1323"/>
      <c r="E50" s="1575"/>
      <c r="F50" s="1575" t="s">
        <v>1134</v>
      </c>
      <c r="G50" s="1575" t="s">
        <v>753</v>
      </c>
      <c r="H50" s="1575"/>
      <c r="I50" s="1575"/>
      <c r="J50" s="1575"/>
      <c r="K50" s="1575"/>
      <c r="L50" s="1576" t="s">
        <v>1297</v>
      </c>
      <c r="M50" s="742"/>
      <c r="N50" s="1323" t="s">
        <v>659</v>
      </c>
      <c r="O50" s="1246">
        <f t="shared" ref="O50:V50" si="6">E50</f>
        <v>0</v>
      </c>
      <c r="P50" s="1246" t="str">
        <f t="shared" si="6"/>
        <v>502 Jct Substation</v>
      </c>
      <c r="Q50" s="1246" t="str">
        <f t="shared" si="6"/>
        <v>Black Oak</v>
      </c>
      <c r="R50" s="1246">
        <f t="shared" si="6"/>
        <v>0</v>
      </c>
      <c r="S50" s="1246">
        <f>I50</f>
        <v>0</v>
      </c>
      <c r="T50" s="1246">
        <f>J50</f>
        <v>0</v>
      </c>
      <c r="U50" s="1246">
        <f t="shared" si="6"/>
        <v>0</v>
      </c>
      <c r="V50" s="1246" t="str">
        <f t="shared" si="6"/>
        <v>Wylie Ridge</v>
      </c>
      <c r="W50" s="743"/>
      <c r="X50" s="743"/>
      <c r="Y50" s="676"/>
      <c r="Z50" s="676"/>
      <c r="AA50" s="755"/>
      <c r="AB50" s="676"/>
      <c r="AC50" s="358"/>
      <c r="AD50" s="358"/>
      <c r="AE50" s="358"/>
      <c r="AF50" s="358"/>
      <c r="AG50" s="359"/>
    </row>
    <row r="51" spans="1:33" ht="14.4" thickBot="1">
      <c r="A51" s="357"/>
      <c r="B51" s="357"/>
      <c r="C51" s="358"/>
      <c r="D51" s="1577"/>
      <c r="E51" s="1246" t="s">
        <v>721</v>
      </c>
      <c r="F51" s="1246" t="s">
        <v>721</v>
      </c>
      <c r="G51" s="1246" t="s">
        <v>721</v>
      </c>
      <c r="H51" s="1246" t="s">
        <v>721</v>
      </c>
      <c r="I51" s="1246" t="s">
        <v>721</v>
      </c>
      <c r="J51" s="1246" t="s">
        <v>721</v>
      </c>
      <c r="K51" s="1246" t="s">
        <v>721</v>
      </c>
      <c r="L51" s="1247" t="s">
        <v>721</v>
      </c>
      <c r="M51" s="742"/>
      <c r="N51" s="1773"/>
      <c r="O51" s="1246" t="s">
        <v>721</v>
      </c>
      <c r="P51" s="1246" t="s">
        <v>721</v>
      </c>
      <c r="Q51" s="1246" t="s">
        <v>721</v>
      </c>
      <c r="R51" s="1246" t="s">
        <v>721</v>
      </c>
      <c r="S51" s="1246" t="s">
        <v>721</v>
      </c>
      <c r="T51" s="1246" t="s">
        <v>721</v>
      </c>
      <c r="U51" s="1246" t="s">
        <v>721</v>
      </c>
      <c r="V51" s="1246" t="s">
        <v>721</v>
      </c>
      <c r="W51" s="743"/>
      <c r="X51" s="743"/>
      <c r="Y51" s="676"/>
      <c r="Z51" s="676"/>
      <c r="AA51" s="755"/>
      <c r="AB51" s="676"/>
      <c r="AC51" s="358"/>
      <c r="AD51" s="358"/>
      <c r="AE51" s="358"/>
      <c r="AF51" s="358"/>
      <c r="AG51" s="359"/>
    </row>
    <row r="52" spans="1:33" ht="21.6">
      <c r="A52" s="357"/>
      <c r="B52" s="357"/>
      <c r="C52" s="740" t="s">
        <v>123</v>
      </c>
      <c r="D52" s="1081" t="s">
        <v>305</v>
      </c>
      <c r="E52" s="1789"/>
      <c r="F52" s="1969"/>
      <c r="G52" s="1789"/>
      <c r="H52" s="1789"/>
      <c r="I52" s="1789"/>
      <c r="J52" s="1789"/>
      <c r="K52" s="1789"/>
      <c r="L52" s="1588"/>
      <c r="M52" s="1581"/>
      <c r="N52" s="1766"/>
      <c r="O52" s="1582">
        <f t="shared" ref="O52:V52" si="7">E52</f>
        <v>0</v>
      </c>
      <c r="P52" s="1582">
        <f t="shared" si="7"/>
        <v>0</v>
      </c>
      <c r="Q52" s="1582">
        <f t="shared" si="7"/>
        <v>0</v>
      </c>
      <c r="R52" s="1582">
        <f t="shared" si="7"/>
        <v>0</v>
      </c>
      <c r="S52" s="1582">
        <f t="shared" si="7"/>
        <v>0</v>
      </c>
      <c r="T52" s="1582">
        <f t="shared" si="7"/>
        <v>0</v>
      </c>
      <c r="U52" s="1582">
        <f t="shared" si="7"/>
        <v>0</v>
      </c>
      <c r="V52" s="1589">
        <f t="shared" si="7"/>
        <v>0</v>
      </c>
      <c r="W52" s="743"/>
      <c r="X52" s="743"/>
      <c r="Y52" s="676"/>
      <c r="Z52" s="676"/>
      <c r="AA52" s="755"/>
      <c r="AB52" s="676"/>
      <c r="AC52" s="358"/>
      <c r="AD52" s="358"/>
      <c r="AE52" s="358"/>
      <c r="AF52" s="358"/>
      <c r="AG52" s="359"/>
    </row>
    <row r="53" spans="1:33" ht="13.8">
      <c r="A53" s="357"/>
      <c r="B53" s="357"/>
      <c r="C53" s="614" t="s">
        <v>1295</v>
      </c>
      <c r="D53" s="1081" t="s">
        <v>305</v>
      </c>
      <c r="E53" s="1789"/>
      <c r="F53" s="1602">
        <v>58243.169999998063</v>
      </c>
      <c r="G53" s="1789">
        <v>591.42000000178814</v>
      </c>
      <c r="H53" s="1789"/>
      <c r="I53" s="1789"/>
      <c r="J53" s="1789"/>
      <c r="K53" s="1789"/>
      <c r="L53" s="1588"/>
      <c r="M53" s="1583"/>
      <c r="N53" s="465"/>
      <c r="O53" s="1584">
        <f t="shared" ref="O53:V64" si="8">O52+E53</f>
        <v>0</v>
      </c>
      <c r="P53" s="1584">
        <f t="shared" si="8"/>
        <v>58243.169999998063</v>
      </c>
      <c r="Q53" s="1584">
        <f t="shared" si="8"/>
        <v>591.42000000178814</v>
      </c>
      <c r="R53" s="1584">
        <f t="shared" si="8"/>
        <v>0</v>
      </c>
      <c r="S53" s="1584">
        <f t="shared" si="8"/>
        <v>0</v>
      </c>
      <c r="T53" s="1584">
        <f t="shared" si="8"/>
        <v>0</v>
      </c>
      <c r="U53" s="1584">
        <f t="shared" si="8"/>
        <v>0</v>
      </c>
      <c r="V53" s="1590">
        <f t="shared" si="8"/>
        <v>0</v>
      </c>
      <c r="W53" s="743"/>
      <c r="X53" s="743"/>
      <c r="Y53" s="676"/>
      <c r="Z53" s="676"/>
      <c r="AA53" s="755"/>
      <c r="AB53" s="676"/>
      <c r="AC53" s="358"/>
      <c r="AD53" s="358"/>
      <c r="AE53" s="358"/>
      <c r="AF53" s="358"/>
      <c r="AG53" s="359"/>
    </row>
    <row r="54" spans="1:33" ht="13.8">
      <c r="A54" s="357"/>
      <c r="B54" s="357"/>
      <c r="C54" s="358" t="s">
        <v>327</v>
      </c>
      <c r="D54" s="1081" t="s">
        <v>305</v>
      </c>
      <c r="E54" s="1789"/>
      <c r="F54" s="1602">
        <v>115251.42000000179</v>
      </c>
      <c r="G54" s="1789"/>
      <c r="H54" s="1789"/>
      <c r="I54" s="1789"/>
      <c r="J54" s="1789"/>
      <c r="K54" s="1789"/>
      <c r="L54" s="1588"/>
      <c r="M54" s="1583"/>
      <c r="N54" s="465"/>
      <c r="O54" s="1584">
        <f t="shared" si="8"/>
        <v>0</v>
      </c>
      <c r="P54" s="1584">
        <f t="shared" si="8"/>
        <v>173494.58999999985</v>
      </c>
      <c r="Q54" s="1584">
        <f t="shared" si="8"/>
        <v>591.42000000178814</v>
      </c>
      <c r="R54" s="1584">
        <f t="shared" si="8"/>
        <v>0</v>
      </c>
      <c r="S54" s="1584">
        <f t="shared" si="8"/>
        <v>0</v>
      </c>
      <c r="T54" s="1584">
        <f t="shared" si="8"/>
        <v>0</v>
      </c>
      <c r="U54" s="1584">
        <f t="shared" si="8"/>
        <v>0</v>
      </c>
      <c r="V54" s="1590">
        <f t="shared" si="8"/>
        <v>0</v>
      </c>
      <c r="W54" s="743"/>
      <c r="X54" s="743"/>
      <c r="Y54" s="676"/>
      <c r="Z54" s="676"/>
      <c r="AA54" s="755"/>
      <c r="AB54" s="676"/>
      <c r="AC54" s="358"/>
      <c r="AD54" s="358"/>
      <c r="AE54" s="358"/>
      <c r="AF54" s="358"/>
      <c r="AG54" s="359"/>
    </row>
    <row r="55" spans="1:33" ht="13.8">
      <c r="A55" s="357"/>
      <c r="B55" s="357"/>
      <c r="C55" s="358" t="s">
        <v>328</v>
      </c>
      <c r="D55" s="1081" t="s">
        <v>305</v>
      </c>
      <c r="E55" s="1789"/>
      <c r="F55" s="1602">
        <v>9108.3799999989569</v>
      </c>
      <c r="G55" s="1789"/>
      <c r="H55" s="1789"/>
      <c r="I55" s="1789"/>
      <c r="J55" s="1789"/>
      <c r="K55" s="1789"/>
      <c r="L55" s="1588"/>
      <c r="M55" s="1583"/>
      <c r="N55" s="465"/>
      <c r="O55" s="1584">
        <f t="shared" si="8"/>
        <v>0</v>
      </c>
      <c r="P55" s="1584">
        <f t="shared" si="8"/>
        <v>182602.96999999881</v>
      </c>
      <c r="Q55" s="1584">
        <f t="shared" si="8"/>
        <v>591.42000000178814</v>
      </c>
      <c r="R55" s="1584">
        <f t="shared" si="8"/>
        <v>0</v>
      </c>
      <c r="S55" s="1584">
        <f t="shared" si="8"/>
        <v>0</v>
      </c>
      <c r="T55" s="1584">
        <f t="shared" si="8"/>
        <v>0</v>
      </c>
      <c r="U55" s="1584">
        <f t="shared" si="8"/>
        <v>0</v>
      </c>
      <c r="V55" s="1590">
        <f t="shared" si="8"/>
        <v>0</v>
      </c>
      <c r="W55" s="743"/>
      <c r="X55" s="743"/>
      <c r="Y55" s="676"/>
      <c r="Z55" s="676"/>
      <c r="AA55" s="755"/>
      <c r="AB55" s="676"/>
      <c r="AC55" s="358"/>
      <c r="AD55" s="358"/>
      <c r="AE55" s="358"/>
      <c r="AF55" s="358"/>
      <c r="AG55" s="359"/>
    </row>
    <row r="56" spans="1:33" ht="13.8">
      <c r="A56" s="357"/>
      <c r="B56" s="357"/>
      <c r="C56" s="358" t="s">
        <v>329</v>
      </c>
      <c r="D56" s="1081" t="s">
        <v>305</v>
      </c>
      <c r="E56" s="1789">
        <v>0</v>
      </c>
      <c r="F56" s="1602">
        <v>-1312.0999999977648</v>
      </c>
      <c r="G56" s="1789">
        <v>584812.44000000507</v>
      </c>
      <c r="H56" s="1789">
        <v>0</v>
      </c>
      <c r="I56" s="1789">
        <v>0</v>
      </c>
      <c r="J56" s="1789">
        <v>0</v>
      </c>
      <c r="K56" s="1789">
        <v>0</v>
      </c>
      <c r="L56" s="1588">
        <v>0</v>
      </c>
      <c r="M56" s="1583"/>
      <c r="N56" s="465"/>
      <c r="O56" s="1584">
        <f t="shared" si="8"/>
        <v>0</v>
      </c>
      <c r="P56" s="1584">
        <f t="shared" si="8"/>
        <v>181290.87000000104</v>
      </c>
      <c r="Q56" s="1584">
        <f t="shared" si="8"/>
        <v>585403.86000000685</v>
      </c>
      <c r="R56" s="1584">
        <f t="shared" si="8"/>
        <v>0</v>
      </c>
      <c r="S56" s="1584">
        <f t="shared" si="8"/>
        <v>0</v>
      </c>
      <c r="T56" s="1584">
        <f t="shared" si="8"/>
        <v>0</v>
      </c>
      <c r="U56" s="1584">
        <f t="shared" si="8"/>
        <v>0</v>
      </c>
      <c r="V56" s="1590">
        <f t="shared" si="8"/>
        <v>0</v>
      </c>
      <c r="W56" s="743"/>
      <c r="X56" s="743"/>
      <c r="Y56" s="676"/>
      <c r="Z56" s="676"/>
      <c r="AA56" s="755"/>
      <c r="AB56" s="676"/>
      <c r="AC56" s="358"/>
      <c r="AD56" s="358"/>
      <c r="AE56" s="358"/>
      <c r="AF56" s="358"/>
      <c r="AG56" s="359"/>
    </row>
    <row r="57" spans="1:33" ht="13.8">
      <c r="A57" s="357"/>
      <c r="B57" s="357"/>
      <c r="C57" s="358" t="s">
        <v>296</v>
      </c>
      <c r="D57" s="1082" t="s">
        <v>306</v>
      </c>
      <c r="E57" s="1789">
        <v>0</v>
      </c>
      <c r="F57" s="1602">
        <v>0</v>
      </c>
      <c r="G57" s="1789">
        <v>5299.3121718600005</v>
      </c>
      <c r="H57" s="1789">
        <v>0</v>
      </c>
      <c r="I57" s="1789">
        <v>0</v>
      </c>
      <c r="J57" s="1789">
        <v>0</v>
      </c>
      <c r="K57" s="1789">
        <v>0</v>
      </c>
      <c r="L57" s="1588">
        <v>56626.325427138188</v>
      </c>
      <c r="M57" s="1583"/>
      <c r="N57" s="465"/>
      <c r="O57" s="1584">
        <f t="shared" si="8"/>
        <v>0</v>
      </c>
      <c r="P57" s="1584">
        <f t="shared" si="8"/>
        <v>181290.87000000104</v>
      </c>
      <c r="Q57" s="1584">
        <f t="shared" si="8"/>
        <v>590703.17217186687</v>
      </c>
      <c r="R57" s="1584">
        <f t="shared" si="8"/>
        <v>0</v>
      </c>
      <c r="S57" s="1584">
        <f t="shared" si="8"/>
        <v>0</v>
      </c>
      <c r="T57" s="1584">
        <f t="shared" si="8"/>
        <v>0</v>
      </c>
      <c r="U57" s="1584">
        <f t="shared" si="8"/>
        <v>0</v>
      </c>
      <c r="V57" s="1590">
        <f t="shared" si="8"/>
        <v>56626.325427138188</v>
      </c>
      <c r="W57" s="743"/>
      <c r="X57" s="743"/>
      <c r="Y57" s="676"/>
      <c r="Z57" s="676"/>
      <c r="AA57" s="755"/>
      <c r="AB57" s="676"/>
      <c r="AC57" s="358"/>
      <c r="AD57" s="358"/>
      <c r="AE57" s="358"/>
      <c r="AF57" s="358"/>
      <c r="AG57" s="359"/>
    </row>
    <row r="58" spans="1:33" ht="13.8">
      <c r="A58" s="357"/>
      <c r="B58" s="357"/>
      <c r="C58" s="358" t="s">
        <v>330</v>
      </c>
      <c r="D58" s="1082" t="s">
        <v>306</v>
      </c>
      <c r="E58" s="1789">
        <v>0</v>
      </c>
      <c r="F58" s="1971">
        <v>0</v>
      </c>
      <c r="G58" s="1789">
        <v>155075.77233140031</v>
      </c>
      <c r="H58" s="1789">
        <v>0</v>
      </c>
      <c r="I58" s="1789">
        <v>0</v>
      </c>
      <c r="J58" s="1789">
        <v>0</v>
      </c>
      <c r="K58" s="1789">
        <v>0</v>
      </c>
      <c r="L58" s="1973">
        <v>93834.00257374451</v>
      </c>
      <c r="M58" s="1583"/>
      <c r="N58" s="465"/>
      <c r="O58" s="1584">
        <f t="shared" si="8"/>
        <v>0</v>
      </c>
      <c r="P58" s="1584">
        <f t="shared" si="8"/>
        <v>181290.87000000104</v>
      </c>
      <c r="Q58" s="1584">
        <f t="shared" si="8"/>
        <v>745778.94450326718</v>
      </c>
      <c r="R58" s="1584">
        <f t="shared" si="8"/>
        <v>0</v>
      </c>
      <c r="S58" s="1584">
        <f t="shared" si="8"/>
        <v>0</v>
      </c>
      <c r="T58" s="1584">
        <f t="shared" si="8"/>
        <v>0</v>
      </c>
      <c r="U58" s="1584">
        <f t="shared" si="8"/>
        <v>0</v>
      </c>
      <c r="V58" s="1590">
        <f t="shared" si="8"/>
        <v>150460.3280008827</v>
      </c>
      <c r="W58" s="743"/>
      <c r="X58" s="743"/>
      <c r="Y58" s="676"/>
      <c r="Z58" s="676"/>
      <c r="AA58" s="755"/>
      <c r="AB58" s="676"/>
      <c r="AC58" s="358"/>
      <c r="AD58" s="358"/>
      <c r="AE58" s="358"/>
      <c r="AF58" s="358"/>
      <c r="AG58" s="359"/>
    </row>
    <row r="59" spans="1:33" ht="13.8">
      <c r="A59" s="357"/>
      <c r="B59" s="357"/>
      <c r="C59" s="358" t="s">
        <v>331</v>
      </c>
      <c r="D59" s="1082" t="s">
        <v>306</v>
      </c>
      <c r="E59" s="1789">
        <v>0</v>
      </c>
      <c r="F59" s="1602">
        <v>0</v>
      </c>
      <c r="G59" s="1789">
        <v>0</v>
      </c>
      <c r="H59" s="1789">
        <v>0</v>
      </c>
      <c r="I59" s="1789">
        <v>0</v>
      </c>
      <c r="J59" s="1789">
        <v>0</v>
      </c>
      <c r="K59" s="1789">
        <v>0</v>
      </c>
      <c r="L59" s="1588">
        <v>0</v>
      </c>
      <c r="M59" s="1583"/>
      <c r="N59" s="465"/>
      <c r="O59" s="1584">
        <f t="shared" si="8"/>
        <v>0</v>
      </c>
      <c r="P59" s="1584">
        <f t="shared" si="8"/>
        <v>181290.87000000104</v>
      </c>
      <c r="Q59" s="1584">
        <f t="shared" si="8"/>
        <v>745778.94450326718</v>
      </c>
      <c r="R59" s="1584">
        <f t="shared" si="8"/>
        <v>0</v>
      </c>
      <c r="S59" s="1584">
        <f t="shared" si="8"/>
        <v>0</v>
      </c>
      <c r="T59" s="1584">
        <f t="shared" si="8"/>
        <v>0</v>
      </c>
      <c r="U59" s="1584">
        <f t="shared" si="8"/>
        <v>0</v>
      </c>
      <c r="V59" s="1590">
        <f t="shared" si="8"/>
        <v>150460.3280008827</v>
      </c>
      <c r="W59" s="743"/>
      <c r="X59" s="743"/>
      <c r="Y59" s="676"/>
      <c r="Z59" s="676"/>
      <c r="AA59" s="755"/>
      <c r="AB59" s="676"/>
      <c r="AC59" s="358"/>
      <c r="AD59" s="358"/>
      <c r="AE59" s="358"/>
      <c r="AF59" s="358"/>
      <c r="AG59" s="359"/>
    </row>
    <row r="60" spans="1:33" ht="13.8">
      <c r="A60" s="357"/>
      <c r="B60" s="357"/>
      <c r="C60" s="358" t="s">
        <v>332</v>
      </c>
      <c r="D60" s="1082" t="s">
        <v>306</v>
      </c>
      <c r="E60" s="1789">
        <v>0</v>
      </c>
      <c r="F60" s="1602">
        <v>0</v>
      </c>
      <c r="G60" s="1789">
        <v>0</v>
      </c>
      <c r="H60" s="1789">
        <v>0</v>
      </c>
      <c r="I60" s="1789">
        <v>0</v>
      </c>
      <c r="J60" s="1789">
        <v>0</v>
      </c>
      <c r="K60" s="1789">
        <v>0</v>
      </c>
      <c r="L60" s="1588">
        <v>0</v>
      </c>
      <c r="M60" s="1583"/>
      <c r="N60" s="465"/>
      <c r="O60" s="1584">
        <f t="shared" si="8"/>
        <v>0</v>
      </c>
      <c r="P60" s="1584">
        <f t="shared" si="8"/>
        <v>181290.87000000104</v>
      </c>
      <c r="Q60" s="1584">
        <f t="shared" si="8"/>
        <v>745778.94450326718</v>
      </c>
      <c r="R60" s="1584">
        <f t="shared" si="8"/>
        <v>0</v>
      </c>
      <c r="S60" s="1584">
        <f t="shared" si="8"/>
        <v>0</v>
      </c>
      <c r="T60" s="1584">
        <f t="shared" si="8"/>
        <v>0</v>
      </c>
      <c r="U60" s="1584">
        <f t="shared" si="8"/>
        <v>0</v>
      </c>
      <c r="V60" s="1590">
        <f t="shared" si="8"/>
        <v>150460.3280008827</v>
      </c>
      <c r="W60" s="743"/>
      <c r="X60" s="743"/>
      <c r="Y60" s="676"/>
      <c r="Z60" s="676"/>
      <c r="AA60" s="755"/>
      <c r="AB60" s="676"/>
      <c r="AC60" s="358"/>
      <c r="AD60" s="358"/>
      <c r="AE60" s="358"/>
      <c r="AF60" s="358"/>
      <c r="AG60" s="359"/>
    </row>
    <row r="61" spans="1:33" ht="13.8">
      <c r="A61" s="357"/>
      <c r="B61" s="357"/>
      <c r="C61" s="358" t="s">
        <v>333</v>
      </c>
      <c r="D61" s="1082" t="s">
        <v>306</v>
      </c>
      <c r="E61" s="1789">
        <v>0</v>
      </c>
      <c r="F61" s="1602">
        <v>0</v>
      </c>
      <c r="G61" s="1789">
        <v>0</v>
      </c>
      <c r="H61" s="1789">
        <v>0</v>
      </c>
      <c r="I61" s="1789">
        <v>0</v>
      </c>
      <c r="J61" s="1789">
        <v>0</v>
      </c>
      <c r="K61" s="1789">
        <v>0</v>
      </c>
      <c r="L61" s="1588">
        <v>0</v>
      </c>
      <c r="M61" s="1583"/>
      <c r="N61" s="465"/>
      <c r="O61" s="1584">
        <f t="shared" si="8"/>
        <v>0</v>
      </c>
      <c r="P61" s="1584">
        <f t="shared" si="8"/>
        <v>181290.87000000104</v>
      </c>
      <c r="Q61" s="1584">
        <f t="shared" si="8"/>
        <v>745778.94450326718</v>
      </c>
      <c r="R61" s="1584">
        <f t="shared" si="8"/>
        <v>0</v>
      </c>
      <c r="S61" s="1584">
        <f t="shared" si="8"/>
        <v>0</v>
      </c>
      <c r="T61" s="1584">
        <f t="shared" si="8"/>
        <v>0</v>
      </c>
      <c r="U61" s="1584">
        <f t="shared" si="8"/>
        <v>0</v>
      </c>
      <c r="V61" s="1590">
        <f t="shared" si="8"/>
        <v>150460.3280008827</v>
      </c>
      <c r="W61" s="743"/>
      <c r="X61" s="743"/>
      <c r="Y61" s="676"/>
      <c r="Z61" s="676"/>
      <c r="AA61" s="755"/>
      <c r="AB61" s="676"/>
      <c r="AC61" s="358"/>
      <c r="AD61" s="358"/>
      <c r="AE61" s="358"/>
      <c r="AF61" s="358"/>
      <c r="AG61" s="359"/>
    </row>
    <row r="62" spans="1:33" ht="13.8">
      <c r="A62" s="357"/>
      <c r="B62" s="357"/>
      <c r="C62" s="358" t="s">
        <v>334</v>
      </c>
      <c r="D62" s="1082" t="s">
        <v>306</v>
      </c>
      <c r="E62" s="1789">
        <v>0</v>
      </c>
      <c r="F62" s="1602">
        <v>0</v>
      </c>
      <c r="G62" s="1789">
        <v>0</v>
      </c>
      <c r="H62" s="1789">
        <v>0</v>
      </c>
      <c r="I62" s="1789">
        <v>0</v>
      </c>
      <c r="J62" s="1789">
        <v>0</v>
      </c>
      <c r="K62" s="1789">
        <v>0</v>
      </c>
      <c r="L62" s="1588">
        <v>0</v>
      </c>
      <c r="M62" s="1583"/>
      <c r="N62" s="465"/>
      <c r="O62" s="1584">
        <f t="shared" si="8"/>
        <v>0</v>
      </c>
      <c r="P62" s="1584">
        <f t="shared" si="8"/>
        <v>181290.87000000104</v>
      </c>
      <c r="Q62" s="1584">
        <f t="shared" si="8"/>
        <v>745778.94450326718</v>
      </c>
      <c r="R62" s="1584">
        <f t="shared" si="8"/>
        <v>0</v>
      </c>
      <c r="S62" s="1584">
        <f t="shared" si="8"/>
        <v>0</v>
      </c>
      <c r="T62" s="1584">
        <f t="shared" si="8"/>
        <v>0</v>
      </c>
      <c r="U62" s="1584">
        <f t="shared" si="8"/>
        <v>0</v>
      </c>
      <c r="V62" s="1590">
        <f t="shared" si="8"/>
        <v>150460.3280008827</v>
      </c>
      <c r="W62" s="743"/>
      <c r="X62" s="743"/>
      <c r="Y62" s="676"/>
      <c r="Z62" s="676"/>
      <c r="AA62" s="755"/>
      <c r="AB62" s="676"/>
      <c r="AC62" s="358"/>
      <c r="AD62" s="358"/>
      <c r="AE62" s="358"/>
      <c r="AF62" s="358"/>
      <c r="AG62" s="359"/>
    </row>
    <row r="63" spans="1:33" ht="13.8">
      <c r="A63" s="357"/>
      <c r="B63" s="357"/>
      <c r="C63" s="358" t="s">
        <v>335</v>
      </c>
      <c r="D63" s="1082" t="s">
        <v>306</v>
      </c>
      <c r="E63" s="1789">
        <v>0</v>
      </c>
      <c r="F63" s="1602">
        <v>0</v>
      </c>
      <c r="G63" s="1789">
        <v>0</v>
      </c>
      <c r="H63" s="1789">
        <v>0</v>
      </c>
      <c r="I63" s="1789">
        <v>0</v>
      </c>
      <c r="J63" s="1789">
        <v>0</v>
      </c>
      <c r="K63" s="1789">
        <v>0</v>
      </c>
      <c r="L63" s="1588">
        <v>0</v>
      </c>
      <c r="M63" s="1583"/>
      <c r="N63" s="465"/>
      <c r="O63" s="1584">
        <f t="shared" si="8"/>
        <v>0</v>
      </c>
      <c r="P63" s="1584">
        <f t="shared" si="8"/>
        <v>181290.87000000104</v>
      </c>
      <c r="Q63" s="1584">
        <f t="shared" si="8"/>
        <v>745778.94450326718</v>
      </c>
      <c r="R63" s="1584">
        <f t="shared" si="8"/>
        <v>0</v>
      </c>
      <c r="S63" s="1584">
        <f t="shared" si="8"/>
        <v>0</v>
      </c>
      <c r="T63" s="1584">
        <f t="shared" si="8"/>
        <v>0</v>
      </c>
      <c r="U63" s="1584">
        <f t="shared" si="8"/>
        <v>0</v>
      </c>
      <c r="V63" s="1590">
        <f t="shared" si="8"/>
        <v>150460.3280008827</v>
      </c>
      <c r="W63" s="743"/>
      <c r="X63" s="743"/>
      <c r="Y63" s="676"/>
      <c r="Z63" s="676"/>
      <c r="AA63" s="755"/>
      <c r="AB63" s="676"/>
      <c r="AC63" s="358"/>
      <c r="AD63" s="358"/>
      <c r="AE63" s="358"/>
      <c r="AF63" s="358"/>
      <c r="AG63" s="359"/>
    </row>
    <row r="64" spans="1:33" ht="14.4" thickBot="1">
      <c r="A64" s="357"/>
      <c r="B64" s="357"/>
      <c r="C64" s="358" t="s">
        <v>336</v>
      </c>
      <c r="D64" s="764" t="s">
        <v>306</v>
      </c>
      <c r="E64" s="1793">
        <v>0</v>
      </c>
      <c r="F64" s="1972">
        <v>0</v>
      </c>
      <c r="G64" s="1793">
        <v>0</v>
      </c>
      <c r="H64" s="1793">
        <v>0</v>
      </c>
      <c r="I64" s="1793">
        <v>0</v>
      </c>
      <c r="J64" s="1793">
        <v>0</v>
      </c>
      <c r="K64" s="1793">
        <v>0</v>
      </c>
      <c r="L64" s="1591">
        <v>0</v>
      </c>
      <c r="M64" s="1583"/>
      <c r="N64" s="1767"/>
      <c r="O64" s="1585">
        <f t="shared" si="8"/>
        <v>0</v>
      </c>
      <c r="P64" s="1585">
        <f t="shared" si="8"/>
        <v>181290.87000000104</v>
      </c>
      <c r="Q64" s="1585">
        <f t="shared" si="8"/>
        <v>745778.94450326718</v>
      </c>
      <c r="R64" s="1585">
        <f t="shared" si="8"/>
        <v>0</v>
      </c>
      <c r="S64" s="1585">
        <f t="shared" si="8"/>
        <v>0</v>
      </c>
      <c r="T64" s="1585">
        <f t="shared" si="8"/>
        <v>0</v>
      </c>
      <c r="U64" s="1585">
        <f t="shared" si="8"/>
        <v>0</v>
      </c>
      <c r="V64" s="1592">
        <f t="shared" si="8"/>
        <v>150460.3280008827</v>
      </c>
      <c r="W64" s="743"/>
      <c r="X64" s="743"/>
      <c r="Y64" s="676"/>
      <c r="Z64" s="676"/>
      <c r="AA64" s="755"/>
      <c r="AB64" s="676"/>
      <c r="AC64" s="358"/>
      <c r="AD64" s="358"/>
      <c r="AE64" s="358"/>
      <c r="AF64" s="358"/>
      <c r="AG64" s="359"/>
    </row>
    <row r="65" spans="1:33" ht="13.8">
      <c r="A65" s="357"/>
      <c r="B65" s="357"/>
      <c r="C65" s="358" t="s">
        <v>603</v>
      </c>
      <c r="D65" s="376" t="s">
        <v>525</v>
      </c>
      <c r="E65" s="1586">
        <f>SUM(E52:E64)</f>
        <v>0</v>
      </c>
      <c r="F65" s="1586">
        <f t="shared" ref="F65:K65" si="9">SUM(F52:F64)</f>
        <v>181290.87000000104</v>
      </c>
      <c r="G65" s="1586">
        <f>SUM(G52:G64)</f>
        <v>745778.94450326718</v>
      </c>
      <c r="H65" s="1586">
        <f t="shared" si="9"/>
        <v>0</v>
      </c>
      <c r="I65" s="1586">
        <f t="shared" si="9"/>
        <v>0</v>
      </c>
      <c r="J65" s="1586">
        <f t="shared" si="9"/>
        <v>0</v>
      </c>
      <c r="K65" s="1586">
        <f t="shared" si="9"/>
        <v>0</v>
      </c>
      <c r="L65" s="1586">
        <f>SUM(L52:L64)</f>
        <v>150460.3280008827</v>
      </c>
      <c r="M65" s="1587"/>
      <c r="O65" s="1326">
        <f t="shared" ref="O65:V65" si="10">SUM(O52:O64)</f>
        <v>0</v>
      </c>
      <c r="P65" s="1326">
        <f t="shared" si="10"/>
        <v>2045958.5600000061</v>
      </c>
      <c r="Q65" s="1326">
        <f t="shared" si="10"/>
        <v>6398333.9036947498</v>
      </c>
      <c r="R65" s="1326">
        <f t="shared" si="10"/>
        <v>0</v>
      </c>
      <c r="S65" s="1326">
        <f t="shared" si="10"/>
        <v>0</v>
      </c>
      <c r="T65" s="1326">
        <f t="shared" si="10"/>
        <v>0</v>
      </c>
      <c r="U65" s="1326">
        <f t="shared" si="10"/>
        <v>0</v>
      </c>
      <c r="V65" s="1326">
        <f t="shared" si="10"/>
        <v>1109848.621433317</v>
      </c>
      <c r="W65" s="743"/>
      <c r="X65" s="743"/>
      <c r="Y65" s="676"/>
      <c r="Z65" s="676"/>
      <c r="AA65" s="755"/>
      <c r="AB65" s="676"/>
      <c r="AC65" s="358"/>
      <c r="AD65" s="358"/>
      <c r="AE65" s="358"/>
      <c r="AF65" s="358"/>
      <c r="AG65" s="359"/>
    </row>
    <row r="66" spans="1:33" ht="14.4" thickBot="1">
      <c r="A66" s="357"/>
      <c r="B66" s="357"/>
      <c r="C66" s="358"/>
      <c r="D66" s="376"/>
      <c r="E66" s="1586"/>
      <c r="F66" s="1586"/>
      <c r="G66" s="1586"/>
      <c r="H66" s="1586"/>
      <c r="I66" s="1586"/>
      <c r="J66" s="1586"/>
      <c r="K66" s="1586"/>
      <c r="L66" s="1586"/>
      <c r="M66" s="1587"/>
      <c r="O66" s="1326"/>
      <c r="P66" s="1326"/>
      <c r="Q66" s="1326"/>
      <c r="R66" s="1326"/>
      <c r="S66" s="1326"/>
      <c r="T66" s="1326"/>
      <c r="U66" s="1326"/>
      <c r="V66" s="1326"/>
      <c r="W66" s="743"/>
      <c r="X66" s="743"/>
      <c r="Y66" s="676"/>
      <c r="Z66" s="676"/>
      <c r="AA66" s="755"/>
      <c r="AB66" s="676"/>
      <c r="AC66" s="358"/>
      <c r="AD66" s="358"/>
      <c r="AE66" s="358"/>
      <c r="AF66" s="358"/>
      <c r="AG66" s="359"/>
    </row>
    <row r="67" spans="1:33" ht="14.4" thickBot="1">
      <c r="A67" s="357"/>
      <c r="B67" s="357"/>
      <c r="C67" s="357"/>
      <c r="D67" s="1578" t="s">
        <v>432</v>
      </c>
      <c r="E67" s="1770" t="s">
        <v>433</v>
      </c>
      <c r="F67" s="1770" t="s">
        <v>434</v>
      </c>
      <c r="G67" s="1770" t="s">
        <v>435</v>
      </c>
      <c r="H67" s="1770" t="s">
        <v>722</v>
      </c>
      <c r="I67" s="1770" t="s">
        <v>728</v>
      </c>
      <c r="J67" s="1611" t="s">
        <v>544</v>
      </c>
      <c r="K67" s="1611" t="s">
        <v>545</v>
      </c>
      <c r="L67" s="1771" t="s">
        <v>347</v>
      </c>
      <c r="M67" s="1587"/>
      <c r="N67" s="2077" t="s">
        <v>660</v>
      </c>
      <c r="O67" s="2078"/>
      <c r="P67" s="2078"/>
      <c r="Q67" s="2078"/>
      <c r="R67" s="2078"/>
      <c r="S67" s="2078"/>
      <c r="T67" s="2078"/>
      <c r="U67" s="2078"/>
      <c r="V67" s="2079"/>
      <c r="W67" s="743"/>
      <c r="X67" s="743"/>
      <c r="Y67" s="676"/>
      <c r="Z67" s="676"/>
      <c r="AA67" s="755"/>
      <c r="AB67" s="676"/>
      <c r="AC67" s="358"/>
      <c r="AD67" s="358"/>
      <c r="AE67" s="358"/>
      <c r="AF67" s="358"/>
      <c r="AG67" s="359"/>
    </row>
    <row r="68" spans="1:33" ht="27" thickBot="1">
      <c r="A68" s="357"/>
      <c r="B68" s="357"/>
      <c r="C68" s="358"/>
      <c r="D68" s="1323"/>
      <c r="E68" s="1575"/>
      <c r="F68" s="1575"/>
      <c r="G68" s="1575" t="s">
        <v>1073</v>
      </c>
      <c r="H68" s="1575" t="s">
        <v>1296</v>
      </c>
      <c r="I68" s="1575" t="s">
        <v>1114</v>
      </c>
      <c r="J68" s="1575" t="s">
        <v>1217</v>
      </c>
      <c r="K68" s="1575" t="s">
        <v>1298</v>
      </c>
      <c r="L68" s="1576"/>
      <c r="M68" s="1587"/>
      <c r="N68" s="1323" t="s">
        <v>659</v>
      </c>
      <c r="O68" s="1246">
        <f>E68</f>
        <v>0</v>
      </c>
      <c r="P68" s="1246">
        <f t="shared" ref="P68:V68" si="11">F68</f>
        <v>0</v>
      </c>
      <c r="Q68" s="1246" t="str">
        <f t="shared" si="11"/>
        <v>Waldo Run SS</v>
      </c>
      <c r="R68" s="1246" t="str">
        <f t="shared" si="11"/>
        <v>Meadowbrook SS Capacitor</v>
      </c>
      <c r="S68" s="1246" t="str">
        <f t="shared" si="11"/>
        <v>Conemaugh</v>
      </c>
      <c r="T68" s="1246" t="str">
        <f t="shared" si="11"/>
        <v>Rider</v>
      </c>
      <c r="U68" s="1246" t="str">
        <f t="shared" si="11"/>
        <v>Cabot Substation</v>
      </c>
      <c r="V68" s="1246">
        <f t="shared" si="11"/>
        <v>0</v>
      </c>
      <c r="W68" s="743"/>
      <c r="X68" s="743"/>
      <c r="Y68" s="676"/>
      <c r="Z68" s="676"/>
      <c r="AA68" s="755"/>
      <c r="AB68" s="676"/>
      <c r="AC68" s="358"/>
      <c r="AD68" s="358"/>
      <c r="AE68" s="358"/>
      <c r="AF68" s="358"/>
      <c r="AG68" s="359"/>
    </row>
    <row r="69" spans="1:33" ht="14.4" thickBot="1">
      <c r="A69" s="357"/>
      <c r="B69" s="357"/>
      <c r="C69" s="358"/>
      <c r="D69" s="1577"/>
      <c r="E69" s="1246" t="s">
        <v>721</v>
      </c>
      <c r="F69" s="1246" t="s">
        <v>721</v>
      </c>
      <c r="G69" s="1246" t="s">
        <v>721</v>
      </c>
      <c r="H69" s="1246" t="s">
        <v>721</v>
      </c>
      <c r="I69" s="1246" t="s">
        <v>721</v>
      </c>
      <c r="J69" s="1246" t="s">
        <v>721</v>
      </c>
      <c r="K69" s="1246" t="s">
        <v>721</v>
      </c>
      <c r="L69" s="1247" t="s">
        <v>721</v>
      </c>
      <c r="M69" s="1587"/>
      <c r="N69" s="1773"/>
      <c r="O69" s="1246" t="s">
        <v>721</v>
      </c>
      <c r="P69" s="1246" t="s">
        <v>721</v>
      </c>
      <c r="Q69" s="1246" t="s">
        <v>721</v>
      </c>
      <c r="R69" s="1246" t="s">
        <v>721</v>
      </c>
      <c r="S69" s="1246" t="s">
        <v>721</v>
      </c>
      <c r="T69" s="1246" t="s">
        <v>721</v>
      </c>
      <c r="U69" s="1246" t="s">
        <v>721</v>
      </c>
      <c r="V69" s="1246" t="s">
        <v>721</v>
      </c>
      <c r="W69" s="743"/>
      <c r="X69" s="743"/>
      <c r="Y69" s="676"/>
      <c r="Z69" s="676"/>
      <c r="AA69" s="755"/>
      <c r="AB69" s="676"/>
      <c r="AC69" s="358"/>
      <c r="AD69" s="358"/>
      <c r="AE69" s="358"/>
      <c r="AF69" s="358"/>
      <c r="AG69" s="359"/>
    </row>
    <row r="70" spans="1:33" ht="21.6">
      <c r="A70" s="357"/>
      <c r="B70" s="357"/>
      <c r="C70" s="740" t="s">
        <v>123</v>
      </c>
      <c r="D70" s="1081" t="s">
        <v>305</v>
      </c>
      <c r="E70" s="1789"/>
      <c r="F70" s="1789"/>
      <c r="G70" s="1789"/>
      <c r="H70" s="1789"/>
      <c r="I70" s="1789"/>
      <c r="J70" s="1789"/>
      <c r="K70" s="1789"/>
      <c r="L70" s="1588"/>
      <c r="M70" s="1587"/>
      <c r="N70" s="1766"/>
      <c r="O70" s="1582">
        <f t="shared" ref="O70:V70" si="12">E70</f>
        <v>0</v>
      </c>
      <c r="P70" s="1582">
        <f t="shared" si="12"/>
        <v>0</v>
      </c>
      <c r="Q70" s="1582">
        <f t="shared" si="12"/>
        <v>0</v>
      </c>
      <c r="R70" s="1582">
        <f t="shared" si="12"/>
        <v>0</v>
      </c>
      <c r="S70" s="1582">
        <f t="shared" si="12"/>
        <v>0</v>
      </c>
      <c r="T70" s="1582">
        <f t="shared" si="12"/>
        <v>0</v>
      </c>
      <c r="U70" s="1582">
        <f t="shared" si="12"/>
        <v>0</v>
      </c>
      <c r="V70" s="1589">
        <f t="shared" si="12"/>
        <v>0</v>
      </c>
      <c r="W70" s="743"/>
      <c r="X70" s="743"/>
      <c r="Y70" s="676"/>
      <c r="Z70" s="676"/>
      <c r="AA70" s="755"/>
      <c r="AB70" s="676"/>
      <c r="AC70" s="358"/>
      <c r="AD70" s="358"/>
      <c r="AE70" s="358"/>
      <c r="AF70" s="358"/>
      <c r="AG70" s="359"/>
    </row>
    <row r="71" spans="1:33" ht="13.8">
      <c r="A71" s="357"/>
      <c r="B71" s="357"/>
      <c r="C71" s="614" t="s">
        <v>1295</v>
      </c>
      <c r="D71" s="1081" t="s">
        <v>305</v>
      </c>
      <c r="E71" s="1789"/>
      <c r="F71" s="1789"/>
      <c r="G71" s="1789">
        <v>40534.670000001788</v>
      </c>
      <c r="H71" s="1789">
        <v>460.55000001192093</v>
      </c>
      <c r="I71" s="1789"/>
      <c r="J71" s="1789">
        <v>126.32000000029802</v>
      </c>
      <c r="K71" s="1789"/>
      <c r="L71" s="1588"/>
      <c r="M71" s="1587"/>
      <c r="N71" s="465"/>
      <c r="O71" s="1584">
        <f t="shared" ref="O71:V82" si="13">O70+E71</f>
        <v>0</v>
      </c>
      <c r="P71" s="1584">
        <f t="shared" si="13"/>
        <v>0</v>
      </c>
      <c r="Q71" s="1584">
        <f>Q70+G71</f>
        <v>40534.670000001788</v>
      </c>
      <c r="R71" s="1584">
        <f t="shared" si="13"/>
        <v>460.55000001192093</v>
      </c>
      <c r="S71" s="1584">
        <f t="shared" si="13"/>
        <v>0</v>
      </c>
      <c r="T71" s="1584">
        <f t="shared" si="13"/>
        <v>126.32000000029802</v>
      </c>
      <c r="U71" s="1584">
        <f t="shared" si="13"/>
        <v>0</v>
      </c>
      <c r="V71" s="1590">
        <f t="shared" si="13"/>
        <v>0</v>
      </c>
      <c r="W71" s="743"/>
      <c r="X71" s="743"/>
      <c r="Y71" s="676"/>
      <c r="Z71" s="676"/>
      <c r="AA71" s="755"/>
      <c r="AB71" s="676"/>
      <c r="AC71" s="358"/>
      <c r="AD71" s="358"/>
      <c r="AE71" s="358"/>
      <c r="AF71" s="358"/>
      <c r="AG71" s="359"/>
    </row>
    <row r="72" spans="1:33" ht="13.8">
      <c r="A72" s="357"/>
      <c r="B72" s="357"/>
      <c r="C72" s="358" t="s">
        <v>327</v>
      </c>
      <c r="D72" s="1081" t="s">
        <v>305</v>
      </c>
      <c r="E72" s="1789"/>
      <c r="F72" s="1789"/>
      <c r="G72" s="1789">
        <v>-17992.130000002682</v>
      </c>
      <c r="H72" s="1789">
        <v>38.209999993443489</v>
      </c>
      <c r="I72" s="1789">
        <v>4229.5099999979138</v>
      </c>
      <c r="J72" s="1789"/>
      <c r="K72" s="1789"/>
      <c r="L72" s="1588"/>
      <c r="M72" s="1587"/>
      <c r="N72" s="465"/>
      <c r="O72" s="1584">
        <f t="shared" si="13"/>
        <v>0</v>
      </c>
      <c r="P72" s="1584">
        <f t="shared" si="13"/>
        <v>0</v>
      </c>
      <c r="Q72" s="1584">
        <f>Q71+G72</f>
        <v>22542.539999999106</v>
      </c>
      <c r="R72" s="1584">
        <f t="shared" si="13"/>
        <v>498.76000000536442</v>
      </c>
      <c r="S72" s="1584">
        <f t="shared" si="13"/>
        <v>4229.5099999979138</v>
      </c>
      <c r="T72" s="1584">
        <f t="shared" si="13"/>
        <v>126.32000000029802</v>
      </c>
      <c r="U72" s="1584">
        <f t="shared" si="13"/>
        <v>0</v>
      </c>
      <c r="V72" s="1590">
        <f t="shared" si="13"/>
        <v>0</v>
      </c>
      <c r="W72" s="743"/>
      <c r="X72" s="743"/>
      <c r="Y72" s="676"/>
      <c r="Z72" s="676"/>
      <c r="AA72" s="755"/>
      <c r="AB72" s="676"/>
      <c r="AC72" s="358"/>
      <c r="AD72" s="358"/>
      <c r="AE72" s="358"/>
      <c r="AF72" s="358"/>
      <c r="AG72" s="359"/>
    </row>
    <row r="73" spans="1:33" ht="13.8">
      <c r="A73" s="357"/>
      <c r="B73" s="357"/>
      <c r="C73" s="358" t="s">
        <v>328</v>
      </c>
      <c r="D73" s="1081" t="s">
        <v>305</v>
      </c>
      <c r="E73" s="1789"/>
      <c r="F73" s="1789"/>
      <c r="G73" s="1789">
        <v>34116.270000003278</v>
      </c>
      <c r="H73" s="1789"/>
      <c r="I73" s="1789">
        <v>1051.609999999404</v>
      </c>
      <c r="J73" s="1789">
        <v>2871.2999999970198</v>
      </c>
      <c r="K73" s="1789"/>
      <c r="L73" s="1588"/>
      <c r="M73" s="1587"/>
      <c r="N73" s="465"/>
      <c r="O73" s="1584">
        <f t="shared" si="13"/>
        <v>0</v>
      </c>
      <c r="P73" s="1584">
        <f t="shared" si="13"/>
        <v>0</v>
      </c>
      <c r="Q73" s="1584">
        <f t="shared" si="13"/>
        <v>56658.810000002384</v>
      </c>
      <c r="R73" s="1584">
        <f t="shared" si="13"/>
        <v>498.76000000536442</v>
      </c>
      <c r="S73" s="1584">
        <f t="shared" si="13"/>
        <v>5281.1199999973178</v>
      </c>
      <c r="T73" s="1584">
        <f t="shared" si="13"/>
        <v>2997.6199999973178</v>
      </c>
      <c r="U73" s="1584">
        <f t="shared" si="13"/>
        <v>0</v>
      </c>
      <c r="V73" s="1590">
        <f t="shared" si="13"/>
        <v>0</v>
      </c>
      <c r="W73" s="743"/>
      <c r="X73" s="743"/>
      <c r="Y73" s="676"/>
      <c r="Z73" s="676"/>
      <c r="AA73" s="755"/>
      <c r="AB73" s="676"/>
      <c r="AC73" s="358"/>
      <c r="AD73" s="358"/>
      <c r="AE73" s="358"/>
      <c r="AF73" s="358"/>
      <c r="AG73" s="359"/>
    </row>
    <row r="74" spans="1:33" ht="13.8">
      <c r="A74" s="357"/>
      <c r="B74" s="357"/>
      <c r="C74" s="358" t="s">
        <v>329</v>
      </c>
      <c r="D74" s="1081" t="s">
        <v>305</v>
      </c>
      <c r="E74" s="1789">
        <v>0</v>
      </c>
      <c r="F74" s="1789">
        <v>0</v>
      </c>
      <c r="G74" s="1789">
        <v>-2576.1900000050664</v>
      </c>
      <c r="H74" s="1789">
        <v>0</v>
      </c>
      <c r="I74" s="1789">
        <v>0</v>
      </c>
      <c r="J74" s="1789">
        <v>8411.230000000447</v>
      </c>
      <c r="K74" s="1789">
        <v>0</v>
      </c>
      <c r="L74" s="1588">
        <v>0</v>
      </c>
      <c r="M74" s="1587"/>
      <c r="N74" s="465"/>
      <c r="O74" s="1584">
        <f t="shared" si="13"/>
        <v>0</v>
      </c>
      <c r="P74" s="1584">
        <f t="shared" si="13"/>
        <v>0</v>
      </c>
      <c r="Q74" s="1584">
        <f t="shared" si="13"/>
        <v>54082.619999997318</v>
      </c>
      <c r="R74" s="1584">
        <f t="shared" si="13"/>
        <v>498.76000000536442</v>
      </c>
      <c r="S74" s="1584">
        <f t="shared" si="13"/>
        <v>5281.1199999973178</v>
      </c>
      <c r="T74" s="1584">
        <f t="shared" si="13"/>
        <v>11408.849999997765</v>
      </c>
      <c r="U74" s="1584">
        <f t="shared" si="13"/>
        <v>0</v>
      </c>
      <c r="V74" s="1590">
        <f t="shared" si="13"/>
        <v>0</v>
      </c>
      <c r="W74" s="743"/>
      <c r="X74" s="743"/>
      <c r="Y74" s="676"/>
      <c r="Z74" s="676"/>
      <c r="AA74" s="755"/>
      <c r="AB74" s="676"/>
      <c r="AC74" s="358"/>
      <c r="AD74" s="358"/>
      <c r="AE74" s="358"/>
      <c r="AF74" s="358"/>
      <c r="AG74" s="359"/>
    </row>
    <row r="75" spans="1:33" ht="13.8">
      <c r="A75" s="357"/>
      <c r="B75" s="357"/>
      <c r="C75" s="358" t="s">
        <v>296</v>
      </c>
      <c r="D75" s="1082" t="s">
        <v>306</v>
      </c>
      <c r="E75" s="1789">
        <v>0</v>
      </c>
      <c r="F75" s="1789">
        <v>0</v>
      </c>
      <c r="G75" s="1789">
        <v>0</v>
      </c>
      <c r="H75" s="1789">
        <v>0</v>
      </c>
      <c r="I75" s="1789">
        <v>0</v>
      </c>
      <c r="J75" s="1789">
        <v>0</v>
      </c>
      <c r="K75" s="1789">
        <v>101759.26924873427</v>
      </c>
      <c r="L75" s="1588">
        <v>0</v>
      </c>
      <c r="M75" s="1587"/>
      <c r="N75" s="465"/>
      <c r="O75" s="1584">
        <f t="shared" si="13"/>
        <v>0</v>
      </c>
      <c r="P75" s="1584">
        <f t="shared" si="13"/>
        <v>0</v>
      </c>
      <c r="Q75" s="1584">
        <f t="shared" si="13"/>
        <v>54082.619999997318</v>
      </c>
      <c r="R75" s="1584">
        <f t="shared" si="13"/>
        <v>498.76000000536442</v>
      </c>
      <c r="S75" s="1584">
        <f t="shared" si="13"/>
        <v>5281.1199999973178</v>
      </c>
      <c r="T75" s="1584">
        <f t="shared" si="13"/>
        <v>11408.849999997765</v>
      </c>
      <c r="U75" s="1584">
        <f t="shared" si="13"/>
        <v>101759.26924873427</v>
      </c>
      <c r="V75" s="1590">
        <f t="shared" si="13"/>
        <v>0</v>
      </c>
      <c r="W75" s="743"/>
      <c r="X75" s="743"/>
      <c r="Y75" s="676"/>
      <c r="Z75" s="676"/>
      <c r="AA75" s="755"/>
      <c r="AB75" s="676"/>
      <c r="AC75" s="358"/>
      <c r="AD75" s="358"/>
      <c r="AE75" s="358"/>
      <c r="AF75" s="358"/>
      <c r="AG75" s="359"/>
    </row>
    <row r="76" spans="1:33" ht="13.8">
      <c r="A76" s="357"/>
      <c r="B76" s="357"/>
      <c r="C76" s="358" t="s">
        <v>330</v>
      </c>
      <c r="D76" s="1082" t="s">
        <v>306</v>
      </c>
      <c r="E76" s="1789">
        <v>0</v>
      </c>
      <c r="F76" s="1789">
        <v>0</v>
      </c>
      <c r="G76" s="1789">
        <v>0</v>
      </c>
      <c r="H76" s="1789">
        <v>0</v>
      </c>
      <c r="I76" s="1789">
        <v>0</v>
      </c>
      <c r="J76" s="1789">
        <v>0</v>
      </c>
      <c r="K76" s="1789">
        <v>0</v>
      </c>
      <c r="L76" s="1588">
        <v>0</v>
      </c>
      <c r="M76" s="1587"/>
      <c r="N76" s="465"/>
      <c r="O76" s="1584">
        <f t="shared" si="13"/>
        <v>0</v>
      </c>
      <c r="P76" s="1584">
        <f t="shared" si="13"/>
        <v>0</v>
      </c>
      <c r="Q76" s="1584">
        <f t="shared" si="13"/>
        <v>54082.619999997318</v>
      </c>
      <c r="R76" s="1584">
        <f t="shared" si="13"/>
        <v>498.76000000536442</v>
      </c>
      <c r="S76" s="1584">
        <f t="shared" si="13"/>
        <v>5281.1199999973178</v>
      </c>
      <c r="T76" s="1584">
        <f t="shared" si="13"/>
        <v>11408.849999997765</v>
      </c>
      <c r="U76" s="1584">
        <f t="shared" si="13"/>
        <v>101759.26924873427</v>
      </c>
      <c r="V76" s="1590">
        <f t="shared" si="13"/>
        <v>0</v>
      </c>
      <c r="W76" s="743"/>
      <c r="X76" s="743"/>
      <c r="Y76" s="676"/>
      <c r="Z76" s="676"/>
      <c r="AA76" s="755"/>
      <c r="AB76" s="676"/>
      <c r="AC76" s="358"/>
      <c r="AD76" s="358"/>
      <c r="AE76" s="358"/>
      <c r="AF76" s="358"/>
      <c r="AG76" s="359"/>
    </row>
    <row r="77" spans="1:33" ht="13.8">
      <c r="A77" s="357"/>
      <c r="B77" s="357"/>
      <c r="C77" s="358" t="s">
        <v>331</v>
      </c>
      <c r="D77" s="1082" t="s">
        <v>306</v>
      </c>
      <c r="E77" s="1789">
        <v>0</v>
      </c>
      <c r="F77" s="1789">
        <v>0</v>
      </c>
      <c r="G77" s="1789">
        <v>0</v>
      </c>
      <c r="H77" s="1789">
        <v>0</v>
      </c>
      <c r="I77" s="1789">
        <v>0</v>
      </c>
      <c r="J77" s="1789">
        <v>0</v>
      </c>
      <c r="K77" s="1789">
        <v>0</v>
      </c>
      <c r="L77" s="1588">
        <v>0</v>
      </c>
      <c r="M77" s="1587"/>
      <c r="N77" s="465"/>
      <c r="O77" s="1584">
        <f t="shared" si="13"/>
        <v>0</v>
      </c>
      <c r="P77" s="1584">
        <f t="shared" si="13"/>
        <v>0</v>
      </c>
      <c r="Q77" s="1584">
        <f t="shared" si="13"/>
        <v>54082.619999997318</v>
      </c>
      <c r="R77" s="1584">
        <f t="shared" si="13"/>
        <v>498.76000000536442</v>
      </c>
      <c r="S77" s="1584">
        <f t="shared" si="13"/>
        <v>5281.1199999973178</v>
      </c>
      <c r="T77" s="1584">
        <f t="shared" si="13"/>
        <v>11408.849999997765</v>
      </c>
      <c r="U77" s="1584">
        <f t="shared" si="13"/>
        <v>101759.26924873427</v>
      </c>
      <c r="V77" s="1590">
        <f t="shared" si="13"/>
        <v>0</v>
      </c>
      <c r="W77" s="743"/>
      <c r="X77" s="743"/>
      <c r="Y77" s="676"/>
      <c r="Z77" s="676"/>
      <c r="AA77" s="755"/>
      <c r="AB77" s="676"/>
      <c r="AC77" s="358"/>
      <c r="AD77" s="358"/>
      <c r="AE77" s="358"/>
      <c r="AF77" s="358"/>
      <c r="AG77" s="359"/>
    </row>
    <row r="78" spans="1:33" ht="13.8">
      <c r="A78" s="357"/>
      <c r="B78" s="357"/>
      <c r="C78" s="358" t="s">
        <v>332</v>
      </c>
      <c r="D78" s="1082" t="s">
        <v>306</v>
      </c>
      <c r="E78" s="1789">
        <v>0</v>
      </c>
      <c r="F78" s="1789">
        <v>0</v>
      </c>
      <c r="G78" s="1789">
        <v>0</v>
      </c>
      <c r="H78" s="1789">
        <v>0</v>
      </c>
      <c r="I78" s="1789">
        <v>0</v>
      </c>
      <c r="J78" s="1789">
        <v>0</v>
      </c>
      <c r="K78" s="1789">
        <v>0</v>
      </c>
      <c r="L78" s="1588">
        <v>0</v>
      </c>
      <c r="M78" s="1587"/>
      <c r="N78" s="465"/>
      <c r="O78" s="1584">
        <f t="shared" si="13"/>
        <v>0</v>
      </c>
      <c r="P78" s="1584">
        <f t="shared" si="13"/>
        <v>0</v>
      </c>
      <c r="Q78" s="1584">
        <f t="shared" si="13"/>
        <v>54082.619999997318</v>
      </c>
      <c r="R78" s="1584">
        <f t="shared" si="13"/>
        <v>498.76000000536442</v>
      </c>
      <c r="S78" s="1584">
        <f t="shared" si="13"/>
        <v>5281.1199999973178</v>
      </c>
      <c r="T78" s="1584">
        <f t="shared" si="13"/>
        <v>11408.849999997765</v>
      </c>
      <c r="U78" s="1584">
        <f t="shared" si="13"/>
        <v>101759.26924873427</v>
      </c>
      <c r="V78" s="1590">
        <f t="shared" si="13"/>
        <v>0</v>
      </c>
      <c r="W78" s="743"/>
      <c r="X78" s="743"/>
      <c r="Y78" s="676"/>
      <c r="Z78" s="676"/>
      <c r="AA78" s="755"/>
      <c r="AB78" s="676"/>
      <c r="AC78" s="358"/>
      <c r="AD78" s="358"/>
      <c r="AE78" s="358"/>
      <c r="AF78" s="358"/>
      <c r="AG78" s="359"/>
    </row>
    <row r="79" spans="1:33" ht="13.8">
      <c r="A79" s="357"/>
      <c r="B79" s="357"/>
      <c r="C79" s="358" t="s">
        <v>333</v>
      </c>
      <c r="D79" s="1082" t="s">
        <v>306</v>
      </c>
      <c r="E79" s="1789">
        <v>0</v>
      </c>
      <c r="F79" s="1789">
        <v>0</v>
      </c>
      <c r="G79" s="1789">
        <v>0</v>
      </c>
      <c r="H79" s="1789">
        <v>0</v>
      </c>
      <c r="I79" s="1789">
        <v>0</v>
      </c>
      <c r="J79" s="1789">
        <v>0</v>
      </c>
      <c r="K79" s="1789">
        <v>0</v>
      </c>
      <c r="L79" s="1588">
        <v>0</v>
      </c>
      <c r="M79" s="1587"/>
      <c r="N79" s="465"/>
      <c r="O79" s="1584">
        <f t="shared" si="13"/>
        <v>0</v>
      </c>
      <c r="P79" s="1584">
        <f t="shared" si="13"/>
        <v>0</v>
      </c>
      <c r="Q79" s="1584">
        <f t="shared" si="13"/>
        <v>54082.619999997318</v>
      </c>
      <c r="R79" s="1584">
        <f t="shared" si="13"/>
        <v>498.76000000536442</v>
      </c>
      <c r="S79" s="1584">
        <f t="shared" si="13"/>
        <v>5281.1199999973178</v>
      </c>
      <c r="T79" s="1584">
        <f t="shared" si="13"/>
        <v>11408.849999997765</v>
      </c>
      <c r="U79" s="1584">
        <f t="shared" si="13"/>
        <v>101759.26924873427</v>
      </c>
      <c r="V79" s="1590">
        <f t="shared" si="13"/>
        <v>0</v>
      </c>
      <c r="W79" s="743"/>
      <c r="X79" s="743"/>
      <c r="Y79" s="676"/>
      <c r="Z79" s="676"/>
      <c r="AA79" s="755"/>
      <c r="AB79" s="676"/>
      <c r="AC79" s="358"/>
      <c r="AD79" s="358"/>
      <c r="AE79" s="358"/>
      <c r="AF79" s="358"/>
      <c r="AG79" s="359"/>
    </row>
    <row r="80" spans="1:33" ht="13.8">
      <c r="A80" s="357"/>
      <c r="B80" s="357"/>
      <c r="C80" s="358" t="s">
        <v>334</v>
      </c>
      <c r="D80" s="1082" t="s">
        <v>306</v>
      </c>
      <c r="E80" s="1789">
        <v>0</v>
      </c>
      <c r="F80" s="1789">
        <v>0</v>
      </c>
      <c r="G80" s="1789">
        <v>0</v>
      </c>
      <c r="H80" s="1789">
        <v>0</v>
      </c>
      <c r="I80" s="1789">
        <v>0</v>
      </c>
      <c r="J80" s="1789">
        <v>0</v>
      </c>
      <c r="K80" s="1789">
        <v>0</v>
      </c>
      <c r="L80" s="1588">
        <v>0</v>
      </c>
      <c r="M80" s="1587"/>
      <c r="N80" s="465"/>
      <c r="O80" s="1584">
        <f t="shared" si="13"/>
        <v>0</v>
      </c>
      <c r="P80" s="1584">
        <f t="shared" si="13"/>
        <v>0</v>
      </c>
      <c r="Q80" s="1584">
        <f t="shared" si="13"/>
        <v>54082.619999997318</v>
      </c>
      <c r="R80" s="1584">
        <f t="shared" si="13"/>
        <v>498.76000000536442</v>
      </c>
      <c r="S80" s="1584">
        <f t="shared" si="13"/>
        <v>5281.1199999973178</v>
      </c>
      <c r="T80" s="1584">
        <f t="shared" si="13"/>
        <v>11408.849999997765</v>
      </c>
      <c r="U80" s="1584">
        <f t="shared" si="13"/>
        <v>101759.26924873427</v>
      </c>
      <c r="V80" s="1590">
        <f t="shared" si="13"/>
        <v>0</v>
      </c>
      <c r="W80" s="743"/>
      <c r="X80" s="743"/>
      <c r="Y80" s="676"/>
      <c r="Z80" s="676"/>
      <c r="AA80" s="755"/>
      <c r="AB80" s="676"/>
      <c r="AC80" s="358"/>
      <c r="AD80" s="358"/>
      <c r="AE80" s="358"/>
      <c r="AF80" s="358"/>
      <c r="AG80" s="359"/>
    </row>
    <row r="81" spans="1:33" ht="13.8">
      <c r="A81" s="357"/>
      <c r="B81" s="357"/>
      <c r="C81" s="358" t="s">
        <v>335</v>
      </c>
      <c r="D81" s="1082" t="s">
        <v>306</v>
      </c>
      <c r="E81" s="1789">
        <v>0</v>
      </c>
      <c r="F81" s="1789">
        <v>0</v>
      </c>
      <c r="G81" s="1789">
        <v>0</v>
      </c>
      <c r="H81" s="1789">
        <v>0</v>
      </c>
      <c r="I81" s="1789">
        <v>0</v>
      </c>
      <c r="J81" s="1789">
        <v>0</v>
      </c>
      <c r="K81" s="1789">
        <v>0</v>
      </c>
      <c r="L81" s="1588">
        <v>0</v>
      </c>
      <c r="M81" s="1587"/>
      <c r="N81" s="465"/>
      <c r="O81" s="1584">
        <f t="shared" si="13"/>
        <v>0</v>
      </c>
      <c r="P81" s="1584">
        <f t="shared" si="13"/>
        <v>0</v>
      </c>
      <c r="Q81" s="1584">
        <f t="shared" si="13"/>
        <v>54082.619999997318</v>
      </c>
      <c r="R81" s="1584">
        <f t="shared" si="13"/>
        <v>498.76000000536442</v>
      </c>
      <c r="S81" s="1584">
        <f t="shared" si="13"/>
        <v>5281.1199999973178</v>
      </c>
      <c r="T81" s="1584">
        <f t="shared" si="13"/>
        <v>11408.849999997765</v>
      </c>
      <c r="U81" s="1584">
        <f t="shared" si="13"/>
        <v>101759.26924873427</v>
      </c>
      <c r="V81" s="1590">
        <f t="shared" si="13"/>
        <v>0</v>
      </c>
      <c r="W81" s="743"/>
      <c r="X81" s="743"/>
      <c r="Y81" s="676"/>
      <c r="Z81" s="676"/>
      <c r="AA81" s="755"/>
      <c r="AB81" s="676"/>
      <c r="AC81" s="358"/>
      <c r="AD81" s="358"/>
      <c r="AE81" s="358"/>
      <c r="AF81" s="358"/>
      <c r="AG81" s="359"/>
    </row>
    <row r="82" spans="1:33" ht="14.4" thickBot="1">
      <c r="A82" s="357"/>
      <c r="B82" s="357"/>
      <c r="C82" s="358" t="s">
        <v>336</v>
      </c>
      <c r="D82" s="764" t="s">
        <v>306</v>
      </c>
      <c r="E82" s="1793">
        <v>0</v>
      </c>
      <c r="F82" s="1793">
        <v>0</v>
      </c>
      <c r="G82" s="1793">
        <v>0</v>
      </c>
      <c r="H82" s="1793">
        <v>0</v>
      </c>
      <c r="I82" s="1793">
        <v>0</v>
      </c>
      <c r="J82" s="1793">
        <v>0</v>
      </c>
      <c r="K82" s="1793">
        <v>0</v>
      </c>
      <c r="L82" s="1591">
        <v>0</v>
      </c>
      <c r="M82" s="1587"/>
      <c r="N82" s="1767"/>
      <c r="O82" s="1585">
        <f t="shared" si="13"/>
        <v>0</v>
      </c>
      <c r="P82" s="1585">
        <f t="shared" si="13"/>
        <v>0</v>
      </c>
      <c r="Q82" s="1585">
        <f t="shared" si="13"/>
        <v>54082.619999997318</v>
      </c>
      <c r="R82" s="1585">
        <f t="shared" si="13"/>
        <v>498.76000000536442</v>
      </c>
      <c r="S82" s="1585">
        <f t="shared" si="13"/>
        <v>5281.1199999973178</v>
      </c>
      <c r="T82" s="1585">
        <f t="shared" si="13"/>
        <v>11408.849999997765</v>
      </c>
      <c r="U82" s="1585">
        <f t="shared" si="13"/>
        <v>101759.26924873427</v>
      </c>
      <c r="V82" s="1592">
        <f t="shared" si="13"/>
        <v>0</v>
      </c>
      <c r="W82" s="743"/>
      <c r="X82" s="743"/>
      <c r="Y82" s="676"/>
      <c r="Z82" s="676"/>
      <c r="AA82" s="755"/>
      <c r="AB82" s="676"/>
      <c r="AC82" s="358"/>
      <c r="AD82" s="358"/>
      <c r="AE82" s="358"/>
      <c r="AF82" s="358"/>
      <c r="AG82" s="359"/>
    </row>
    <row r="83" spans="1:33" ht="13.8">
      <c r="A83" s="357"/>
      <c r="B83" s="357"/>
      <c r="C83" s="358" t="s">
        <v>603</v>
      </c>
      <c r="D83" s="376" t="s">
        <v>525</v>
      </c>
      <c r="E83" s="1586">
        <f>SUM(E70:E82)</f>
        <v>0</v>
      </c>
      <c r="F83" s="1586">
        <f t="shared" ref="F83:L83" si="14">SUM(F70:F82)</f>
        <v>0</v>
      </c>
      <c r="G83" s="1586">
        <f t="shared" si="14"/>
        <v>54082.619999997318</v>
      </c>
      <c r="H83" s="1586">
        <f t="shared" si="14"/>
        <v>498.76000000536442</v>
      </c>
      <c r="I83" s="1586">
        <f t="shared" si="14"/>
        <v>5281.1199999973178</v>
      </c>
      <c r="J83" s="1586">
        <f t="shared" si="14"/>
        <v>11408.849999997765</v>
      </c>
      <c r="K83" s="1586">
        <f t="shared" si="14"/>
        <v>101759.26924873427</v>
      </c>
      <c r="L83" s="1586">
        <f t="shared" si="14"/>
        <v>0</v>
      </c>
      <c r="M83" s="1587"/>
      <c r="O83" s="1326">
        <f>SUM(O70:O82)</f>
        <v>0</v>
      </c>
      <c r="P83" s="1326">
        <f t="shared" ref="P83:V83" si="15">SUM(P70:P82)</f>
        <v>0</v>
      </c>
      <c r="Q83" s="1326">
        <f t="shared" si="15"/>
        <v>606479.59999997914</v>
      </c>
      <c r="R83" s="1326">
        <f t="shared" si="15"/>
        <v>5946.9100000709295</v>
      </c>
      <c r="S83" s="1326">
        <f t="shared" si="15"/>
        <v>57040.709999971092</v>
      </c>
      <c r="T83" s="1326">
        <f t="shared" si="15"/>
        <v>105929.9099999778</v>
      </c>
      <c r="U83" s="1326">
        <f t="shared" si="15"/>
        <v>814074.15398987406</v>
      </c>
      <c r="V83" s="1326">
        <f t="shared" si="15"/>
        <v>0</v>
      </c>
      <c r="W83" s="743"/>
      <c r="X83" s="743"/>
      <c r="Y83" s="676"/>
      <c r="Z83" s="676"/>
      <c r="AA83" s="755"/>
      <c r="AB83" s="676"/>
      <c r="AC83" s="358"/>
      <c r="AD83" s="358"/>
      <c r="AE83" s="358"/>
      <c r="AF83" s="358"/>
      <c r="AG83" s="359"/>
    </row>
    <row r="84" spans="1:33" ht="14.4" thickBot="1">
      <c r="A84" s="357"/>
      <c r="B84" s="357"/>
      <c r="C84" s="358"/>
      <c r="D84" s="376"/>
      <c r="E84" s="1586"/>
      <c r="F84" s="1586"/>
      <c r="G84" s="1586"/>
      <c r="H84" s="1586"/>
      <c r="I84" s="1586"/>
      <c r="J84" s="1586"/>
      <c r="K84" s="1586"/>
      <c r="L84" s="1586"/>
      <c r="M84" s="1587"/>
      <c r="O84" s="1326"/>
      <c r="P84" s="1326"/>
      <c r="Q84" s="1326"/>
      <c r="R84" s="1326"/>
      <c r="S84" s="1326"/>
      <c r="T84" s="1326"/>
      <c r="U84" s="1326"/>
      <c r="V84" s="1326"/>
      <c r="W84" s="743"/>
      <c r="X84" s="743"/>
      <c r="Y84" s="676"/>
      <c r="Z84" s="676"/>
      <c r="AA84" s="755"/>
      <c r="AB84" s="676"/>
      <c r="AC84" s="358"/>
      <c r="AD84" s="358"/>
      <c r="AE84" s="358"/>
      <c r="AF84" s="358"/>
      <c r="AG84" s="359"/>
    </row>
    <row r="85" spans="1:33" ht="14.4" thickBot="1">
      <c r="A85" s="357"/>
      <c r="B85" s="357"/>
      <c r="M85" s="1587"/>
      <c r="N85" s="2077" t="s">
        <v>660</v>
      </c>
      <c r="O85" s="2078"/>
      <c r="P85" s="2078"/>
      <c r="Q85" s="2078"/>
      <c r="R85" s="2078"/>
      <c r="S85" s="2078"/>
      <c r="T85" s="2078"/>
      <c r="U85" s="2078"/>
      <c r="V85" s="2079"/>
      <c r="W85" s="743"/>
      <c r="X85" s="743"/>
      <c r="Y85" s="676"/>
      <c r="Z85" s="676"/>
      <c r="AA85" s="755"/>
      <c r="AB85" s="676"/>
      <c r="AC85" s="358"/>
      <c r="AD85" s="358"/>
      <c r="AE85" s="358"/>
      <c r="AF85" s="358"/>
      <c r="AG85" s="359"/>
    </row>
    <row r="86" spans="1:33" ht="27" thickBot="1">
      <c r="A86" s="357"/>
      <c r="B86" s="357"/>
      <c r="C86" s="357"/>
      <c r="D86" s="1578" t="s">
        <v>432</v>
      </c>
      <c r="E86" s="1770" t="s">
        <v>433</v>
      </c>
      <c r="F86" s="1770" t="s">
        <v>434</v>
      </c>
      <c r="G86" s="1770" t="s">
        <v>435</v>
      </c>
      <c r="H86" s="1770" t="s">
        <v>722</v>
      </c>
      <c r="I86" s="1770" t="s">
        <v>728</v>
      </c>
      <c r="J86" s="1611" t="s">
        <v>544</v>
      </c>
      <c r="K86" s="1611" t="s">
        <v>545</v>
      </c>
      <c r="L86" s="1771" t="s">
        <v>347</v>
      </c>
      <c r="M86" s="1587"/>
      <c r="N86" s="1323" t="s">
        <v>659</v>
      </c>
      <c r="O86" s="1246" t="str">
        <f t="shared" ref="O86:V89" si="16">E86</f>
        <v>(B)</v>
      </c>
      <c r="P86" s="1246" t="str">
        <f t="shared" si="16"/>
        <v>(C)</v>
      </c>
      <c r="Q86" s="1246" t="str">
        <f t="shared" si="16"/>
        <v>(D)</v>
      </c>
      <c r="R86" s="1246" t="str">
        <f t="shared" si="16"/>
        <v>(E)</v>
      </c>
      <c r="S86" s="1246" t="str">
        <f t="shared" si="16"/>
        <v>(F)</v>
      </c>
      <c r="T86" s="1246" t="str">
        <f t="shared" si="16"/>
        <v>(G)</v>
      </c>
      <c r="U86" s="1246" t="str">
        <f t="shared" si="16"/>
        <v>(H)</v>
      </c>
      <c r="V86" s="1246" t="str">
        <f t="shared" si="16"/>
        <v>(I)</v>
      </c>
      <c r="W86" s="743"/>
      <c r="X86" s="743"/>
      <c r="Y86" s="676"/>
      <c r="Z86" s="676"/>
      <c r="AA86" s="755"/>
      <c r="AB86" s="676"/>
      <c r="AC86" s="358"/>
      <c r="AD86" s="358"/>
      <c r="AE86" s="358"/>
      <c r="AF86" s="358"/>
      <c r="AG86" s="359"/>
    </row>
    <row r="87" spans="1:33" ht="30.75" customHeight="1" thickBot="1">
      <c r="A87" s="357"/>
      <c r="B87" s="357"/>
      <c r="C87" s="358"/>
      <c r="D87" s="1323"/>
      <c r="E87" s="1575" t="s">
        <v>1222</v>
      </c>
      <c r="F87" s="1575" t="s">
        <v>1277</v>
      </c>
      <c r="G87" s="1575" t="s">
        <v>1092</v>
      </c>
      <c r="H87" s="1575" t="s">
        <v>1302</v>
      </c>
      <c r="I87" s="1575"/>
      <c r="J87" s="1575"/>
      <c r="K87" s="1575"/>
      <c r="L87" s="1576"/>
      <c r="M87" s="1587"/>
      <c r="N87" s="1773"/>
      <c r="O87" s="1246" t="str">
        <f t="shared" si="16"/>
        <v>Mainsburg</v>
      </c>
      <c r="P87" s="1246" t="str">
        <f t="shared" si="16"/>
        <v>Piercebrook SS</v>
      </c>
      <c r="Q87" s="1246" t="str">
        <f t="shared" si="16"/>
        <v>Moshannon</v>
      </c>
      <c r="R87" s="1246" t="str">
        <f t="shared" si="16"/>
        <v>Farmers Valley SS</v>
      </c>
      <c r="S87" s="1246">
        <f t="shared" si="16"/>
        <v>0</v>
      </c>
      <c r="T87" s="1246">
        <f t="shared" si="16"/>
        <v>0</v>
      </c>
      <c r="U87" s="1246">
        <f t="shared" si="16"/>
        <v>0</v>
      </c>
      <c r="V87" s="1246">
        <f t="shared" si="16"/>
        <v>0</v>
      </c>
      <c r="W87" s="743"/>
      <c r="X87" s="743"/>
      <c r="Y87" s="676"/>
      <c r="Z87" s="676"/>
      <c r="AA87" s="755"/>
      <c r="AB87" s="676"/>
      <c r="AC87" s="358"/>
      <c r="AD87" s="358"/>
      <c r="AE87" s="358"/>
      <c r="AF87" s="358"/>
      <c r="AG87" s="359"/>
    </row>
    <row r="88" spans="1:33" ht="14.4" thickBot="1">
      <c r="A88" s="357"/>
      <c r="B88" s="357"/>
      <c r="C88" s="358"/>
      <c r="D88" s="1577"/>
      <c r="E88" s="1246" t="s">
        <v>721</v>
      </c>
      <c r="F88" s="1246" t="s">
        <v>721</v>
      </c>
      <c r="G88" s="1246" t="s">
        <v>721</v>
      </c>
      <c r="H88" s="1246" t="s">
        <v>721</v>
      </c>
      <c r="I88" s="1246" t="s">
        <v>721</v>
      </c>
      <c r="J88" s="1246" t="s">
        <v>721</v>
      </c>
      <c r="K88" s="1246" t="s">
        <v>721</v>
      </c>
      <c r="L88" s="1247" t="s">
        <v>721</v>
      </c>
      <c r="M88" s="1587"/>
      <c r="N88" s="1773"/>
      <c r="O88" s="1582" t="str">
        <f t="shared" si="16"/>
        <v>(in service)</v>
      </c>
      <c r="P88" s="1582" t="str">
        <f t="shared" si="16"/>
        <v>(in service)</v>
      </c>
      <c r="Q88" s="1582" t="str">
        <f t="shared" si="16"/>
        <v>(in service)</v>
      </c>
      <c r="R88" s="1582" t="str">
        <f t="shared" si="16"/>
        <v>(in service)</v>
      </c>
      <c r="S88" s="1582" t="str">
        <f t="shared" si="16"/>
        <v>(in service)</v>
      </c>
      <c r="T88" s="1582" t="str">
        <f t="shared" si="16"/>
        <v>(in service)</v>
      </c>
      <c r="U88" s="1582" t="str">
        <f t="shared" si="16"/>
        <v>(in service)</v>
      </c>
      <c r="V88" s="1589" t="str">
        <f t="shared" si="16"/>
        <v>(in service)</v>
      </c>
      <c r="W88" s="743"/>
      <c r="X88" s="743"/>
      <c r="Y88" s="676"/>
      <c r="Z88" s="676"/>
      <c r="AA88" s="755"/>
      <c r="AB88" s="676"/>
      <c r="AC88" s="358"/>
      <c r="AD88" s="358"/>
      <c r="AE88" s="358"/>
      <c r="AF88" s="358"/>
      <c r="AG88" s="359"/>
    </row>
    <row r="89" spans="1:33" ht="21.6">
      <c r="A89" s="357"/>
      <c r="B89" s="357"/>
      <c r="C89" s="740" t="s">
        <v>123</v>
      </c>
      <c r="D89" s="1081" t="s">
        <v>305</v>
      </c>
      <c r="E89" s="1789"/>
      <c r="F89" s="1789"/>
      <c r="G89" s="1789"/>
      <c r="H89" s="1789"/>
      <c r="I89" s="1789"/>
      <c r="J89" s="1789"/>
      <c r="K89" s="1789"/>
      <c r="L89" s="1588"/>
      <c r="M89" s="1587"/>
      <c r="N89" s="465"/>
      <c r="O89" s="1582">
        <f t="shared" si="16"/>
        <v>0</v>
      </c>
      <c r="P89" s="1582">
        <f t="shared" si="16"/>
        <v>0</v>
      </c>
      <c r="Q89" s="1582">
        <f t="shared" si="16"/>
        <v>0</v>
      </c>
      <c r="R89" s="1582">
        <f t="shared" si="16"/>
        <v>0</v>
      </c>
      <c r="S89" s="1582">
        <f t="shared" si="16"/>
        <v>0</v>
      </c>
      <c r="T89" s="1582">
        <f t="shared" si="16"/>
        <v>0</v>
      </c>
      <c r="U89" s="1582">
        <f t="shared" si="16"/>
        <v>0</v>
      </c>
      <c r="V89" s="1589">
        <f t="shared" si="16"/>
        <v>0</v>
      </c>
      <c r="W89" s="743"/>
      <c r="X89" s="743"/>
      <c r="Y89" s="676"/>
      <c r="Z89" s="676"/>
      <c r="AA89" s="755"/>
      <c r="AB89" s="676"/>
      <c r="AC89" s="358"/>
      <c r="AD89" s="358"/>
      <c r="AE89" s="358"/>
      <c r="AF89" s="358"/>
      <c r="AG89" s="359"/>
    </row>
    <row r="90" spans="1:33" ht="13.8">
      <c r="A90" s="357"/>
      <c r="B90" s="357"/>
      <c r="C90" s="614" t="s">
        <v>1295</v>
      </c>
      <c r="D90" s="1081" t="s">
        <v>305</v>
      </c>
      <c r="E90" s="1789"/>
      <c r="F90" s="1789">
        <v>-276.30000000074506</v>
      </c>
      <c r="G90" s="1789"/>
      <c r="H90" s="1789">
        <v>1769.1700000017881</v>
      </c>
      <c r="I90" s="1789"/>
      <c r="J90" s="1789"/>
      <c r="K90" s="1789"/>
      <c r="L90" s="1588"/>
      <c r="M90" s="1587"/>
      <c r="N90" s="465"/>
      <c r="O90" s="1584">
        <f t="shared" ref="O90:O101" si="17">O89+E90</f>
        <v>0</v>
      </c>
      <c r="P90" s="1584">
        <f t="shared" ref="P90:P101" si="18">P89+F90</f>
        <v>-276.30000000074506</v>
      </c>
      <c r="Q90" s="1584">
        <f t="shared" ref="Q90:Q101" si="19">Q89+G90</f>
        <v>0</v>
      </c>
      <c r="R90" s="1584">
        <f t="shared" ref="R90:R101" si="20">R89+H90</f>
        <v>1769.1700000017881</v>
      </c>
      <c r="S90" s="1584">
        <f t="shared" ref="S90:S101" si="21">S89+I90</f>
        <v>0</v>
      </c>
      <c r="T90" s="1584">
        <f t="shared" ref="T90:T101" si="22">T89+J90</f>
        <v>0</v>
      </c>
      <c r="U90" s="1584">
        <f t="shared" ref="U90:U101" si="23">U89+K90</f>
        <v>0</v>
      </c>
      <c r="V90" s="1590">
        <f t="shared" ref="V90:V101" si="24">V89+L90</f>
        <v>0</v>
      </c>
      <c r="W90" s="743"/>
      <c r="X90" s="743"/>
      <c r="Y90" s="676"/>
      <c r="Z90" s="676"/>
      <c r="AA90" s="755"/>
      <c r="AB90" s="676"/>
      <c r="AC90" s="358"/>
      <c r="AD90" s="358"/>
      <c r="AE90" s="358"/>
      <c r="AF90" s="358"/>
      <c r="AG90" s="359"/>
    </row>
    <row r="91" spans="1:33" ht="13.8">
      <c r="A91" s="357"/>
      <c r="B91" s="357"/>
      <c r="C91" s="358" t="s">
        <v>327</v>
      </c>
      <c r="D91" s="1081" t="s">
        <v>305</v>
      </c>
      <c r="E91" s="1789">
        <v>101801.76000000164</v>
      </c>
      <c r="F91" s="1789">
        <v>-100.17999999970198</v>
      </c>
      <c r="G91" s="1789"/>
      <c r="H91" s="1789">
        <v>354</v>
      </c>
      <c r="I91" s="1789"/>
      <c r="J91" s="1789"/>
      <c r="K91" s="1789"/>
      <c r="L91" s="1588"/>
      <c r="M91" s="1587"/>
      <c r="N91" s="465"/>
      <c r="O91" s="1584">
        <f t="shared" si="17"/>
        <v>101801.76000000164</v>
      </c>
      <c r="P91" s="1584">
        <f t="shared" si="18"/>
        <v>-376.48000000044703</v>
      </c>
      <c r="Q91" s="1584">
        <f t="shared" si="19"/>
        <v>0</v>
      </c>
      <c r="R91" s="1584">
        <f t="shared" si="20"/>
        <v>2123.1700000017881</v>
      </c>
      <c r="S91" s="1584">
        <f t="shared" si="21"/>
        <v>0</v>
      </c>
      <c r="T91" s="1584">
        <f t="shared" si="22"/>
        <v>0</v>
      </c>
      <c r="U91" s="1584">
        <f t="shared" si="23"/>
        <v>0</v>
      </c>
      <c r="V91" s="1590">
        <f t="shared" si="24"/>
        <v>0</v>
      </c>
      <c r="W91" s="743"/>
      <c r="X91" s="743"/>
      <c r="Y91" s="676"/>
      <c r="Z91" s="676"/>
      <c r="AA91" s="755"/>
      <c r="AB91" s="676"/>
      <c r="AC91" s="358"/>
      <c r="AD91" s="358"/>
      <c r="AE91" s="358"/>
      <c r="AF91" s="358"/>
      <c r="AG91" s="359"/>
    </row>
    <row r="92" spans="1:33" ht="13.8">
      <c r="A92" s="357"/>
      <c r="B92" s="357"/>
      <c r="C92" s="358" t="s">
        <v>328</v>
      </c>
      <c r="D92" s="1081" t="s">
        <v>305</v>
      </c>
      <c r="E92" s="1789">
        <v>39421.530000001192</v>
      </c>
      <c r="F92" s="1789">
        <v>1339.339999999851</v>
      </c>
      <c r="G92" s="1789"/>
      <c r="H92" s="1789">
        <v>3212</v>
      </c>
      <c r="I92" s="1789"/>
      <c r="J92" s="1789"/>
      <c r="K92" s="1789"/>
      <c r="L92" s="1588"/>
      <c r="M92" s="1587"/>
      <c r="N92" s="465"/>
      <c r="O92" s="1584">
        <f t="shared" si="17"/>
        <v>141223.29000000283</v>
      </c>
      <c r="P92" s="1584">
        <f t="shared" si="18"/>
        <v>962.85999999940395</v>
      </c>
      <c r="Q92" s="1584">
        <f t="shared" si="19"/>
        <v>0</v>
      </c>
      <c r="R92" s="1584">
        <f t="shared" si="20"/>
        <v>5335.1700000017881</v>
      </c>
      <c r="S92" s="1584">
        <f t="shared" si="21"/>
        <v>0</v>
      </c>
      <c r="T92" s="1584">
        <f t="shared" si="22"/>
        <v>0</v>
      </c>
      <c r="U92" s="1584">
        <f t="shared" si="23"/>
        <v>0</v>
      </c>
      <c r="V92" s="1590">
        <f t="shared" si="24"/>
        <v>0</v>
      </c>
      <c r="W92" s="743"/>
      <c r="X92" s="743"/>
      <c r="Y92" s="676"/>
      <c r="Z92" s="676"/>
      <c r="AA92" s="755"/>
      <c r="AB92" s="676"/>
      <c r="AC92" s="358"/>
      <c r="AD92" s="358"/>
      <c r="AE92" s="358"/>
      <c r="AF92" s="358"/>
      <c r="AG92" s="359"/>
    </row>
    <row r="93" spans="1:33" ht="13.8">
      <c r="A93" s="357"/>
      <c r="B93" s="357"/>
      <c r="C93" s="358" t="s">
        <v>329</v>
      </c>
      <c r="D93" s="1081" t="s">
        <v>306</v>
      </c>
      <c r="E93" s="1789">
        <v>-3136.390000000596</v>
      </c>
      <c r="F93" s="1789">
        <v>2244.2800000011921</v>
      </c>
      <c r="G93" s="1789">
        <v>-120404.13999999966</v>
      </c>
      <c r="H93" s="1789">
        <v>-881.64999999850988</v>
      </c>
      <c r="I93" s="1789">
        <v>0</v>
      </c>
      <c r="J93" s="1789">
        <v>0</v>
      </c>
      <c r="K93" s="1789">
        <v>0</v>
      </c>
      <c r="L93" s="1588">
        <v>0</v>
      </c>
      <c r="M93" s="1587"/>
      <c r="N93" s="465"/>
      <c r="O93" s="1584">
        <f t="shared" si="17"/>
        <v>138086.90000000224</v>
      </c>
      <c r="P93" s="1584">
        <f t="shared" si="18"/>
        <v>3207.140000000596</v>
      </c>
      <c r="Q93" s="1584">
        <f t="shared" si="19"/>
        <v>-120404.13999999966</v>
      </c>
      <c r="R93" s="1584">
        <f t="shared" si="20"/>
        <v>4453.5200000032783</v>
      </c>
      <c r="S93" s="1584">
        <f t="shared" si="21"/>
        <v>0</v>
      </c>
      <c r="T93" s="1584">
        <f t="shared" si="22"/>
        <v>0</v>
      </c>
      <c r="U93" s="1584">
        <f t="shared" si="23"/>
        <v>0</v>
      </c>
      <c r="V93" s="1590">
        <f t="shared" si="24"/>
        <v>0</v>
      </c>
      <c r="W93" s="743"/>
      <c r="X93" s="743"/>
      <c r="Y93" s="676"/>
      <c r="Z93" s="676"/>
      <c r="AA93" s="755"/>
      <c r="AB93" s="676"/>
      <c r="AC93" s="358"/>
      <c r="AD93" s="358"/>
      <c r="AE93" s="358"/>
      <c r="AF93" s="358"/>
      <c r="AG93" s="359"/>
    </row>
    <row r="94" spans="1:33" ht="13.8">
      <c r="A94" s="357"/>
      <c r="B94" s="357"/>
      <c r="C94" s="358" t="s">
        <v>296</v>
      </c>
      <c r="D94" s="1082" t="s">
        <v>306</v>
      </c>
      <c r="E94" s="1789">
        <v>11117627.370743431</v>
      </c>
      <c r="F94" s="1789">
        <v>0</v>
      </c>
      <c r="G94" s="1789">
        <v>0</v>
      </c>
      <c r="H94" s="1789">
        <v>0</v>
      </c>
      <c r="I94" s="1789">
        <v>0</v>
      </c>
      <c r="J94" s="1789">
        <v>0</v>
      </c>
      <c r="K94" s="1789">
        <v>0</v>
      </c>
      <c r="L94" s="1588">
        <v>0</v>
      </c>
      <c r="M94" s="1587"/>
      <c r="N94" s="465"/>
      <c r="O94" s="1584">
        <f t="shared" si="17"/>
        <v>11255714.270743433</v>
      </c>
      <c r="P94" s="1584">
        <f t="shared" si="18"/>
        <v>3207.140000000596</v>
      </c>
      <c r="Q94" s="1584">
        <f t="shared" si="19"/>
        <v>-120404.13999999966</v>
      </c>
      <c r="R94" s="1584">
        <f t="shared" si="20"/>
        <v>4453.5200000032783</v>
      </c>
      <c r="S94" s="1584">
        <f t="shared" si="21"/>
        <v>0</v>
      </c>
      <c r="T94" s="1584">
        <f t="shared" si="22"/>
        <v>0</v>
      </c>
      <c r="U94" s="1584">
        <f t="shared" si="23"/>
        <v>0</v>
      </c>
      <c r="V94" s="1590">
        <f t="shared" si="24"/>
        <v>0</v>
      </c>
      <c r="W94" s="743"/>
      <c r="X94" s="743"/>
      <c r="Y94" s="676"/>
      <c r="Z94" s="676"/>
      <c r="AA94" s="755"/>
      <c r="AB94" s="676"/>
      <c r="AC94" s="358"/>
      <c r="AD94" s="358"/>
      <c r="AE94" s="358"/>
      <c r="AF94" s="358"/>
      <c r="AG94" s="359"/>
    </row>
    <row r="95" spans="1:33" ht="13.8">
      <c r="A95" s="357"/>
      <c r="B95" s="357"/>
      <c r="C95" s="358" t="s">
        <v>330</v>
      </c>
      <c r="D95" s="1082" t="s">
        <v>306</v>
      </c>
      <c r="E95" s="1789">
        <v>84305.642399999997</v>
      </c>
      <c r="F95" s="1789">
        <v>0</v>
      </c>
      <c r="G95" s="1789">
        <v>0</v>
      </c>
      <c r="H95" s="1789">
        <v>0</v>
      </c>
      <c r="I95" s="1789">
        <v>0</v>
      </c>
      <c r="J95" s="1789">
        <v>0</v>
      </c>
      <c r="K95" s="1789">
        <v>0</v>
      </c>
      <c r="L95" s="1588">
        <v>0</v>
      </c>
      <c r="M95" s="1587"/>
      <c r="N95" s="465"/>
      <c r="O95" s="1584">
        <f t="shared" si="17"/>
        <v>11340019.913143434</v>
      </c>
      <c r="P95" s="1584">
        <f t="shared" si="18"/>
        <v>3207.140000000596</v>
      </c>
      <c r="Q95" s="1584">
        <f t="shared" si="19"/>
        <v>-120404.13999999966</v>
      </c>
      <c r="R95" s="1584">
        <f t="shared" si="20"/>
        <v>4453.5200000032783</v>
      </c>
      <c r="S95" s="1584">
        <f t="shared" si="21"/>
        <v>0</v>
      </c>
      <c r="T95" s="1584">
        <f t="shared" si="22"/>
        <v>0</v>
      </c>
      <c r="U95" s="1584">
        <f t="shared" si="23"/>
        <v>0</v>
      </c>
      <c r="V95" s="1590">
        <f t="shared" si="24"/>
        <v>0</v>
      </c>
      <c r="W95" s="743"/>
      <c r="X95" s="743"/>
      <c r="Y95" s="676"/>
      <c r="Z95" s="676"/>
      <c r="AA95" s="755"/>
      <c r="AB95" s="676"/>
      <c r="AC95" s="358"/>
      <c r="AD95" s="358"/>
      <c r="AE95" s="358"/>
      <c r="AF95" s="358"/>
      <c r="AG95" s="359"/>
    </row>
    <row r="96" spans="1:33" ht="13.8">
      <c r="A96" s="357"/>
      <c r="B96" s="357"/>
      <c r="C96" s="358" t="s">
        <v>331</v>
      </c>
      <c r="D96" s="1082" t="s">
        <v>306</v>
      </c>
      <c r="E96" s="1789">
        <v>43909.188750000001</v>
      </c>
      <c r="F96" s="1789">
        <v>0</v>
      </c>
      <c r="G96" s="1789">
        <v>0</v>
      </c>
      <c r="H96" s="1789">
        <v>0</v>
      </c>
      <c r="I96" s="1789">
        <v>0</v>
      </c>
      <c r="J96" s="1789">
        <v>0</v>
      </c>
      <c r="K96" s="1789">
        <v>0</v>
      </c>
      <c r="L96" s="1588">
        <v>0</v>
      </c>
      <c r="M96" s="1587"/>
      <c r="N96" s="465"/>
      <c r="O96" s="1584">
        <f t="shared" si="17"/>
        <v>11383929.101893434</v>
      </c>
      <c r="P96" s="1584">
        <f t="shared" si="18"/>
        <v>3207.140000000596</v>
      </c>
      <c r="Q96" s="1584">
        <f t="shared" si="19"/>
        <v>-120404.13999999966</v>
      </c>
      <c r="R96" s="1584">
        <f t="shared" si="20"/>
        <v>4453.5200000032783</v>
      </c>
      <c r="S96" s="1584">
        <f t="shared" si="21"/>
        <v>0</v>
      </c>
      <c r="T96" s="1584">
        <f t="shared" si="22"/>
        <v>0</v>
      </c>
      <c r="U96" s="1584">
        <f t="shared" si="23"/>
        <v>0</v>
      </c>
      <c r="V96" s="1590">
        <f t="shared" si="24"/>
        <v>0</v>
      </c>
      <c r="W96" s="743"/>
      <c r="X96" s="743"/>
      <c r="Y96" s="676"/>
      <c r="Z96" s="676"/>
      <c r="AA96" s="755"/>
      <c r="AB96" s="676"/>
      <c r="AC96" s="358"/>
      <c r="AD96" s="358"/>
      <c r="AE96" s="358"/>
      <c r="AF96" s="358"/>
      <c r="AG96" s="359"/>
    </row>
    <row r="97" spans="1:33" ht="13.8">
      <c r="A97" s="357"/>
      <c r="B97" s="357"/>
      <c r="C97" s="358" t="s">
        <v>332</v>
      </c>
      <c r="D97" s="1082" t="s">
        <v>306</v>
      </c>
      <c r="E97" s="1789">
        <v>14636.39625</v>
      </c>
      <c r="F97" s="1789">
        <v>0</v>
      </c>
      <c r="G97" s="1789">
        <v>0</v>
      </c>
      <c r="H97" s="1789">
        <v>0</v>
      </c>
      <c r="I97" s="1789">
        <v>0</v>
      </c>
      <c r="J97" s="1789">
        <v>0</v>
      </c>
      <c r="K97" s="1789">
        <v>0</v>
      </c>
      <c r="L97" s="1588">
        <v>0</v>
      </c>
      <c r="M97" s="1587"/>
      <c r="N97" s="465"/>
      <c r="O97" s="1584">
        <f t="shared" si="17"/>
        <v>11398565.498143435</v>
      </c>
      <c r="P97" s="1584">
        <f t="shared" si="18"/>
        <v>3207.140000000596</v>
      </c>
      <c r="Q97" s="1584">
        <f t="shared" si="19"/>
        <v>-120404.13999999966</v>
      </c>
      <c r="R97" s="1584">
        <f t="shared" si="20"/>
        <v>4453.5200000032783</v>
      </c>
      <c r="S97" s="1584">
        <f t="shared" si="21"/>
        <v>0</v>
      </c>
      <c r="T97" s="1584">
        <f t="shared" si="22"/>
        <v>0</v>
      </c>
      <c r="U97" s="1584">
        <f t="shared" si="23"/>
        <v>0</v>
      </c>
      <c r="V97" s="1590">
        <f t="shared" si="24"/>
        <v>0</v>
      </c>
      <c r="W97" s="743"/>
      <c r="X97" s="743"/>
      <c r="Y97" s="676"/>
      <c r="Z97" s="676"/>
      <c r="AA97" s="755"/>
      <c r="AB97" s="676"/>
      <c r="AC97" s="358"/>
      <c r="AD97" s="358"/>
      <c r="AE97" s="358"/>
      <c r="AF97" s="358"/>
      <c r="AG97" s="359"/>
    </row>
    <row r="98" spans="1:33" ht="13.8">
      <c r="A98" s="357"/>
      <c r="B98" s="357"/>
      <c r="C98" s="358" t="s">
        <v>333</v>
      </c>
      <c r="D98" s="1082" t="s">
        <v>306</v>
      </c>
      <c r="E98" s="1789">
        <v>0</v>
      </c>
      <c r="F98" s="1789">
        <v>0</v>
      </c>
      <c r="G98" s="1789">
        <v>0</v>
      </c>
      <c r="H98" s="1789">
        <v>0</v>
      </c>
      <c r="I98" s="1789">
        <v>0</v>
      </c>
      <c r="J98" s="1789">
        <v>0</v>
      </c>
      <c r="K98" s="1789">
        <v>0</v>
      </c>
      <c r="L98" s="1588">
        <v>0</v>
      </c>
      <c r="M98" s="1587"/>
      <c r="N98" s="465"/>
      <c r="O98" s="1584">
        <f t="shared" si="17"/>
        <v>11398565.498143435</v>
      </c>
      <c r="P98" s="1584">
        <f t="shared" si="18"/>
        <v>3207.140000000596</v>
      </c>
      <c r="Q98" s="1584">
        <f t="shared" si="19"/>
        <v>-120404.13999999966</v>
      </c>
      <c r="R98" s="1584">
        <f t="shared" si="20"/>
        <v>4453.5200000032783</v>
      </c>
      <c r="S98" s="1584">
        <f t="shared" si="21"/>
        <v>0</v>
      </c>
      <c r="T98" s="1584">
        <f t="shared" si="22"/>
        <v>0</v>
      </c>
      <c r="U98" s="1584">
        <f t="shared" si="23"/>
        <v>0</v>
      </c>
      <c r="V98" s="1590">
        <f t="shared" si="24"/>
        <v>0</v>
      </c>
      <c r="W98" s="743"/>
      <c r="X98" s="743"/>
      <c r="Y98" s="676"/>
      <c r="Z98" s="676"/>
      <c r="AA98" s="755"/>
      <c r="AB98" s="676"/>
      <c r="AC98" s="358"/>
      <c r="AD98" s="358"/>
      <c r="AE98" s="358"/>
      <c r="AF98" s="358"/>
      <c r="AG98" s="359"/>
    </row>
    <row r="99" spans="1:33" ht="13.8">
      <c r="A99" s="357"/>
      <c r="B99" s="357"/>
      <c r="C99" s="358" t="s">
        <v>334</v>
      </c>
      <c r="D99" s="1082" t="s">
        <v>306</v>
      </c>
      <c r="E99" s="1789">
        <v>0</v>
      </c>
      <c r="F99" s="1789">
        <v>0</v>
      </c>
      <c r="G99" s="1789">
        <v>0</v>
      </c>
      <c r="H99" s="1789">
        <v>0</v>
      </c>
      <c r="I99" s="1789">
        <v>0</v>
      </c>
      <c r="J99" s="1789">
        <v>0</v>
      </c>
      <c r="K99" s="1789">
        <v>0</v>
      </c>
      <c r="L99" s="1588">
        <v>0</v>
      </c>
      <c r="M99" s="1587"/>
      <c r="N99" s="688"/>
      <c r="O99" s="1584">
        <f t="shared" si="17"/>
        <v>11398565.498143435</v>
      </c>
      <c r="P99" s="1584">
        <f t="shared" si="18"/>
        <v>3207.140000000596</v>
      </c>
      <c r="Q99" s="1584">
        <f t="shared" si="19"/>
        <v>-120404.13999999966</v>
      </c>
      <c r="R99" s="1584">
        <f t="shared" si="20"/>
        <v>4453.5200000032783</v>
      </c>
      <c r="S99" s="1584">
        <f t="shared" si="21"/>
        <v>0</v>
      </c>
      <c r="T99" s="1584">
        <f t="shared" si="22"/>
        <v>0</v>
      </c>
      <c r="U99" s="1584">
        <f t="shared" si="23"/>
        <v>0</v>
      </c>
      <c r="V99" s="1590">
        <f t="shared" si="24"/>
        <v>0</v>
      </c>
      <c r="W99" s="743"/>
      <c r="X99" s="743"/>
      <c r="Y99" s="676"/>
      <c r="Z99" s="676"/>
      <c r="AA99" s="755"/>
      <c r="AB99" s="676"/>
      <c r="AC99" s="358"/>
      <c r="AD99" s="358"/>
      <c r="AE99" s="358"/>
      <c r="AF99" s="358"/>
      <c r="AG99" s="359"/>
    </row>
    <row r="100" spans="1:33" ht="13.8">
      <c r="A100" s="357"/>
      <c r="B100" s="357"/>
      <c r="C100" s="358" t="s">
        <v>335</v>
      </c>
      <c r="D100" s="1082" t="s">
        <v>306</v>
      </c>
      <c r="E100" s="1789">
        <v>0</v>
      </c>
      <c r="F100" s="1789">
        <v>0</v>
      </c>
      <c r="G100" s="1789">
        <v>0</v>
      </c>
      <c r="H100" s="1789">
        <v>0</v>
      </c>
      <c r="I100" s="1789">
        <v>0</v>
      </c>
      <c r="J100" s="1789">
        <v>0</v>
      </c>
      <c r="K100" s="1789">
        <v>0</v>
      </c>
      <c r="L100" s="1588">
        <v>0</v>
      </c>
      <c r="M100" s="1587"/>
      <c r="N100" s="688"/>
      <c r="O100" s="1584">
        <f t="shared" si="17"/>
        <v>11398565.498143435</v>
      </c>
      <c r="P100" s="1584">
        <f t="shared" si="18"/>
        <v>3207.140000000596</v>
      </c>
      <c r="Q100" s="1584">
        <f t="shared" si="19"/>
        <v>-120404.13999999966</v>
      </c>
      <c r="R100" s="1584">
        <f t="shared" si="20"/>
        <v>4453.5200000032783</v>
      </c>
      <c r="S100" s="1584">
        <f t="shared" si="21"/>
        <v>0</v>
      </c>
      <c r="T100" s="1584">
        <f t="shared" si="22"/>
        <v>0</v>
      </c>
      <c r="U100" s="1584">
        <f t="shared" si="23"/>
        <v>0</v>
      </c>
      <c r="V100" s="1584">
        <f t="shared" si="24"/>
        <v>0</v>
      </c>
      <c r="W100" s="743"/>
      <c r="X100" s="743"/>
      <c r="Y100" s="676"/>
      <c r="Z100" s="676"/>
      <c r="AA100" s="755"/>
      <c r="AB100" s="676"/>
      <c r="AC100" s="358"/>
      <c r="AD100" s="358"/>
      <c r="AE100" s="358"/>
      <c r="AF100" s="358"/>
      <c r="AG100" s="359"/>
    </row>
    <row r="101" spans="1:33" ht="14.4" thickBot="1">
      <c r="A101" s="357"/>
      <c r="B101" s="357"/>
      <c r="C101" s="358" t="s">
        <v>336</v>
      </c>
      <c r="D101" s="764" t="s">
        <v>306</v>
      </c>
      <c r="E101" s="1793">
        <v>0</v>
      </c>
      <c r="F101" s="1793">
        <v>0</v>
      </c>
      <c r="G101" s="1793">
        <v>0</v>
      </c>
      <c r="H101" s="1793">
        <v>0</v>
      </c>
      <c r="I101" s="1793">
        <v>0</v>
      </c>
      <c r="J101" s="1793">
        <v>0</v>
      </c>
      <c r="K101" s="1793">
        <v>0</v>
      </c>
      <c r="L101" s="1591">
        <v>0</v>
      </c>
      <c r="M101" s="1587"/>
      <c r="N101" s="241"/>
      <c r="O101" s="1793">
        <f t="shared" si="17"/>
        <v>11398565.498143435</v>
      </c>
      <c r="P101" s="1793">
        <f t="shared" si="18"/>
        <v>3207.140000000596</v>
      </c>
      <c r="Q101" s="1793">
        <f t="shared" si="19"/>
        <v>-120404.13999999966</v>
      </c>
      <c r="R101" s="1793">
        <f t="shared" si="20"/>
        <v>4453.5200000032783</v>
      </c>
      <c r="S101" s="1793">
        <f t="shared" si="21"/>
        <v>0</v>
      </c>
      <c r="T101" s="1793">
        <f t="shared" si="22"/>
        <v>0</v>
      </c>
      <c r="U101" s="1793">
        <f t="shared" si="23"/>
        <v>0</v>
      </c>
      <c r="V101" s="1793">
        <f t="shared" si="24"/>
        <v>0</v>
      </c>
      <c r="W101" s="743"/>
      <c r="X101" s="743"/>
      <c r="Y101" s="676"/>
      <c r="Z101" s="676"/>
      <c r="AA101" s="755"/>
      <c r="AB101" s="676"/>
      <c r="AC101" s="358"/>
      <c r="AD101" s="358"/>
      <c r="AE101" s="358"/>
      <c r="AF101" s="358"/>
      <c r="AG101" s="359"/>
    </row>
    <row r="102" spans="1:33" ht="13.8">
      <c r="A102" s="357"/>
      <c r="B102" s="357"/>
      <c r="C102" s="358" t="s">
        <v>603</v>
      </c>
      <c r="D102" s="376" t="s">
        <v>525</v>
      </c>
      <c r="E102" s="1586">
        <f>SUM(E89:E101)</f>
        <v>11398565.498143435</v>
      </c>
      <c r="F102" s="1586">
        <f t="shared" ref="F102:L102" si="25">SUM(F89:F101)</f>
        <v>3207.140000000596</v>
      </c>
      <c r="G102" s="1586">
        <f t="shared" si="25"/>
        <v>-120404.13999999966</v>
      </c>
      <c r="H102" s="1586">
        <f>SUM(H89:H101)</f>
        <v>4453.5200000032783</v>
      </c>
      <c r="I102" s="1586">
        <f t="shared" si="25"/>
        <v>0</v>
      </c>
      <c r="J102" s="1586">
        <f t="shared" si="25"/>
        <v>0</v>
      </c>
      <c r="K102" s="1586">
        <f t="shared" si="25"/>
        <v>0</v>
      </c>
      <c r="L102" s="1586">
        <f t="shared" si="25"/>
        <v>0</v>
      </c>
      <c r="M102" s="1587"/>
      <c r="O102" s="1326">
        <f>SUM(O89:O101)</f>
        <v>91353602.726497471</v>
      </c>
      <c r="P102" s="1326">
        <f>SUM(P89:P101)</f>
        <v>29174.340000003576</v>
      </c>
      <c r="Q102" s="1326">
        <f>SUM(Q89:Q101)</f>
        <v>-1083637.259999997</v>
      </c>
      <c r="R102" s="1326">
        <f>SUM(R89:R101)</f>
        <v>49309.190000034869</v>
      </c>
      <c r="S102" s="1326">
        <f t="shared" ref="S102:V102" si="26">SUM(S89:S101)</f>
        <v>0</v>
      </c>
      <c r="T102" s="1326">
        <f t="shared" si="26"/>
        <v>0</v>
      </c>
      <c r="U102" s="1326">
        <f t="shared" si="26"/>
        <v>0</v>
      </c>
      <c r="V102" s="1326">
        <f t="shared" si="26"/>
        <v>0</v>
      </c>
      <c r="W102" s="743"/>
      <c r="X102" s="743"/>
      <c r="Y102" s="676"/>
      <c r="Z102" s="676"/>
      <c r="AA102" s="755"/>
      <c r="AB102" s="676"/>
      <c r="AC102" s="358"/>
      <c r="AD102" s="358"/>
      <c r="AE102" s="358"/>
      <c r="AF102" s="358"/>
      <c r="AG102" s="359"/>
    </row>
    <row r="103" spans="1:33" ht="13.8">
      <c r="A103" s="357"/>
      <c r="B103" s="357"/>
      <c r="C103" s="358"/>
      <c r="D103" s="376"/>
      <c r="E103" s="1586"/>
      <c r="F103" s="1586"/>
      <c r="G103" s="1586"/>
      <c r="H103" s="1586"/>
      <c r="I103" s="1586"/>
      <c r="J103" s="1586"/>
      <c r="K103" s="1586"/>
      <c r="L103" s="1586"/>
      <c r="M103" s="1587"/>
      <c r="N103" s="2"/>
      <c r="O103" s="1326"/>
      <c r="P103" s="1326"/>
      <c r="Q103" s="1326"/>
      <c r="R103" s="1326"/>
      <c r="S103" s="1326"/>
      <c r="T103" s="1326"/>
      <c r="U103" s="1326"/>
      <c r="V103" s="1326"/>
      <c r="W103" s="743"/>
      <c r="X103" s="743"/>
      <c r="Y103" s="676"/>
      <c r="Z103" s="676"/>
      <c r="AA103" s="755"/>
      <c r="AB103" s="676"/>
      <c r="AC103" s="358"/>
      <c r="AD103" s="358"/>
      <c r="AE103" s="358"/>
      <c r="AF103" s="358"/>
      <c r="AG103" s="359"/>
    </row>
    <row r="104" spans="1:33" ht="13.8">
      <c r="A104" s="357"/>
      <c r="B104" s="357"/>
      <c r="C104" s="358"/>
      <c r="D104" s="358"/>
      <c r="E104" s="2"/>
      <c r="F104" s="376"/>
      <c r="G104" s="376"/>
      <c r="H104" s="1774"/>
      <c r="I104" s="376"/>
      <c r="J104" s="376"/>
      <c r="K104" s="2"/>
      <c r="L104" s="2"/>
      <c r="M104" s="2"/>
      <c r="N104" s="1769"/>
      <c r="O104" s="1775"/>
      <c r="P104" s="1775"/>
      <c r="Q104" s="1775"/>
      <c r="R104" s="1775"/>
      <c r="S104" s="1775"/>
      <c r="T104" s="1775"/>
      <c r="U104" s="1775"/>
      <c r="V104" s="755"/>
      <c r="W104" s="743"/>
      <c r="X104" s="743"/>
      <c r="Y104" s="676"/>
      <c r="Z104" s="676"/>
      <c r="AA104" s="755"/>
      <c r="AB104" s="676"/>
      <c r="AC104" s="358"/>
      <c r="AD104" s="358"/>
      <c r="AE104" s="358"/>
      <c r="AF104" s="358"/>
      <c r="AG104" s="359"/>
    </row>
    <row r="105" spans="1:33" ht="13.8">
      <c r="A105" s="451">
        <f>A11</f>
        <v>3</v>
      </c>
      <c r="B105" s="451" t="str">
        <f>B11</f>
        <v>April</v>
      </c>
      <c r="C105" s="451" t="str">
        <f>C11</f>
        <v>Year 2</v>
      </c>
      <c r="D105" s="1086"/>
      <c r="E105" s="453" t="str">
        <f>+E11</f>
        <v>TO adds Cap Adds and CWIP to plant in service in Formula (Appendix A, Lines 16 and 33)</v>
      </c>
      <c r="F105" s="374"/>
      <c r="G105" s="374"/>
      <c r="H105" s="374"/>
      <c r="I105" s="374"/>
      <c r="J105" s="1774"/>
      <c r="K105" s="1776"/>
      <c r="L105" s="374"/>
      <c r="M105" s="374"/>
      <c r="N105" s="374"/>
      <c r="O105" s="374"/>
      <c r="P105" s="374"/>
      <c r="Q105" s="374"/>
      <c r="R105" s="374"/>
      <c r="S105" s="374"/>
      <c r="T105" s="676"/>
      <c r="U105" s="676"/>
      <c r="V105" s="676"/>
      <c r="W105" s="676"/>
      <c r="X105" s="676"/>
      <c r="Y105" s="676"/>
      <c r="Z105" s="676"/>
      <c r="AA105" s="676"/>
      <c r="AB105" s="676"/>
      <c r="AC105" s="358"/>
      <c r="AD105" s="358"/>
      <c r="AE105" s="358"/>
      <c r="AF105" s="358"/>
      <c r="AG105" s="359"/>
    </row>
    <row r="106" spans="1:33" ht="13.8">
      <c r="A106" s="451"/>
      <c r="B106" s="357"/>
      <c r="C106" s="357"/>
      <c r="D106" s="357"/>
      <c r="E106" s="1777"/>
      <c r="F106" s="676"/>
      <c r="G106" s="676"/>
      <c r="H106" s="676"/>
      <c r="I106" s="676"/>
      <c r="J106" s="676"/>
      <c r="K106" s="374"/>
      <c r="L106" s="374"/>
      <c r="M106" s="1776"/>
      <c r="N106" s="451"/>
      <c r="O106" s="1778"/>
      <c r="P106" s="376"/>
      <c r="Q106" s="374"/>
      <c r="R106" s="374"/>
      <c r="S106" s="374"/>
      <c r="T106" s="374"/>
      <c r="U106" s="374"/>
      <c r="V106" s="374"/>
      <c r="W106" s="358"/>
      <c r="X106" s="358"/>
      <c r="Y106" s="358"/>
      <c r="Z106" s="377"/>
      <c r="AA106" s="377"/>
      <c r="AB106" s="358"/>
      <c r="AC106" s="358"/>
      <c r="AD106" s="358"/>
      <c r="AE106" s="358"/>
      <c r="AF106" s="358"/>
      <c r="AG106" s="359"/>
    </row>
    <row r="107" spans="1:33" ht="13.8">
      <c r="A107" s="451"/>
      <c r="B107" s="357"/>
      <c r="C107" s="357"/>
      <c r="D107" s="357"/>
      <c r="E107" s="1777"/>
      <c r="F107" s="674"/>
      <c r="G107" s="674"/>
      <c r="H107" s="674"/>
      <c r="I107" s="674"/>
      <c r="J107" s="674"/>
      <c r="K107" s="451"/>
      <c r="L107" s="451"/>
      <c r="M107" s="376"/>
      <c r="N107" s="451"/>
      <c r="O107" s="451"/>
      <c r="P107" s="376"/>
      <c r="Q107" s="374"/>
      <c r="R107" s="374"/>
      <c r="S107" s="374"/>
      <c r="T107" s="374"/>
      <c r="U107" s="374"/>
      <c r="V107" s="374"/>
      <c r="W107" s="358"/>
      <c r="X107" s="358"/>
      <c r="Y107" s="358"/>
      <c r="Z107" s="377"/>
      <c r="AA107" s="377"/>
      <c r="AB107" s="358"/>
      <c r="AC107" s="358"/>
      <c r="AD107" s="358"/>
      <c r="AE107" s="358"/>
      <c r="AF107" s="358"/>
      <c r="AG107" s="359"/>
    </row>
    <row r="108" spans="1:33" ht="14.4" thickBot="1">
      <c r="A108" s="451">
        <v>4</v>
      </c>
      <c r="B108" s="357" t="str">
        <f>+B12</f>
        <v>May</v>
      </c>
      <c r="C108" s="357" t="str">
        <f>+C105</f>
        <v>Year 2</v>
      </c>
      <c r="D108" s="758"/>
      <c r="E108" s="676" t="str">
        <f>+E12</f>
        <v>Post results of Step 3 on PJM web site</v>
      </c>
      <c r="F108" s="676"/>
      <c r="G108" s="676"/>
      <c r="H108" s="1168"/>
      <c r="I108" s="676"/>
      <c r="J108" s="676"/>
      <c r="K108" s="676"/>
      <c r="L108" s="374"/>
      <c r="M108" s="374"/>
      <c r="N108" s="374"/>
      <c r="O108" s="374"/>
      <c r="P108" s="1779"/>
      <c r="Q108" s="1779"/>
      <c r="R108" s="374"/>
      <c r="S108" s="374"/>
      <c r="T108" s="374"/>
      <c r="U108" s="374"/>
      <c r="V108" s="374"/>
      <c r="W108" s="358"/>
      <c r="X108" s="358"/>
      <c r="Y108" s="358"/>
      <c r="Z108" s="377"/>
      <c r="AA108" s="377"/>
      <c r="AB108" s="358"/>
      <c r="AC108" s="358"/>
      <c r="AD108" s="358"/>
      <c r="AE108" s="358"/>
      <c r="AF108" s="358"/>
      <c r="AG108" s="359"/>
    </row>
    <row r="109" spans="1:33" ht="58.5" customHeight="1">
      <c r="A109" s="357"/>
      <c r="B109" s="357"/>
      <c r="C109" s="1327"/>
      <c r="D109" s="1781" t="s">
        <v>883</v>
      </c>
      <c r="E109" s="1206" t="s">
        <v>882</v>
      </c>
      <c r="F109" s="1206" t="s">
        <v>396</v>
      </c>
      <c r="G109" s="1206" t="s">
        <v>884</v>
      </c>
      <c r="H109" s="1206" t="s">
        <v>462</v>
      </c>
      <c r="I109" s="1241" t="s">
        <v>461</v>
      </c>
      <c r="J109" s="1206" t="s">
        <v>463</v>
      </c>
      <c r="K109" s="1241" t="s">
        <v>748</v>
      </c>
      <c r="L109" s="1241" t="s">
        <v>484</v>
      </c>
      <c r="M109" s="1241" t="s">
        <v>743</v>
      </c>
      <c r="N109" s="1241" t="s">
        <v>1115</v>
      </c>
      <c r="O109" s="1206" t="s">
        <v>1071</v>
      </c>
      <c r="P109" s="1241" t="s">
        <v>1054</v>
      </c>
      <c r="Q109" s="1206" t="s">
        <v>1055</v>
      </c>
      <c r="R109" s="1206" t="s">
        <v>1112</v>
      </c>
      <c r="S109" s="1206" t="s">
        <v>1116</v>
      </c>
      <c r="T109" s="1206" t="s">
        <v>1117</v>
      </c>
      <c r="U109" s="1206" t="s">
        <v>1113</v>
      </c>
      <c r="V109" s="1548" t="s">
        <v>464</v>
      </c>
      <c r="W109" s="358"/>
      <c r="X109" s="358"/>
      <c r="Y109" s="358"/>
      <c r="Z109" s="377"/>
      <c r="AA109" s="377"/>
      <c r="AB109" s="358"/>
      <c r="AC109" s="358"/>
      <c r="AD109" s="358"/>
      <c r="AE109" s="358"/>
      <c r="AF109" s="358"/>
      <c r="AG109" s="359"/>
    </row>
    <row r="110" spans="1:33" ht="15" thickBot="1">
      <c r="A110" s="357"/>
      <c r="B110" s="357"/>
      <c r="C110" s="758"/>
      <c r="D110" s="1623">
        <v>2489509.1139378897</v>
      </c>
      <c r="E110" s="1605">
        <v>5171841.7646677792</v>
      </c>
      <c r="F110" s="1605">
        <v>210025.87815836264</v>
      </c>
      <c r="G110" s="1605">
        <v>855713.01409727568</v>
      </c>
      <c r="H110" s="1605">
        <v>810921.6438879557</v>
      </c>
      <c r="I110" s="1605">
        <v>693362.89289471612</v>
      </c>
      <c r="J110" s="1606">
        <v>4213304.8083619764</v>
      </c>
      <c r="K110" s="1606">
        <v>556241.54205948091</v>
      </c>
      <c r="L110" s="1606">
        <v>510448.7853191446</v>
      </c>
      <c r="M110" s="1606">
        <v>626037.53417751112</v>
      </c>
      <c r="N110" s="1606">
        <v>805203.37964428857</v>
      </c>
      <c r="O110" s="1606">
        <v>5139677.8113820823</v>
      </c>
      <c r="P110" s="1594">
        <v>228310.23760369461</v>
      </c>
      <c r="Q110" s="1606">
        <v>96748.624766469991</v>
      </c>
      <c r="R110" s="1606">
        <v>585096.15816012479</v>
      </c>
      <c r="S110" s="1606">
        <v>226563.27280676062</v>
      </c>
      <c r="T110" s="1606">
        <v>2839019.0812188205</v>
      </c>
      <c r="U110" s="1595">
        <v>7197953.8335797554</v>
      </c>
      <c r="V110" s="1984">
        <v>123986836.20347327</v>
      </c>
      <c r="W110" s="358"/>
      <c r="X110" s="358"/>
      <c r="Y110" s="358"/>
      <c r="Z110" s="377"/>
      <c r="AA110" s="377"/>
      <c r="AB110" s="358"/>
      <c r="AC110" s="358"/>
      <c r="AD110" s="358"/>
      <c r="AE110" s="358"/>
      <c r="AF110" s="358"/>
      <c r="AG110" s="359"/>
    </row>
    <row r="111" spans="1:33" ht="14.4" thickBot="1">
      <c r="A111" s="357"/>
      <c r="B111" s="357"/>
      <c r="C111" s="758"/>
      <c r="D111" s="451"/>
      <c r="E111" s="374"/>
      <c r="F111" s="374"/>
      <c r="G111" s="374"/>
      <c r="H111" s="374"/>
      <c r="I111" s="374"/>
      <c r="J111" s="215"/>
      <c r="K111" s="215"/>
      <c r="L111" s="215"/>
      <c r="M111" s="215"/>
      <c r="N111" s="215"/>
      <c r="O111" s="215"/>
      <c r="P111" s="215"/>
      <c r="Q111" s="215"/>
      <c r="R111" s="487"/>
      <c r="S111" s="676"/>
      <c r="T111" s="676"/>
      <c r="U111" s="676"/>
      <c r="V111" s="676"/>
      <c r="W111" s="358"/>
      <c r="X111" s="358"/>
      <c r="Y111" s="358"/>
      <c r="Z111" s="377"/>
      <c r="AA111" s="377"/>
      <c r="AB111" s="358"/>
      <c r="AC111" s="358"/>
      <c r="AD111" s="358"/>
      <c r="AE111" s="358"/>
      <c r="AF111" s="358"/>
      <c r="AG111" s="359"/>
    </row>
    <row r="112" spans="1:33" ht="13.8">
      <c r="A112" s="357"/>
      <c r="B112" s="357"/>
      <c r="C112" s="758"/>
      <c r="D112" s="1598" t="s">
        <v>1125</v>
      </c>
      <c r="E112" s="1241" t="s">
        <v>1141</v>
      </c>
      <c r="F112" s="1608" t="s">
        <v>1114</v>
      </c>
      <c r="G112" s="1597" t="s">
        <v>1139</v>
      </c>
      <c r="H112" s="1597" t="s">
        <v>1142</v>
      </c>
      <c r="I112" s="1597" t="s">
        <v>1140</v>
      </c>
      <c r="J112" s="1597" t="s">
        <v>1081</v>
      </c>
      <c r="K112" s="1597" t="s">
        <v>1083</v>
      </c>
      <c r="L112" s="1597" t="s">
        <v>1085</v>
      </c>
      <c r="M112" s="1597" t="s">
        <v>1087</v>
      </c>
      <c r="N112" s="1597" t="s">
        <v>1136</v>
      </c>
      <c r="O112" s="1597" t="s">
        <v>1092</v>
      </c>
      <c r="P112" s="1597" t="s">
        <v>1094</v>
      </c>
      <c r="Q112" s="1597" t="s">
        <v>1096</v>
      </c>
      <c r="R112" s="1597" t="s">
        <v>1224</v>
      </c>
      <c r="S112" s="1597" t="s">
        <v>1180</v>
      </c>
      <c r="T112" s="1597" t="s">
        <v>1102</v>
      </c>
      <c r="U112" s="1597" t="s">
        <v>1166</v>
      </c>
      <c r="V112" s="1783" t="s">
        <v>1123</v>
      </c>
      <c r="W112" s="358"/>
      <c r="X112" s="358"/>
      <c r="Y112" s="358"/>
      <c r="Z112" s="377"/>
      <c r="AA112" s="377"/>
      <c r="AB112" s="358"/>
      <c r="AC112" s="358"/>
      <c r="AD112" s="358"/>
      <c r="AE112" s="358"/>
      <c r="AF112" s="358"/>
      <c r="AG112" s="359"/>
    </row>
    <row r="113" spans="1:33" ht="15" thickBot="1">
      <c r="A113" s="357"/>
      <c r="B113" s="357"/>
      <c r="C113" s="758"/>
      <c r="D113" s="1849">
        <v>1549247.1423801263</v>
      </c>
      <c r="E113" s="1605">
        <v>6929411.5094839707</v>
      </c>
      <c r="F113" s="1983">
        <v>3294848.7814465687</v>
      </c>
      <c r="G113" s="1605">
        <v>388909.51475129707</v>
      </c>
      <c r="H113" s="1605">
        <v>1133089.4670694435</v>
      </c>
      <c r="I113" s="1605">
        <v>577939.72607781517</v>
      </c>
      <c r="J113" s="1606">
        <v>136138.60996154865</v>
      </c>
      <c r="K113" s="1606">
        <v>75721.543170899706</v>
      </c>
      <c r="L113" s="1606">
        <v>4239639.6885410417</v>
      </c>
      <c r="M113" s="1801">
        <v>140854.93043928823</v>
      </c>
      <c r="N113" s="1801">
        <v>207968.66411162182</v>
      </c>
      <c r="O113" s="1801">
        <v>884511.92073292146</v>
      </c>
      <c r="P113" s="1801">
        <v>66699.695461655472</v>
      </c>
      <c r="Q113" s="1801">
        <v>270142.28120926616</v>
      </c>
      <c r="R113" s="1801">
        <v>13461325.113171343</v>
      </c>
      <c r="S113" s="1801">
        <v>179509.09385786002</v>
      </c>
      <c r="T113" s="1801">
        <v>51405.867508813863</v>
      </c>
      <c r="U113" s="1801">
        <v>0</v>
      </c>
      <c r="V113" s="1802">
        <v>100821.31952738254</v>
      </c>
      <c r="W113" s="358"/>
      <c r="X113" s="358"/>
      <c r="Y113" s="358"/>
      <c r="Z113" s="377"/>
      <c r="AA113" s="377"/>
      <c r="AB113" s="358"/>
      <c r="AC113" s="358"/>
      <c r="AD113" s="358"/>
      <c r="AE113" s="358"/>
      <c r="AF113" s="358"/>
      <c r="AG113" s="359"/>
    </row>
    <row r="114" spans="1:33" ht="14.4" thickBot="1">
      <c r="A114" s="357"/>
      <c r="B114" s="357"/>
      <c r="C114" s="758"/>
      <c r="D114" s="484"/>
      <c r="E114" s="374"/>
      <c r="F114" s="374"/>
      <c r="G114" s="374"/>
      <c r="H114" s="374"/>
      <c r="I114" s="374"/>
      <c r="J114" s="374"/>
      <c r="K114" s="374"/>
      <c r="L114" s="374"/>
      <c r="M114" s="374"/>
      <c r="N114" s="374"/>
      <c r="O114" s="374"/>
      <c r="P114" s="375"/>
      <c r="Q114" s="374"/>
      <c r="R114" s="676"/>
      <c r="S114" s="676"/>
      <c r="T114" s="676"/>
      <c r="U114" s="676"/>
      <c r="V114" s="676"/>
      <c r="W114" s="358"/>
      <c r="X114" s="358"/>
      <c r="Y114" s="358"/>
      <c r="Z114" s="377"/>
      <c r="AA114" s="377"/>
      <c r="AB114" s="358"/>
      <c r="AC114" s="358"/>
      <c r="AD114" s="358"/>
      <c r="AE114" s="358"/>
      <c r="AF114" s="358"/>
      <c r="AG114" s="359"/>
    </row>
    <row r="115" spans="1:33" ht="26.4">
      <c r="A115" s="357"/>
      <c r="B115" s="357"/>
      <c r="C115" s="758"/>
      <c r="D115" s="1598" t="s">
        <v>1219</v>
      </c>
      <c r="E115" s="1241" t="s">
        <v>1137</v>
      </c>
      <c r="F115" s="1608" t="s">
        <v>1157</v>
      </c>
      <c r="G115" s="1597" t="s">
        <v>1159</v>
      </c>
      <c r="H115" s="1597" t="s">
        <v>1220</v>
      </c>
      <c r="I115" s="1597" t="s">
        <v>1160</v>
      </c>
      <c r="J115" s="1597" t="s">
        <v>1161</v>
      </c>
      <c r="K115" s="1597" t="s">
        <v>1162</v>
      </c>
      <c r="L115" s="1597" t="s">
        <v>1163</v>
      </c>
      <c r="M115" s="1597" t="s">
        <v>1165</v>
      </c>
      <c r="N115" s="1597" t="s">
        <v>1239</v>
      </c>
      <c r="O115" s="1597" t="s">
        <v>1167</v>
      </c>
      <c r="P115" s="1597" t="s">
        <v>1168</v>
      </c>
      <c r="Q115" s="1597" t="s">
        <v>1169</v>
      </c>
      <c r="R115" s="1241" t="s">
        <v>1170</v>
      </c>
      <c r="S115" s="1597" t="s">
        <v>1089</v>
      </c>
      <c r="T115" s="1241" t="s">
        <v>1240</v>
      </c>
      <c r="U115" s="1782" t="s">
        <v>1249</v>
      </c>
      <c r="V115" s="1850" t="s">
        <v>1251</v>
      </c>
      <c r="W115" s="358"/>
      <c r="X115" s="358"/>
      <c r="Y115" s="358"/>
      <c r="Z115" s="377"/>
      <c r="AA115" s="377"/>
      <c r="AB115" s="358"/>
      <c r="AC115" s="358"/>
      <c r="AD115" s="358"/>
      <c r="AE115" s="358"/>
      <c r="AF115" s="358"/>
      <c r="AG115" s="359"/>
    </row>
    <row r="116" spans="1:33" ht="15" thickBot="1">
      <c r="A116" s="357"/>
      <c r="B116" s="357"/>
      <c r="C116" s="758"/>
      <c r="D116" s="1849">
        <v>9319182.8115359973</v>
      </c>
      <c r="E116" s="1605">
        <v>1502621.7969295143</v>
      </c>
      <c r="F116" s="1983">
        <v>104986.15015193657</v>
      </c>
      <c r="G116" s="1605">
        <v>2151605.1978347306</v>
      </c>
      <c r="H116" s="1605">
        <v>5928705.3860776238</v>
      </c>
      <c r="I116" s="1605">
        <v>4572784.7375820838</v>
      </c>
      <c r="J116" s="1606">
        <v>83418.552183921856</v>
      </c>
      <c r="K116" s="1606">
        <v>3608575.9288335191</v>
      </c>
      <c r="L116" s="1606">
        <v>163268.63562147884</v>
      </c>
      <c r="M116" s="1801">
        <v>920728.41396779998</v>
      </c>
      <c r="N116" s="1801">
        <v>6057493.4047740828</v>
      </c>
      <c r="O116" s="1801">
        <v>2293565.0208028657</v>
      </c>
      <c r="P116" s="1801">
        <v>3918076.5003594719</v>
      </c>
      <c r="Q116" s="1801">
        <v>214087.69289623646</v>
      </c>
      <c r="R116" s="1606">
        <v>112521.8627983672</v>
      </c>
      <c r="S116" s="1801">
        <v>1827760.4337308626</v>
      </c>
      <c r="T116" s="1606">
        <v>4775516.9001889843</v>
      </c>
      <c r="U116" s="1954">
        <v>155300.58932916116</v>
      </c>
      <c r="V116" s="1955">
        <v>2962085.4062911426</v>
      </c>
      <c r="W116" s="358"/>
      <c r="X116" s="358"/>
      <c r="Y116" s="358"/>
      <c r="Z116" s="377"/>
      <c r="AA116" s="377"/>
      <c r="AB116" s="358"/>
      <c r="AC116" s="358"/>
      <c r="AD116" s="358"/>
      <c r="AE116" s="358"/>
      <c r="AF116" s="358"/>
      <c r="AG116" s="359"/>
    </row>
    <row r="117" spans="1:33" ht="14.4" thickBot="1">
      <c r="A117" s="357"/>
      <c r="B117" s="357"/>
      <c r="C117" s="758"/>
      <c r="D117" s="484"/>
      <c r="E117" s="374"/>
      <c r="F117" s="374"/>
      <c r="G117" s="374"/>
      <c r="H117" s="374"/>
      <c r="I117" s="374"/>
      <c r="J117" s="374"/>
      <c r="K117" s="374"/>
      <c r="L117" s="374"/>
      <c r="M117" s="374"/>
      <c r="N117" s="374"/>
      <c r="O117" s="374"/>
      <c r="P117" s="375"/>
      <c r="Q117" s="374"/>
      <c r="R117" s="676"/>
      <c r="S117" s="676"/>
      <c r="T117" s="676"/>
      <c r="U117" s="676"/>
      <c r="V117" s="676"/>
      <c r="W117" s="358"/>
      <c r="X117" s="358"/>
      <c r="Y117" s="358"/>
      <c r="Z117" s="377"/>
      <c r="AA117" s="377"/>
      <c r="AB117" s="358"/>
      <c r="AC117" s="358"/>
      <c r="AD117" s="358"/>
      <c r="AE117" s="358"/>
      <c r="AF117" s="358"/>
      <c r="AG117" s="359"/>
    </row>
    <row r="118" spans="1:33" ht="29.25" customHeight="1">
      <c r="A118" s="357"/>
      <c r="B118" s="357"/>
      <c r="C118" s="758"/>
      <c r="D118" s="1985" t="s">
        <v>952</v>
      </c>
      <c r="E118" s="374"/>
      <c r="F118" s="374"/>
      <c r="G118" s="374"/>
      <c r="H118" s="374"/>
      <c r="I118" s="374"/>
      <c r="J118" s="374"/>
      <c r="K118" s="374"/>
      <c r="L118" s="374"/>
      <c r="M118" s="374"/>
      <c r="N118" s="374"/>
      <c r="O118" s="374"/>
      <c r="P118" s="375"/>
      <c r="Q118" s="374"/>
      <c r="R118" s="676"/>
      <c r="S118" s="676"/>
      <c r="T118" s="676"/>
      <c r="U118" s="1598" t="s">
        <v>1276</v>
      </c>
      <c r="V118" s="1783" t="s">
        <v>1253</v>
      </c>
      <c r="W118" s="358"/>
      <c r="X118" s="358"/>
      <c r="Y118" s="358"/>
      <c r="Z118" s="377"/>
      <c r="AA118" s="377"/>
      <c r="AB118" s="358"/>
      <c r="AC118" s="358"/>
      <c r="AD118" s="358"/>
      <c r="AE118" s="358"/>
      <c r="AF118" s="358"/>
      <c r="AG118" s="359"/>
    </row>
    <row r="119" spans="1:33" ht="15" thickBot="1">
      <c r="A119" s="357"/>
      <c r="B119" s="357"/>
      <c r="C119" s="758"/>
      <c r="D119" s="1986">
        <v>242807448.04349849</v>
      </c>
      <c r="E119" s="374"/>
      <c r="F119" s="374"/>
      <c r="G119" s="374"/>
      <c r="H119" s="374"/>
      <c r="I119" s="374"/>
      <c r="J119" s="374"/>
      <c r="K119" s="374"/>
      <c r="L119" s="374"/>
      <c r="M119" s="374"/>
      <c r="N119" s="374"/>
      <c r="O119" s="374"/>
      <c r="P119" s="375"/>
      <c r="Q119" s="374"/>
      <c r="R119" s="676"/>
      <c r="S119" s="676"/>
      <c r="T119" s="676"/>
      <c r="U119" s="1957">
        <v>1204162.172508484</v>
      </c>
      <c r="V119" s="1802">
        <v>0</v>
      </c>
      <c r="W119" s="358"/>
      <c r="X119" s="358"/>
      <c r="Y119" s="358"/>
      <c r="Z119" s="377"/>
      <c r="AA119" s="377"/>
      <c r="AB119" s="358"/>
      <c r="AC119" s="358"/>
      <c r="AD119" s="358"/>
      <c r="AE119" s="358"/>
      <c r="AF119" s="358"/>
      <c r="AG119" s="359"/>
    </row>
    <row r="120" spans="1:33" ht="14.4">
      <c r="A120" s="357"/>
      <c r="B120" s="357"/>
      <c r="C120" s="758"/>
      <c r="D120" s="1946"/>
      <c r="E120" s="1947"/>
      <c r="F120" s="1947"/>
      <c r="G120" s="1947"/>
      <c r="H120" s="1947"/>
      <c r="I120" s="1947"/>
      <c r="J120" s="1789"/>
      <c r="K120" s="1789"/>
      <c r="L120" s="1789"/>
      <c r="M120" s="1789"/>
      <c r="N120" s="1789"/>
      <c r="O120" s="1789"/>
      <c r="P120" s="1789"/>
      <c r="Q120" s="1789"/>
      <c r="R120" s="1789"/>
      <c r="S120" s="1789"/>
      <c r="T120" s="1789"/>
      <c r="U120" s="1789"/>
      <c r="V120" s="1789"/>
      <c r="W120" s="358"/>
      <c r="X120" s="358"/>
      <c r="Y120" s="358"/>
      <c r="Z120" s="377"/>
      <c r="AA120" s="377"/>
      <c r="AB120" s="358"/>
      <c r="AC120" s="358"/>
      <c r="AD120" s="358"/>
      <c r="AE120" s="358"/>
      <c r="AF120" s="358"/>
      <c r="AG120" s="359"/>
    </row>
    <row r="121" spans="1:33" ht="13.8">
      <c r="A121" s="357">
        <f>+A13</f>
        <v>5</v>
      </c>
      <c r="B121" s="357" t="str">
        <f>+B13</f>
        <v>June</v>
      </c>
      <c r="C121" s="357" t="str">
        <f>+C13</f>
        <v>Year 2</v>
      </c>
      <c r="D121" s="1086"/>
      <c r="E121" s="363" t="str">
        <f>+E13</f>
        <v>Results of Step 3 go into effect</v>
      </c>
      <c r="F121" s="358"/>
      <c r="G121" s="358"/>
      <c r="H121" s="358"/>
      <c r="I121" s="374"/>
      <c r="J121" s="374"/>
      <c r="K121" s="374"/>
      <c r="L121" s="374"/>
      <c r="M121" s="374"/>
      <c r="N121" s="374"/>
      <c r="O121" s="374"/>
      <c r="P121" s="374"/>
      <c r="Q121" s="358"/>
      <c r="R121" s="358"/>
      <c r="S121" s="358"/>
      <c r="T121" s="358"/>
      <c r="U121" s="358"/>
      <c r="V121" s="358"/>
      <c r="W121" s="358"/>
      <c r="X121" s="358"/>
      <c r="Y121" s="358"/>
      <c r="Z121" s="377"/>
      <c r="AA121" s="377"/>
      <c r="AB121" s="358"/>
      <c r="AC121" s="358"/>
      <c r="AD121" s="358"/>
      <c r="AE121" s="358"/>
      <c r="AF121" s="358"/>
      <c r="AG121" s="359"/>
    </row>
    <row r="122" spans="1:33" ht="13.8">
      <c r="A122" s="357"/>
      <c r="B122" s="357"/>
      <c r="C122" s="357"/>
      <c r="D122" s="357"/>
      <c r="E122" s="363"/>
      <c r="F122" s="358"/>
      <c r="G122" s="358"/>
      <c r="H122" s="358"/>
      <c r="I122" s="358"/>
      <c r="J122" s="358"/>
      <c r="K122" s="358"/>
      <c r="L122" s="358"/>
      <c r="M122" s="374"/>
      <c r="N122" s="374"/>
      <c r="O122" s="374"/>
      <c r="P122" s="374"/>
      <c r="Q122" s="358"/>
      <c r="R122" s="358"/>
      <c r="S122" s="358"/>
      <c r="T122" s="358"/>
      <c r="U122" s="358"/>
      <c r="V122" s="358"/>
      <c r="W122" s="358"/>
      <c r="X122" s="358"/>
      <c r="Y122" s="358"/>
      <c r="Z122" s="377"/>
      <c r="AA122" s="377"/>
      <c r="AB122" s="358"/>
      <c r="AC122" s="358"/>
      <c r="AD122" s="358"/>
      <c r="AE122" s="358"/>
      <c r="AF122" s="358"/>
      <c r="AG122" s="359"/>
    </row>
    <row r="123" spans="1:33" ht="15.6">
      <c r="A123" s="1084"/>
      <c r="B123" s="1084"/>
      <c r="C123" s="1084"/>
      <c r="D123" s="1084"/>
      <c r="E123" s="1083"/>
      <c r="F123" s="1084"/>
      <c r="G123" s="358"/>
      <c r="H123" s="358"/>
      <c r="I123" s="358"/>
      <c r="J123" s="358"/>
      <c r="K123" s="358"/>
      <c r="L123" s="358"/>
      <c r="M123" s="358"/>
      <c r="N123" s="358"/>
      <c r="O123" s="358"/>
      <c r="P123" s="358"/>
      <c r="Q123" s="358"/>
      <c r="R123" s="358"/>
      <c r="S123" s="358"/>
      <c r="T123" s="615"/>
      <c r="U123" s="377"/>
      <c r="V123" s="358"/>
      <c r="W123" s="358"/>
      <c r="X123" s="358"/>
      <c r="Y123" s="358"/>
      <c r="Z123" s="377"/>
      <c r="AA123" s="377"/>
      <c r="AB123" s="358"/>
      <c r="AC123" s="358"/>
      <c r="AD123" s="358"/>
      <c r="AE123" s="358"/>
      <c r="AF123" s="358"/>
      <c r="AG123" s="359"/>
    </row>
    <row r="124" spans="1:33" ht="13.8">
      <c r="A124" s="357">
        <f>+A16</f>
        <v>6</v>
      </c>
      <c r="B124" s="357" t="str">
        <f>+B16</f>
        <v>April</v>
      </c>
      <c r="C124" s="357" t="str">
        <f>+C16</f>
        <v>Year 3</v>
      </c>
      <c r="D124" s="1086"/>
      <c r="E124" s="363" t="str">
        <f>+E16</f>
        <v>TO estimates all transmission Cap Adds and CWIP during Year 3 based each project's cost using the average of 13 monthly balances.  Cap Adds  are expected be in service in Year 3.</v>
      </c>
      <c r="F124" s="358"/>
      <c r="G124" s="358"/>
      <c r="H124" s="358"/>
      <c r="I124" s="358"/>
      <c r="J124" s="358"/>
      <c r="K124" s="358"/>
      <c r="L124" s="358"/>
      <c r="M124" s="358"/>
      <c r="N124" s="358"/>
      <c r="O124" s="358"/>
      <c r="P124" s="358"/>
      <c r="Q124" s="358"/>
      <c r="S124" s="358"/>
      <c r="T124" s="615"/>
      <c r="U124" s="377"/>
      <c r="V124" s="358"/>
      <c r="W124" s="358"/>
      <c r="X124" s="358"/>
      <c r="Y124" s="358"/>
      <c r="Z124" s="377"/>
      <c r="AA124" s="377"/>
      <c r="AB124" s="358"/>
      <c r="AC124" s="358"/>
      <c r="AD124" s="358"/>
      <c r="AE124" s="358"/>
      <c r="AF124" s="358"/>
      <c r="AG124" s="359"/>
    </row>
    <row r="125" spans="1:33" ht="14.4" thickBot="1">
      <c r="A125" s="357"/>
      <c r="B125" s="357"/>
      <c r="C125" s="357"/>
      <c r="D125" s="357"/>
      <c r="E125" s="363"/>
      <c r="F125" s="358"/>
      <c r="G125" s="358"/>
      <c r="H125" s="358"/>
      <c r="I125" s="358"/>
      <c r="R125" s="358"/>
      <c r="S125" s="736"/>
      <c r="T125" s="736"/>
      <c r="U125" s="736"/>
      <c r="V125" s="736"/>
      <c r="W125" s="736"/>
      <c r="X125" s="736"/>
      <c r="Y125" s="676"/>
      <c r="Z125" s="676"/>
      <c r="AA125" s="676"/>
      <c r="AB125" s="358"/>
      <c r="AC125" s="358"/>
      <c r="AD125" s="358"/>
      <c r="AE125" s="358"/>
      <c r="AF125" s="358"/>
      <c r="AG125" s="359"/>
    </row>
    <row r="126" spans="1:33" ht="47.25" customHeight="1" thickBot="1">
      <c r="A126" s="357"/>
      <c r="B126" s="357"/>
      <c r="C126" s="357"/>
      <c r="D126" s="759" t="s">
        <v>432</v>
      </c>
      <c r="E126" s="760" t="s">
        <v>433</v>
      </c>
      <c r="F126" s="760" t="s">
        <v>434</v>
      </c>
      <c r="G126" s="760" t="s">
        <v>435</v>
      </c>
      <c r="H126" s="760" t="s">
        <v>722</v>
      </c>
      <c r="I126" s="760" t="s">
        <v>728</v>
      </c>
      <c r="J126" s="617" t="s">
        <v>544</v>
      </c>
      <c r="K126" s="617" t="s">
        <v>545</v>
      </c>
      <c r="L126" s="1322" t="s">
        <v>347</v>
      </c>
      <c r="M126" s="354"/>
      <c r="N126" s="2077" t="s">
        <v>660</v>
      </c>
      <c r="O126" s="2078"/>
      <c r="P126" s="2078"/>
      <c r="Q126" s="2078"/>
      <c r="R126" s="2078"/>
      <c r="S126" s="2078"/>
      <c r="T126" s="2078"/>
      <c r="U126" s="2078"/>
      <c r="V126" s="2079"/>
      <c r="W126" s="843"/>
      <c r="X126" s="843"/>
      <c r="Y126" s="355"/>
      <c r="Z126" s="676"/>
      <c r="AA126" s="676"/>
      <c r="AB126" s="358"/>
      <c r="AC126" s="358"/>
      <c r="AD126" s="358"/>
      <c r="AE126" s="358"/>
      <c r="AF126" s="358"/>
      <c r="AG126" s="359"/>
    </row>
    <row r="127" spans="1:33" ht="62.25" customHeight="1" thickBot="1">
      <c r="A127" s="357"/>
      <c r="B127" s="357"/>
      <c r="C127" s="358"/>
      <c r="D127" s="1574"/>
      <c r="E127" s="1575" t="s">
        <v>1219</v>
      </c>
      <c r="F127" s="1575" t="s">
        <v>1220</v>
      </c>
      <c r="G127" s="1575" t="s">
        <v>1239</v>
      </c>
      <c r="H127" s="1575" t="s">
        <v>1224</v>
      </c>
      <c r="I127" s="1575" t="s">
        <v>1256</v>
      </c>
      <c r="J127" s="1575" t="s">
        <v>1299</v>
      </c>
      <c r="K127" s="1575" t="s">
        <v>1300</v>
      </c>
      <c r="L127" s="1247" t="s">
        <v>567</v>
      </c>
      <c r="M127" s="742"/>
      <c r="N127" s="1772" t="s">
        <v>659</v>
      </c>
      <c r="O127" s="1246" t="str">
        <f t="shared" ref="O127:U127" si="27">E127</f>
        <v>Richwood Hill</v>
      </c>
      <c r="P127" s="1246" t="str">
        <f t="shared" si="27"/>
        <v>Erie South</v>
      </c>
      <c r="Q127" s="1246" t="str">
        <f t="shared" si="27"/>
        <v>Joffre Sub</v>
      </c>
      <c r="R127" s="1246" t="str">
        <f t="shared" si="27"/>
        <v>Oak Mound</v>
      </c>
      <c r="S127" s="1246" t="str">
        <f t="shared" si="27"/>
        <v>Damascus SS</v>
      </c>
      <c r="T127" s="1246" t="str">
        <f t="shared" si="27"/>
        <v>Warren SS</v>
      </c>
      <c r="U127" s="1246" t="str">
        <f t="shared" si="27"/>
        <v>Kammer SS</v>
      </c>
      <c r="V127" s="1247" t="s">
        <v>567</v>
      </c>
      <c r="W127" s="742"/>
      <c r="X127" s="742"/>
      <c r="Y127" s="355"/>
      <c r="Z127" s="742"/>
      <c r="AA127" s="742"/>
      <c r="AB127" s="742"/>
      <c r="AC127" s="742"/>
      <c r="AD127" s="676"/>
      <c r="AE127" s="358"/>
      <c r="AF127" s="358"/>
      <c r="AG127" s="359"/>
    </row>
    <row r="128" spans="1:33" ht="14.4" thickBot="1">
      <c r="A128" s="357"/>
      <c r="B128" s="357"/>
      <c r="C128" s="358"/>
      <c r="D128" s="1577"/>
      <c r="E128" s="1246" t="s">
        <v>721</v>
      </c>
      <c r="F128" s="1246" t="s">
        <v>721</v>
      </c>
      <c r="G128" s="1246" t="s">
        <v>721</v>
      </c>
      <c r="H128" s="1246" t="s">
        <v>721</v>
      </c>
      <c r="I128" s="1246" t="s">
        <v>721</v>
      </c>
      <c r="J128" s="1246" t="s">
        <v>721</v>
      </c>
      <c r="K128" s="1246" t="s">
        <v>721</v>
      </c>
      <c r="L128" s="1247" t="s">
        <v>721</v>
      </c>
      <c r="M128" s="742"/>
      <c r="N128" s="1773"/>
      <c r="O128" s="1246" t="s">
        <v>721</v>
      </c>
      <c r="P128" s="1246" t="s">
        <v>721</v>
      </c>
      <c r="Q128" s="1246" t="s">
        <v>721</v>
      </c>
      <c r="R128" s="1246" t="s">
        <v>721</v>
      </c>
      <c r="S128" s="1246" t="s">
        <v>721</v>
      </c>
      <c r="T128" s="1246" t="s">
        <v>721</v>
      </c>
      <c r="U128" s="1246" t="s">
        <v>721</v>
      </c>
      <c r="V128" s="1247" t="s">
        <v>721</v>
      </c>
      <c r="W128" s="742"/>
      <c r="X128" s="742"/>
      <c r="Y128" s="742"/>
      <c r="Z128" s="355"/>
      <c r="AA128" s="742"/>
      <c r="AB128" s="742"/>
      <c r="AC128" s="742"/>
      <c r="AD128" s="676"/>
      <c r="AE128" s="358"/>
      <c r="AF128" s="358"/>
      <c r="AG128" s="359"/>
    </row>
    <row r="129" spans="1:33" ht="40.5" customHeight="1">
      <c r="A129" s="357"/>
      <c r="B129" s="357"/>
      <c r="C129" s="740" t="s">
        <v>123</v>
      </c>
      <c r="D129" s="1580" t="s">
        <v>305</v>
      </c>
      <c r="E129" s="1968">
        <v>876.71000002324581</v>
      </c>
      <c r="F129" s="1968">
        <v>2407.359999999404</v>
      </c>
      <c r="G129" s="1968">
        <v>193.97999999672174</v>
      </c>
      <c r="H129" s="1968">
        <v>48977.109999969602</v>
      </c>
      <c r="I129" s="1968"/>
      <c r="J129" s="1968">
        <v>13593.379999998957</v>
      </c>
      <c r="K129" s="1968">
        <v>23163.079999998212</v>
      </c>
      <c r="L129" s="1970">
        <v>49553.489999890327</v>
      </c>
      <c r="M129" s="1581"/>
      <c r="N129" s="1786"/>
      <c r="O129" s="1787">
        <f>E129</f>
        <v>876.71000002324581</v>
      </c>
      <c r="P129" s="1787">
        <f t="shared" ref="P129:V129" si="28">F129</f>
        <v>2407.359999999404</v>
      </c>
      <c r="Q129" s="1787">
        <f>G129</f>
        <v>193.97999999672174</v>
      </c>
      <c r="R129" s="1787">
        <f>H129</f>
        <v>48977.109999969602</v>
      </c>
      <c r="S129" s="1787">
        <f t="shared" si="28"/>
        <v>0</v>
      </c>
      <c r="T129" s="1787">
        <f t="shared" si="28"/>
        <v>13593.379999998957</v>
      </c>
      <c r="U129" s="1787">
        <f t="shared" si="28"/>
        <v>23163.079999998212</v>
      </c>
      <c r="V129" s="1788">
        <f t="shared" si="28"/>
        <v>49553.489999890327</v>
      </c>
      <c r="W129" s="755"/>
      <c r="X129" s="755"/>
      <c r="Y129" s="742"/>
      <c r="Z129" s="355"/>
      <c r="AA129" s="757"/>
      <c r="AB129" s="756"/>
      <c r="AC129" s="757"/>
      <c r="AD129" s="355"/>
      <c r="AE129" s="364"/>
      <c r="AF129" s="358"/>
      <c r="AG129" s="359"/>
    </row>
    <row r="130" spans="1:33" ht="13.8">
      <c r="A130" s="357"/>
      <c r="B130" s="357"/>
      <c r="C130" s="614" t="s">
        <v>1327</v>
      </c>
      <c r="D130" s="1081" t="s">
        <v>305</v>
      </c>
      <c r="E130" s="1789">
        <v>945.5</v>
      </c>
      <c r="F130" s="1789">
        <v>-36.53999999910593</v>
      </c>
      <c r="G130" s="1789">
        <v>1252.5800000056624</v>
      </c>
      <c r="H130" s="1789">
        <v>-33821.519999980927</v>
      </c>
      <c r="I130" s="1602"/>
      <c r="J130" s="1789">
        <v>8276.8499999977648</v>
      </c>
      <c r="K130" s="1789">
        <v>1803.6700000017881</v>
      </c>
      <c r="L130" s="1588">
        <v>13502.600000143051</v>
      </c>
      <c r="M130" s="1581"/>
      <c r="N130" s="1790"/>
      <c r="O130" s="1791">
        <f>O129+E130</f>
        <v>1822.2100000232458</v>
      </c>
      <c r="P130" s="1791">
        <f t="shared" ref="P130:P141" si="29">P129+F130</f>
        <v>2370.820000000298</v>
      </c>
      <c r="Q130" s="1791">
        <f>Q129+G130</f>
        <v>1446.5600000023842</v>
      </c>
      <c r="R130" s="1791">
        <f>R129+H130</f>
        <v>15155.589999988675</v>
      </c>
      <c r="S130" s="1791">
        <f t="shared" ref="S130:S141" si="30">S129+I130</f>
        <v>0</v>
      </c>
      <c r="T130" s="1791">
        <f t="shared" ref="T130:T141" si="31">T129+J130</f>
        <v>21870.229999996722</v>
      </c>
      <c r="U130" s="1791">
        <f t="shared" ref="U130:U141" si="32">U129+K130</f>
        <v>24966.75</v>
      </c>
      <c r="V130" s="1792">
        <f t="shared" ref="V130:V140" si="33">V129+L130</f>
        <v>63056.090000033379</v>
      </c>
      <c r="W130" s="755"/>
      <c r="X130" s="755"/>
      <c r="Y130" s="355"/>
      <c r="Z130" s="676"/>
      <c r="AA130" s="757"/>
      <c r="AB130" s="756"/>
      <c r="AC130" s="757"/>
      <c r="AD130" s="355"/>
      <c r="AE130" s="364"/>
      <c r="AF130" s="358"/>
      <c r="AG130" s="359"/>
    </row>
    <row r="131" spans="1:33" ht="13.8">
      <c r="A131" s="357"/>
      <c r="B131" s="357"/>
      <c r="C131" s="358" t="s">
        <v>327</v>
      </c>
      <c r="D131" s="1081" t="s">
        <v>305</v>
      </c>
      <c r="E131" s="1789">
        <v>875.99999998509884</v>
      </c>
      <c r="F131" s="1789">
        <v>154.64999999850988</v>
      </c>
      <c r="G131" s="1789">
        <v>687.6600000038743</v>
      </c>
      <c r="H131" s="1789">
        <v>9178.0199999809265</v>
      </c>
      <c r="I131" s="1602"/>
      <c r="J131" s="1789">
        <v>1270.1300000026822</v>
      </c>
      <c r="K131" s="1789"/>
      <c r="L131" s="1588">
        <v>3174.6999996900558</v>
      </c>
      <c r="M131" s="1581"/>
      <c r="N131" s="1790"/>
      <c r="O131" s="1791">
        <f t="shared" ref="O131:O141" si="34">O130+E131</f>
        <v>2698.2100000083447</v>
      </c>
      <c r="P131" s="1791">
        <f t="shared" si="29"/>
        <v>2525.4699999988079</v>
      </c>
      <c r="Q131" s="1791">
        <f t="shared" ref="Q131:Q140" si="35">Q130+G131</f>
        <v>2134.2200000062585</v>
      </c>
      <c r="R131" s="1791">
        <f>R130+H131</f>
        <v>24333.609999969602</v>
      </c>
      <c r="S131" s="1791">
        <f t="shared" si="30"/>
        <v>0</v>
      </c>
      <c r="T131" s="1791">
        <f t="shared" si="31"/>
        <v>23140.359999999404</v>
      </c>
      <c r="U131" s="1791">
        <f t="shared" si="32"/>
        <v>24966.75</v>
      </c>
      <c r="V131" s="1792">
        <f t="shared" si="33"/>
        <v>66230.789999723434</v>
      </c>
      <c r="W131" s="755"/>
      <c r="X131" s="755"/>
      <c r="Y131" s="355"/>
      <c r="Z131" s="676"/>
      <c r="AA131" s="757"/>
      <c r="AB131" s="756"/>
      <c r="AC131" s="757"/>
      <c r="AD131" s="355"/>
      <c r="AE131" s="364"/>
      <c r="AF131" s="358"/>
      <c r="AG131" s="359"/>
    </row>
    <row r="132" spans="1:33" ht="13.8">
      <c r="A132" s="357"/>
      <c r="B132" s="357"/>
      <c r="C132" s="358" t="s">
        <v>328</v>
      </c>
      <c r="D132" s="1081" t="s">
        <v>305</v>
      </c>
      <c r="E132" s="1789">
        <v>1122.3900000154972</v>
      </c>
      <c r="F132" s="1789"/>
      <c r="G132" s="1789">
        <v>1064.2699999958277</v>
      </c>
      <c r="H132" s="1789">
        <v>5500.2800000309944</v>
      </c>
      <c r="I132" s="1602"/>
      <c r="J132" s="1602"/>
      <c r="K132" s="1789"/>
      <c r="L132" s="1588">
        <v>70531.009999990463</v>
      </c>
      <c r="M132" s="1581"/>
      <c r="N132" s="1790"/>
      <c r="O132" s="1791">
        <f t="shared" si="34"/>
        <v>3820.6000000238419</v>
      </c>
      <c r="P132" s="1791">
        <f t="shared" si="29"/>
        <v>2525.4699999988079</v>
      </c>
      <c r="Q132" s="1791">
        <f t="shared" si="35"/>
        <v>3198.4900000020862</v>
      </c>
      <c r="R132" s="1791">
        <f t="shared" ref="R132:R141" si="36">R131+H132</f>
        <v>29833.890000000596</v>
      </c>
      <c r="S132" s="1791">
        <f t="shared" si="30"/>
        <v>0</v>
      </c>
      <c r="T132" s="1791">
        <f t="shared" si="31"/>
        <v>23140.359999999404</v>
      </c>
      <c r="U132" s="1791">
        <f t="shared" si="32"/>
        <v>24966.75</v>
      </c>
      <c r="V132" s="1792">
        <f t="shared" si="33"/>
        <v>136761.7999997139</v>
      </c>
      <c r="W132" s="755"/>
      <c r="X132" s="755"/>
      <c r="Y132" s="355"/>
      <c r="Z132" s="676"/>
      <c r="AA132" s="757"/>
      <c r="AB132" s="756"/>
      <c r="AC132" s="757"/>
      <c r="AD132" s="355"/>
      <c r="AE132" s="364"/>
      <c r="AF132" s="358"/>
      <c r="AG132" s="359"/>
    </row>
    <row r="133" spans="1:33" ht="13.8">
      <c r="A133" s="357"/>
      <c r="B133" s="357"/>
      <c r="C133" s="358" t="s">
        <v>329</v>
      </c>
      <c r="D133" s="1081" t="s">
        <v>305</v>
      </c>
      <c r="E133" s="1789">
        <v>876</v>
      </c>
      <c r="F133" s="1789"/>
      <c r="G133" s="1789">
        <v>159521.63000000268</v>
      </c>
      <c r="H133" s="1789">
        <v>26763.420000001788</v>
      </c>
      <c r="I133" s="1602"/>
      <c r="J133" s="1602"/>
      <c r="K133" s="1789"/>
      <c r="L133" s="1588">
        <v>29724.41000020504</v>
      </c>
      <c r="M133" s="1581"/>
      <c r="N133" s="1790"/>
      <c r="O133" s="1791">
        <f t="shared" si="34"/>
        <v>4696.6000000238419</v>
      </c>
      <c r="P133" s="1791">
        <f t="shared" si="29"/>
        <v>2525.4699999988079</v>
      </c>
      <c r="Q133" s="1791">
        <f t="shared" si="35"/>
        <v>162720.12000000477</v>
      </c>
      <c r="R133" s="1791">
        <f t="shared" si="36"/>
        <v>56597.310000002384</v>
      </c>
      <c r="S133" s="1791">
        <f t="shared" si="30"/>
        <v>0</v>
      </c>
      <c r="T133" s="1791">
        <f t="shared" si="31"/>
        <v>23140.359999999404</v>
      </c>
      <c r="U133" s="1791">
        <f t="shared" si="32"/>
        <v>24966.75</v>
      </c>
      <c r="V133" s="1792">
        <f t="shared" si="33"/>
        <v>166486.20999991894</v>
      </c>
      <c r="W133" s="755"/>
      <c r="X133" s="755"/>
      <c r="Y133" s="355"/>
      <c r="Z133" s="676"/>
      <c r="AA133" s="757"/>
      <c r="AB133" s="756"/>
      <c r="AC133" s="757"/>
      <c r="AD133" s="355"/>
      <c r="AE133" s="364"/>
      <c r="AF133" s="358"/>
      <c r="AG133" s="359"/>
    </row>
    <row r="134" spans="1:33" ht="13.8">
      <c r="A134" s="357"/>
      <c r="B134" s="357"/>
      <c r="C134" s="358" t="s">
        <v>296</v>
      </c>
      <c r="D134" s="1082" t="s">
        <v>306</v>
      </c>
      <c r="E134" s="1789"/>
      <c r="F134" s="1789"/>
      <c r="G134" s="1789"/>
      <c r="H134" s="1789">
        <v>133358.6170279326</v>
      </c>
      <c r="I134" s="1602"/>
      <c r="J134" s="1602"/>
      <c r="K134" s="1789"/>
      <c r="L134" s="1588"/>
      <c r="M134" s="1581"/>
      <c r="N134" s="1790"/>
      <c r="O134" s="1791">
        <f t="shared" si="34"/>
        <v>4696.6000000238419</v>
      </c>
      <c r="P134" s="1791">
        <f t="shared" si="29"/>
        <v>2525.4699999988079</v>
      </c>
      <c r="Q134" s="1791">
        <f t="shared" si="35"/>
        <v>162720.12000000477</v>
      </c>
      <c r="R134" s="1791">
        <f t="shared" si="36"/>
        <v>189955.92702793499</v>
      </c>
      <c r="S134" s="1791">
        <f t="shared" si="30"/>
        <v>0</v>
      </c>
      <c r="T134" s="1791">
        <f t="shared" si="31"/>
        <v>23140.359999999404</v>
      </c>
      <c r="U134" s="1791">
        <f t="shared" si="32"/>
        <v>24966.75</v>
      </c>
      <c r="V134" s="1792">
        <f t="shared" si="33"/>
        <v>166486.20999991894</v>
      </c>
      <c r="W134" s="755"/>
      <c r="X134" s="755"/>
      <c r="Y134" s="355"/>
      <c r="Z134" s="676"/>
      <c r="AA134" s="757"/>
      <c r="AB134" s="756"/>
      <c r="AC134" s="757"/>
      <c r="AD134" s="355"/>
      <c r="AE134" s="364"/>
      <c r="AF134" s="358"/>
      <c r="AG134" s="359"/>
    </row>
    <row r="135" spans="1:33" ht="13.8">
      <c r="A135" s="357"/>
      <c r="B135" s="357"/>
      <c r="C135" s="358" t="s">
        <v>330</v>
      </c>
      <c r="D135" s="1082" t="s">
        <v>306</v>
      </c>
      <c r="E135" s="1789"/>
      <c r="F135" s="1789"/>
      <c r="G135" s="1789"/>
      <c r="H135" s="1789"/>
      <c r="I135" s="1971"/>
      <c r="J135" s="1971"/>
      <c r="K135" s="1789"/>
      <c r="L135" s="1588">
        <v>384148.73657090077</v>
      </c>
      <c r="M135" s="1581"/>
      <c r="N135" s="1790"/>
      <c r="O135" s="1791">
        <f t="shared" si="34"/>
        <v>4696.6000000238419</v>
      </c>
      <c r="P135" s="1791">
        <f t="shared" si="29"/>
        <v>2525.4699999988079</v>
      </c>
      <c r="Q135" s="1791">
        <f t="shared" si="35"/>
        <v>162720.12000000477</v>
      </c>
      <c r="R135" s="1791">
        <f t="shared" si="36"/>
        <v>189955.92702793499</v>
      </c>
      <c r="S135" s="1791">
        <f t="shared" si="30"/>
        <v>0</v>
      </c>
      <c r="T135" s="1791">
        <f t="shared" si="31"/>
        <v>23140.359999999404</v>
      </c>
      <c r="U135" s="1791">
        <f t="shared" si="32"/>
        <v>24966.75</v>
      </c>
      <c r="V135" s="1792">
        <f t="shared" si="33"/>
        <v>550634.94657081971</v>
      </c>
      <c r="W135" s="755"/>
      <c r="X135" s="755"/>
      <c r="Y135" s="355"/>
      <c r="Z135" s="676"/>
      <c r="AA135" s="757"/>
      <c r="AB135" s="756"/>
      <c r="AC135" s="757"/>
      <c r="AD135" s="355"/>
      <c r="AE135" s="364"/>
      <c r="AF135" s="358"/>
      <c r="AG135" s="359"/>
    </row>
    <row r="136" spans="1:33" ht="13.8">
      <c r="A136" s="357"/>
      <c r="B136" s="357"/>
      <c r="C136" s="358" t="s">
        <v>331</v>
      </c>
      <c r="D136" s="1082" t="s">
        <v>306</v>
      </c>
      <c r="E136" s="1789"/>
      <c r="F136" s="1789"/>
      <c r="G136" s="1789"/>
      <c r="H136" s="1789"/>
      <c r="I136" s="1602"/>
      <c r="J136" s="1602"/>
      <c r="K136" s="1789"/>
      <c r="L136" s="1588"/>
      <c r="M136" s="1581"/>
      <c r="N136" s="1790"/>
      <c r="O136" s="1791">
        <f t="shared" si="34"/>
        <v>4696.6000000238419</v>
      </c>
      <c r="P136" s="1791">
        <f t="shared" si="29"/>
        <v>2525.4699999988079</v>
      </c>
      <c r="Q136" s="1791">
        <f>Q135+G136</f>
        <v>162720.12000000477</v>
      </c>
      <c r="R136" s="1791">
        <f>R135+H136</f>
        <v>189955.92702793499</v>
      </c>
      <c r="S136" s="1791">
        <f t="shared" si="30"/>
        <v>0</v>
      </c>
      <c r="T136" s="1791">
        <f t="shared" si="31"/>
        <v>23140.359999999404</v>
      </c>
      <c r="U136" s="1791">
        <f t="shared" si="32"/>
        <v>24966.75</v>
      </c>
      <c r="V136" s="1792">
        <f t="shared" si="33"/>
        <v>550634.94657081971</v>
      </c>
      <c r="W136" s="755"/>
      <c r="X136" s="755"/>
      <c r="Y136" s="355"/>
      <c r="Z136" s="676"/>
      <c r="AA136" s="757"/>
      <c r="AB136" s="756"/>
      <c r="AC136" s="757"/>
      <c r="AD136" s="355"/>
      <c r="AE136" s="364"/>
      <c r="AF136" s="358"/>
      <c r="AG136" s="359"/>
    </row>
    <row r="137" spans="1:33" ht="13.8">
      <c r="A137" s="357"/>
      <c r="B137" s="357"/>
      <c r="C137" s="358" t="s">
        <v>332</v>
      </c>
      <c r="D137" s="1082" t="s">
        <v>306</v>
      </c>
      <c r="E137" s="1789"/>
      <c r="F137" s="1789"/>
      <c r="G137" s="1789"/>
      <c r="H137" s="1789"/>
      <c r="I137" s="1602"/>
      <c r="J137" s="1602"/>
      <c r="K137" s="1789"/>
      <c r="L137" s="1588">
        <v>191896.12310212679</v>
      </c>
      <c r="M137" s="1581"/>
      <c r="N137" s="1790"/>
      <c r="O137" s="1791">
        <f t="shared" si="34"/>
        <v>4696.6000000238419</v>
      </c>
      <c r="P137" s="1791">
        <f t="shared" si="29"/>
        <v>2525.4699999988079</v>
      </c>
      <c r="Q137" s="1791">
        <f t="shared" si="35"/>
        <v>162720.12000000477</v>
      </c>
      <c r="R137" s="1791">
        <f>R136+H137</f>
        <v>189955.92702793499</v>
      </c>
      <c r="S137" s="1791">
        <f t="shared" si="30"/>
        <v>0</v>
      </c>
      <c r="T137" s="1791">
        <f t="shared" si="31"/>
        <v>23140.359999999404</v>
      </c>
      <c r="U137" s="1791">
        <f t="shared" si="32"/>
        <v>24966.75</v>
      </c>
      <c r="V137" s="1792">
        <f t="shared" si="33"/>
        <v>742531.06967294647</v>
      </c>
      <c r="W137" s="755"/>
      <c r="X137" s="755"/>
      <c r="Y137" s="355"/>
      <c r="Z137" s="676"/>
      <c r="AA137" s="757"/>
      <c r="AB137" s="756"/>
      <c r="AC137" s="757"/>
      <c r="AD137" s="355"/>
      <c r="AE137" s="364"/>
      <c r="AF137" s="358"/>
      <c r="AG137" s="359"/>
    </row>
    <row r="138" spans="1:33" ht="13.8">
      <c r="A138" s="357"/>
      <c r="B138" s="357"/>
      <c r="C138" s="358" t="s">
        <v>333</v>
      </c>
      <c r="D138" s="1082" t="s">
        <v>306</v>
      </c>
      <c r="E138" s="1789"/>
      <c r="F138" s="1789"/>
      <c r="G138" s="1789"/>
      <c r="H138" s="1789"/>
      <c r="I138" s="1602"/>
      <c r="J138" s="1602"/>
      <c r="K138" s="1789"/>
      <c r="L138" s="1588"/>
      <c r="M138" s="1581"/>
      <c r="N138" s="1790"/>
      <c r="O138" s="1791">
        <f t="shared" si="34"/>
        <v>4696.6000000238419</v>
      </c>
      <c r="P138" s="1791">
        <f t="shared" si="29"/>
        <v>2525.4699999988079</v>
      </c>
      <c r="Q138" s="1791">
        <f t="shared" si="35"/>
        <v>162720.12000000477</v>
      </c>
      <c r="R138" s="1791">
        <f t="shared" si="36"/>
        <v>189955.92702793499</v>
      </c>
      <c r="S138" s="1791">
        <f t="shared" si="30"/>
        <v>0</v>
      </c>
      <c r="T138" s="1791">
        <f t="shared" si="31"/>
        <v>23140.359999999404</v>
      </c>
      <c r="U138" s="1791">
        <f t="shared" si="32"/>
        <v>24966.75</v>
      </c>
      <c r="V138" s="1792">
        <f t="shared" si="33"/>
        <v>742531.06967294647</v>
      </c>
      <c r="W138" s="755"/>
      <c r="X138" s="755"/>
      <c r="Y138" s="355"/>
      <c r="Z138" s="676"/>
      <c r="AA138" s="757"/>
      <c r="AB138" s="756"/>
      <c r="AC138" s="757"/>
      <c r="AD138" s="355"/>
      <c r="AE138" s="364"/>
      <c r="AF138" s="358"/>
      <c r="AG138" s="359"/>
    </row>
    <row r="139" spans="1:33" ht="13.8">
      <c r="A139" s="357"/>
      <c r="B139" s="357"/>
      <c r="C139" s="358" t="s">
        <v>334</v>
      </c>
      <c r="D139" s="1082" t="s">
        <v>306</v>
      </c>
      <c r="E139" s="1789"/>
      <c r="F139" s="1789"/>
      <c r="G139" s="1789"/>
      <c r="H139" s="1789">
        <v>219975.50049952025</v>
      </c>
      <c r="I139" s="1602"/>
      <c r="J139" s="1602"/>
      <c r="K139" s="1789"/>
      <c r="L139" s="1588"/>
      <c r="M139" s="1581"/>
      <c r="N139" s="1790"/>
      <c r="O139" s="1791">
        <f t="shared" si="34"/>
        <v>4696.6000000238419</v>
      </c>
      <c r="P139" s="1791">
        <f t="shared" si="29"/>
        <v>2525.4699999988079</v>
      </c>
      <c r="Q139" s="1791">
        <f t="shared" si="35"/>
        <v>162720.12000000477</v>
      </c>
      <c r="R139" s="1791">
        <f>R138+H139</f>
        <v>409931.42752745526</v>
      </c>
      <c r="S139" s="1791">
        <f t="shared" si="30"/>
        <v>0</v>
      </c>
      <c r="T139" s="1791">
        <f t="shared" si="31"/>
        <v>23140.359999999404</v>
      </c>
      <c r="U139" s="1791">
        <f t="shared" si="32"/>
        <v>24966.75</v>
      </c>
      <c r="V139" s="1792">
        <f>V138+L139</f>
        <v>742531.06967294647</v>
      </c>
      <c r="W139" s="755"/>
      <c r="X139" s="755"/>
      <c r="Y139" s="355"/>
      <c r="Z139" s="676"/>
      <c r="AA139" s="757"/>
      <c r="AB139" s="756"/>
      <c r="AC139" s="757"/>
      <c r="AD139" s="355"/>
      <c r="AE139" s="364"/>
      <c r="AF139" s="358"/>
      <c r="AG139" s="359"/>
    </row>
    <row r="140" spans="1:33" ht="13.8">
      <c r="A140" s="357"/>
      <c r="B140" s="357"/>
      <c r="C140" s="358" t="s">
        <v>335</v>
      </c>
      <c r="D140" s="1082" t="s">
        <v>306</v>
      </c>
      <c r="E140" s="1789"/>
      <c r="F140" s="1789"/>
      <c r="G140" s="1789"/>
      <c r="H140" s="1602"/>
      <c r="I140" s="1602"/>
      <c r="J140" s="1602"/>
      <c r="K140" s="1789"/>
      <c r="L140" s="1588"/>
      <c r="M140" s="1581"/>
      <c r="N140" s="1790"/>
      <c r="O140" s="1791">
        <f t="shared" si="34"/>
        <v>4696.6000000238419</v>
      </c>
      <c r="P140" s="1791">
        <f t="shared" si="29"/>
        <v>2525.4699999988079</v>
      </c>
      <c r="Q140" s="1791">
        <f t="shared" si="35"/>
        <v>162720.12000000477</v>
      </c>
      <c r="R140" s="1791">
        <f t="shared" si="36"/>
        <v>409931.42752745526</v>
      </c>
      <c r="S140" s="1791">
        <f t="shared" si="30"/>
        <v>0</v>
      </c>
      <c r="T140" s="1791">
        <f t="shared" si="31"/>
        <v>23140.359999999404</v>
      </c>
      <c r="U140" s="1791">
        <f t="shared" si="32"/>
        <v>24966.75</v>
      </c>
      <c r="V140" s="1792">
        <f t="shared" si="33"/>
        <v>742531.06967294647</v>
      </c>
      <c r="W140" s="755"/>
      <c r="X140" s="755"/>
      <c r="Y140" s="355"/>
      <c r="Z140" s="676"/>
      <c r="AA140" s="355"/>
      <c r="AB140" s="756"/>
      <c r="AC140" s="757"/>
      <c r="AD140" s="355"/>
      <c r="AE140" s="364"/>
      <c r="AF140" s="358"/>
      <c r="AG140" s="359"/>
    </row>
    <row r="141" spans="1:33" ht="14.4" thickBot="1">
      <c r="A141" s="357"/>
      <c r="B141" s="357"/>
      <c r="C141" s="358" t="s">
        <v>336</v>
      </c>
      <c r="D141" s="764" t="s">
        <v>306</v>
      </c>
      <c r="E141" s="1793"/>
      <c r="F141" s="1793"/>
      <c r="G141" s="1793"/>
      <c r="H141" s="1972"/>
      <c r="I141" s="1972"/>
      <c r="J141" s="1972"/>
      <c r="K141" s="1793"/>
      <c r="L141" s="1591"/>
      <c r="M141" s="1581"/>
      <c r="N141" s="1794"/>
      <c r="O141" s="1795">
        <f t="shared" si="34"/>
        <v>4696.6000000238419</v>
      </c>
      <c r="P141" s="1795">
        <f t="shared" si="29"/>
        <v>2525.4699999988079</v>
      </c>
      <c r="Q141" s="1795">
        <f>Q140+G141</f>
        <v>162720.12000000477</v>
      </c>
      <c r="R141" s="1795">
        <f t="shared" si="36"/>
        <v>409931.42752745526</v>
      </c>
      <c r="S141" s="1795">
        <f t="shared" si="30"/>
        <v>0</v>
      </c>
      <c r="T141" s="1795">
        <f t="shared" si="31"/>
        <v>23140.359999999404</v>
      </c>
      <c r="U141" s="1795">
        <f t="shared" si="32"/>
        <v>24966.75</v>
      </c>
      <c r="V141" s="1796">
        <f>V140+L141</f>
        <v>742531.06967294647</v>
      </c>
      <c r="W141" s="755"/>
      <c r="X141" s="755"/>
      <c r="Y141" s="355"/>
      <c r="Z141" s="676"/>
      <c r="AA141" s="355"/>
      <c r="AB141" s="756"/>
      <c r="AC141" s="757"/>
      <c r="AD141" s="355"/>
      <c r="AE141" s="364"/>
      <c r="AF141" s="358"/>
      <c r="AG141" s="359"/>
    </row>
    <row r="142" spans="1:33" ht="13.8">
      <c r="A142" s="357"/>
      <c r="B142" s="357"/>
      <c r="C142" s="358" t="s">
        <v>603</v>
      </c>
      <c r="D142" s="376" t="s">
        <v>525</v>
      </c>
      <c r="E142" s="1586">
        <f t="shared" ref="E142:L142" si="37">SUM(E129:E141)</f>
        <v>4696.6000000238419</v>
      </c>
      <c r="F142" s="1586">
        <f t="shared" si="37"/>
        <v>2525.4699999988079</v>
      </c>
      <c r="G142" s="1586">
        <f>SUM(G129:G141)</f>
        <v>162720.12000000477</v>
      </c>
      <c r="H142" s="1586">
        <f t="shared" si="37"/>
        <v>409931.42752745526</v>
      </c>
      <c r="I142" s="1586">
        <f t="shared" si="37"/>
        <v>0</v>
      </c>
      <c r="J142" s="1586">
        <f t="shared" si="37"/>
        <v>23140.359999999404</v>
      </c>
      <c r="K142" s="1586">
        <f t="shared" si="37"/>
        <v>24966.75</v>
      </c>
      <c r="L142" s="1586">
        <f t="shared" si="37"/>
        <v>742531.06967294647</v>
      </c>
      <c r="M142" s="1587"/>
      <c r="N142" s="215"/>
      <c r="O142" s="1326">
        <f>SUM(O129:O141)</f>
        <v>51487.130000293255</v>
      </c>
      <c r="P142" s="1326">
        <f>SUM(P129:P141)</f>
        <v>32558.349999986589</v>
      </c>
      <c r="Q142" s="1326">
        <f>SUM(Q129:Q141)</f>
        <v>1471454.3300000504</v>
      </c>
      <c r="R142" s="1326">
        <f>SUM(R129:R141)</f>
        <v>2354471.4277219712</v>
      </c>
      <c r="S142" s="1326">
        <f t="shared" ref="S142:U142" si="38">SUM(S129:S141)</f>
        <v>0</v>
      </c>
      <c r="T142" s="1326">
        <f t="shared" si="38"/>
        <v>290007.56999998912</v>
      </c>
      <c r="U142" s="1326">
        <f t="shared" si="38"/>
        <v>322764.07999999821</v>
      </c>
      <c r="V142" s="1326">
        <f>SUM(V129:V141)</f>
        <v>5462499.8315055706</v>
      </c>
      <c r="W142" s="755"/>
      <c r="X142" s="755"/>
      <c r="Y142" s="675"/>
      <c r="Z142" s="355"/>
      <c r="AA142" s="756"/>
      <c r="AB142" s="676"/>
      <c r="AC142" s="755"/>
      <c r="AD142" s="755"/>
      <c r="AE142" s="364"/>
      <c r="AF142" s="358"/>
      <c r="AG142" s="359"/>
    </row>
    <row r="143" spans="1:33" ht="13.8">
      <c r="A143" s="357"/>
      <c r="B143" s="357"/>
      <c r="C143" s="358" t="s">
        <v>1118</v>
      </c>
      <c r="E143" s="530"/>
      <c r="F143" s="530"/>
      <c r="G143" s="376"/>
      <c r="H143" s="376"/>
      <c r="I143" s="376"/>
      <c r="J143" s="376" t="s">
        <v>525</v>
      </c>
      <c r="K143" s="376"/>
      <c r="L143" s="215"/>
      <c r="M143" s="215"/>
      <c r="N143" s="1797"/>
      <c r="O143" s="1797">
        <f>O142/13</f>
        <v>3960.5484615610194</v>
      </c>
      <c r="P143" s="1797">
        <f>P142/13</f>
        <v>2504.4884615374299</v>
      </c>
      <c r="Q143" s="1797">
        <f>Q142/13</f>
        <v>113188.79461538848</v>
      </c>
      <c r="R143" s="1797">
        <f>R142/13</f>
        <v>181113.18674784392</v>
      </c>
      <c r="S143" s="1797">
        <f t="shared" ref="S143:V143" si="39">S142/13</f>
        <v>0</v>
      </c>
      <c r="T143" s="1797">
        <f t="shared" si="39"/>
        <v>22308.27461538378</v>
      </c>
      <c r="U143" s="1797">
        <f t="shared" si="39"/>
        <v>24828.006153846018</v>
      </c>
      <c r="V143" s="1797">
        <f t="shared" si="39"/>
        <v>420192.29473119776</v>
      </c>
      <c r="W143" s="743"/>
      <c r="X143" s="743"/>
      <c r="Y143" s="355"/>
      <c r="Z143" s="675"/>
      <c r="AA143" s="755"/>
      <c r="AB143" s="676"/>
      <c r="AC143" s="676"/>
      <c r="AD143" s="676"/>
      <c r="AE143" s="358"/>
      <c r="AF143" s="358"/>
      <c r="AG143" s="359"/>
    </row>
    <row r="144" spans="1:33" ht="13.8">
      <c r="A144" s="357"/>
      <c r="B144" s="357"/>
      <c r="C144" s="358"/>
      <c r="D144" s="358"/>
      <c r="E144" s="215"/>
      <c r="F144" s="376"/>
      <c r="G144" s="376"/>
      <c r="H144" s="1768"/>
      <c r="I144" s="376"/>
      <c r="J144" s="376"/>
      <c r="K144" s="215"/>
      <c r="L144" s="215"/>
      <c r="M144" s="215"/>
      <c r="N144" s="1769"/>
      <c r="O144" s="1769"/>
      <c r="P144" s="1769"/>
      <c r="Q144" s="1769"/>
      <c r="R144" s="1769"/>
      <c r="S144" s="1769"/>
      <c r="T144" s="1769"/>
      <c r="U144" s="676"/>
      <c r="V144" s="755"/>
      <c r="W144" s="743"/>
      <c r="X144" s="743"/>
      <c r="Y144" s="355"/>
      <c r="Z144" s="675"/>
      <c r="AA144" s="755"/>
      <c r="AB144" s="676"/>
      <c r="AC144" s="676"/>
      <c r="AD144" s="676"/>
      <c r="AE144" s="358"/>
      <c r="AF144" s="358"/>
      <c r="AG144" s="359"/>
    </row>
    <row r="145" spans="1:33" ht="14.4" thickBot="1">
      <c r="A145" s="357"/>
      <c r="B145" s="357"/>
      <c r="C145" s="358"/>
      <c r="D145" s="358"/>
      <c r="E145" s="215"/>
      <c r="F145" s="376"/>
      <c r="G145" s="376"/>
      <c r="H145" s="1768"/>
      <c r="I145" s="376"/>
      <c r="J145" s="376"/>
      <c r="K145" s="215"/>
      <c r="L145" s="215"/>
      <c r="M145" s="215"/>
      <c r="N145" s="1769"/>
      <c r="O145" s="1769"/>
      <c r="P145" s="1769"/>
      <c r="Q145" s="1769"/>
      <c r="R145" s="1769"/>
      <c r="S145" s="1769"/>
      <c r="T145" s="1769"/>
      <c r="U145" s="676"/>
      <c r="V145" s="755"/>
      <c r="W145" s="743"/>
      <c r="X145" s="743"/>
      <c r="Y145" s="355"/>
      <c r="Z145" s="675"/>
      <c r="AA145" s="755"/>
      <c r="AB145" s="676"/>
      <c r="AC145" s="676"/>
      <c r="AD145" s="676"/>
      <c r="AE145" s="358"/>
      <c r="AF145" s="358"/>
      <c r="AG145" s="359"/>
    </row>
    <row r="146" spans="1:33" ht="14.4" thickBot="1">
      <c r="A146" s="357"/>
      <c r="B146" s="357"/>
      <c r="C146" s="357"/>
      <c r="D146" s="1578" t="s">
        <v>432</v>
      </c>
      <c r="E146" s="1770" t="s">
        <v>433</v>
      </c>
      <c r="F146" s="1770" t="s">
        <v>434</v>
      </c>
      <c r="G146" s="1770" t="s">
        <v>435</v>
      </c>
      <c r="H146" s="1770" t="s">
        <v>722</v>
      </c>
      <c r="I146" s="1770" t="s">
        <v>728</v>
      </c>
      <c r="J146" s="1611" t="s">
        <v>544</v>
      </c>
      <c r="K146" s="1611" t="s">
        <v>545</v>
      </c>
      <c r="L146" s="1771" t="s">
        <v>347</v>
      </c>
      <c r="M146" s="1798"/>
      <c r="N146" s="2080" t="s">
        <v>660</v>
      </c>
      <c r="O146" s="2081"/>
      <c r="P146" s="2081"/>
      <c r="Q146" s="2081"/>
      <c r="R146" s="2081"/>
      <c r="S146" s="2081"/>
      <c r="T146" s="2081"/>
      <c r="U146" s="2081"/>
      <c r="V146" s="2082"/>
      <c r="W146" s="743"/>
      <c r="X146" s="743"/>
      <c r="Y146" s="355"/>
      <c r="Z146" s="675"/>
      <c r="AA146" s="755"/>
      <c r="AB146" s="676"/>
      <c r="AC146" s="676"/>
      <c r="AD146" s="676"/>
      <c r="AE146" s="358"/>
      <c r="AF146" s="358"/>
      <c r="AG146" s="359"/>
    </row>
    <row r="147" spans="1:33" ht="27" thickBot="1">
      <c r="A147" s="357"/>
      <c r="B147" s="357"/>
      <c r="C147" s="358"/>
      <c r="D147" s="1323"/>
      <c r="E147" s="1575"/>
      <c r="F147" s="1575" t="s">
        <v>1134</v>
      </c>
      <c r="G147" s="1575" t="s">
        <v>753</v>
      </c>
      <c r="H147" s="1575" t="s">
        <v>1052</v>
      </c>
      <c r="I147" s="1575" t="s">
        <v>1167</v>
      </c>
      <c r="J147" s="1575"/>
      <c r="K147" s="1575"/>
      <c r="L147" s="1575" t="s">
        <v>1297</v>
      </c>
      <c r="M147" s="742"/>
      <c r="N147" s="1772" t="s">
        <v>659</v>
      </c>
      <c r="O147" s="1246"/>
      <c r="P147" s="1246" t="str">
        <f t="shared" ref="P147" si="40">F147</f>
        <v>502 Jct Substation</v>
      </c>
      <c r="Q147" s="1246" t="str">
        <f>G147</f>
        <v>Black Oak</v>
      </c>
      <c r="R147" s="1246" t="s">
        <v>1052</v>
      </c>
      <c r="S147" s="1246" t="s">
        <v>1167</v>
      </c>
      <c r="T147" s="1246"/>
      <c r="U147" s="1246"/>
      <c r="V147" s="1247" t="str">
        <f>L147</f>
        <v>Wylie Ridge</v>
      </c>
      <c r="W147" s="743"/>
      <c r="X147" s="743"/>
      <c r="Y147" s="355"/>
      <c r="Z147" s="675"/>
      <c r="AA147" s="755"/>
      <c r="AB147" s="676"/>
      <c r="AC147" s="676"/>
      <c r="AD147" s="676"/>
      <c r="AE147" s="358"/>
      <c r="AF147" s="358"/>
      <c r="AG147" s="359"/>
    </row>
    <row r="148" spans="1:33" ht="14.4" thickBot="1">
      <c r="A148" s="357"/>
      <c r="B148" s="357"/>
      <c r="C148" s="358"/>
      <c r="D148" s="1577"/>
      <c r="E148" s="1246" t="s">
        <v>721</v>
      </c>
      <c r="F148" s="1246" t="s">
        <v>721</v>
      </c>
      <c r="G148" s="1246" t="s">
        <v>721</v>
      </c>
      <c r="H148" s="1246" t="s">
        <v>721</v>
      </c>
      <c r="I148" s="1246" t="s">
        <v>721</v>
      </c>
      <c r="J148" s="1246" t="s">
        <v>721</v>
      </c>
      <c r="K148" s="1246" t="s">
        <v>721</v>
      </c>
      <c r="L148" s="1247" t="s">
        <v>721</v>
      </c>
      <c r="M148" s="742"/>
      <c r="N148" s="1773"/>
      <c r="O148" s="1246" t="s">
        <v>721</v>
      </c>
      <c r="P148" s="1246" t="s">
        <v>721</v>
      </c>
      <c r="Q148" s="1246" t="s">
        <v>721</v>
      </c>
      <c r="R148" s="1246" t="s">
        <v>721</v>
      </c>
      <c r="S148" s="1246" t="s">
        <v>721</v>
      </c>
      <c r="T148" s="1246" t="s">
        <v>721</v>
      </c>
      <c r="U148" s="1246" t="s">
        <v>721</v>
      </c>
      <c r="V148" s="1247" t="s">
        <v>721</v>
      </c>
      <c r="W148" s="743"/>
      <c r="X148" s="743"/>
      <c r="Y148" s="355"/>
      <c r="Z148" s="675"/>
      <c r="AA148" s="755"/>
      <c r="AB148" s="676"/>
      <c r="AC148" s="676"/>
      <c r="AD148" s="676"/>
      <c r="AE148" s="358"/>
      <c r="AF148" s="358"/>
      <c r="AG148" s="359"/>
    </row>
    <row r="149" spans="1:33" ht="21.6">
      <c r="A149" s="357"/>
      <c r="B149" s="357"/>
      <c r="C149" s="740" t="s">
        <v>123</v>
      </c>
      <c r="D149" s="1081" t="s">
        <v>305</v>
      </c>
      <c r="E149" s="1789"/>
      <c r="F149" s="1789">
        <v>742.68000000342727</v>
      </c>
      <c r="G149" s="1789">
        <v>167.67999999970198</v>
      </c>
      <c r="H149" s="1789">
        <v>297.64999999850988</v>
      </c>
      <c r="I149" s="1789"/>
      <c r="J149" s="1789"/>
      <c r="K149" s="1789"/>
      <c r="L149" s="1588">
        <v>1902.9499999992549</v>
      </c>
      <c r="M149" s="1581"/>
      <c r="N149" s="1786"/>
      <c r="O149" s="1787">
        <f t="shared" ref="O149:V149" si="41">E149</f>
        <v>0</v>
      </c>
      <c r="P149" s="1787">
        <f t="shared" si="41"/>
        <v>742.68000000342727</v>
      </c>
      <c r="Q149" s="1787">
        <f t="shared" si="41"/>
        <v>167.67999999970198</v>
      </c>
      <c r="R149" s="1787">
        <f t="shared" si="41"/>
        <v>297.64999999850988</v>
      </c>
      <c r="S149" s="1787">
        <f t="shared" si="41"/>
        <v>0</v>
      </c>
      <c r="T149" s="1787">
        <f t="shared" si="41"/>
        <v>0</v>
      </c>
      <c r="U149" s="1787">
        <f t="shared" si="41"/>
        <v>0</v>
      </c>
      <c r="V149" s="1788">
        <f t="shared" si="41"/>
        <v>1902.9499999992549</v>
      </c>
      <c r="W149" s="743"/>
      <c r="X149" s="743"/>
      <c r="Y149" s="355"/>
      <c r="Z149" s="675"/>
      <c r="AA149" s="755"/>
      <c r="AB149" s="676"/>
      <c r="AC149" s="676"/>
      <c r="AD149" s="676"/>
      <c r="AE149" s="358"/>
      <c r="AF149" s="358"/>
      <c r="AG149" s="359"/>
    </row>
    <row r="150" spans="1:33" ht="13.8">
      <c r="A150" s="357"/>
      <c r="B150" s="357"/>
      <c r="C150" s="614" t="s">
        <v>1327</v>
      </c>
      <c r="D150" s="1081" t="s">
        <v>305</v>
      </c>
      <c r="E150" s="1789"/>
      <c r="F150" s="1789"/>
      <c r="G150" s="1789"/>
      <c r="H150" s="1789"/>
      <c r="I150" s="1789"/>
      <c r="J150" s="1789"/>
      <c r="K150" s="1789"/>
      <c r="L150" s="1588">
        <v>138.71999999880791</v>
      </c>
      <c r="M150" s="1581"/>
      <c r="N150" s="1790"/>
      <c r="O150" s="1791">
        <f t="shared" ref="O150:O161" si="42">O149+E150</f>
        <v>0</v>
      </c>
      <c r="P150" s="1791">
        <f t="shared" ref="P150:P161" si="43">P149+F150</f>
        <v>742.68000000342727</v>
      </c>
      <c r="Q150" s="1791">
        <f t="shared" ref="Q150:Q161" si="44">Q149+G150</f>
        <v>167.67999999970198</v>
      </c>
      <c r="R150" s="1791">
        <f t="shared" ref="R150:R161" si="45">R149+H150</f>
        <v>297.64999999850988</v>
      </c>
      <c r="S150" s="1791">
        <f t="shared" ref="S150:S161" si="46">S149+I150</f>
        <v>0</v>
      </c>
      <c r="T150" s="1791">
        <f t="shared" ref="T150:T161" si="47">T149+J150</f>
        <v>0</v>
      </c>
      <c r="U150" s="1791">
        <f t="shared" ref="U150:U161" si="48">U149+K150</f>
        <v>0</v>
      </c>
      <c r="V150" s="1792">
        <f t="shared" ref="V150:V161" si="49">V149+L150</f>
        <v>2041.6699999980628</v>
      </c>
      <c r="W150" s="743"/>
      <c r="X150" s="743"/>
      <c r="Y150" s="355"/>
      <c r="Z150" s="675"/>
      <c r="AA150" s="755"/>
      <c r="AB150" s="676"/>
      <c r="AC150" s="676"/>
      <c r="AD150" s="676"/>
      <c r="AE150" s="358"/>
      <c r="AF150" s="358"/>
      <c r="AG150" s="359"/>
    </row>
    <row r="151" spans="1:33" ht="13.8">
      <c r="A151" s="357"/>
      <c r="B151" s="357"/>
      <c r="C151" s="358" t="s">
        <v>327</v>
      </c>
      <c r="D151" s="1081" t="s">
        <v>305</v>
      </c>
      <c r="E151" s="1789"/>
      <c r="F151" s="1789"/>
      <c r="G151" s="1789"/>
      <c r="H151" s="1789">
        <v>14.490000002086163</v>
      </c>
      <c r="I151" s="1789"/>
      <c r="J151" s="1789"/>
      <c r="K151" s="1789"/>
      <c r="L151" s="1588"/>
      <c r="M151" s="1581"/>
      <c r="N151" s="1790"/>
      <c r="O151" s="1791">
        <f t="shared" si="42"/>
        <v>0</v>
      </c>
      <c r="P151" s="1791">
        <f t="shared" si="43"/>
        <v>742.68000000342727</v>
      </c>
      <c r="Q151" s="1791">
        <f t="shared" si="44"/>
        <v>167.67999999970198</v>
      </c>
      <c r="R151" s="1791">
        <f t="shared" si="45"/>
        <v>312.14000000059605</v>
      </c>
      <c r="S151" s="1791">
        <f t="shared" si="46"/>
        <v>0</v>
      </c>
      <c r="T151" s="1791">
        <f t="shared" si="47"/>
        <v>0</v>
      </c>
      <c r="U151" s="1791">
        <f t="shared" si="48"/>
        <v>0</v>
      </c>
      <c r="V151" s="1792">
        <f t="shared" si="49"/>
        <v>2041.6699999980628</v>
      </c>
      <c r="W151" s="743"/>
      <c r="X151" s="743"/>
      <c r="Y151" s="355"/>
      <c r="Z151" s="675"/>
      <c r="AA151" s="755"/>
      <c r="AB151" s="676"/>
      <c r="AC151" s="676"/>
      <c r="AD151" s="676"/>
      <c r="AE151" s="358"/>
      <c r="AF151" s="358"/>
      <c r="AG151" s="359"/>
    </row>
    <row r="152" spans="1:33" ht="13.8">
      <c r="A152" s="357"/>
      <c r="B152" s="357"/>
      <c r="C152" s="358" t="s">
        <v>328</v>
      </c>
      <c r="D152" s="1081" t="s">
        <v>305</v>
      </c>
      <c r="E152" s="1789"/>
      <c r="F152" s="1789"/>
      <c r="G152" s="1789">
        <v>15830.130000002682</v>
      </c>
      <c r="H152" s="1789"/>
      <c r="I152" s="1789"/>
      <c r="J152" s="1789"/>
      <c r="K152" s="1789"/>
      <c r="L152" s="1588"/>
      <c r="M152" s="1581"/>
      <c r="N152" s="1790"/>
      <c r="O152" s="1791">
        <f t="shared" si="42"/>
        <v>0</v>
      </c>
      <c r="P152" s="1791">
        <f t="shared" si="43"/>
        <v>742.68000000342727</v>
      </c>
      <c r="Q152" s="1791">
        <f t="shared" si="44"/>
        <v>15997.810000002384</v>
      </c>
      <c r="R152" s="1791">
        <f t="shared" si="45"/>
        <v>312.14000000059605</v>
      </c>
      <c r="S152" s="1791">
        <f t="shared" si="46"/>
        <v>0</v>
      </c>
      <c r="T152" s="1791">
        <f t="shared" si="47"/>
        <v>0</v>
      </c>
      <c r="U152" s="1791">
        <f t="shared" si="48"/>
        <v>0</v>
      </c>
      <c r="V152" s="1792">
        <f t="shared" si="49"/>
        <v>2041.6699999980628</v>
      </c>
      <c r="W152" s="743"/>
      <c r="X152" s="743"/>
      <c r="Y152" s="355"/>
      <c r="Z152" s="675"/>
      <c r="AA152" s="755"/>
      <c r="AB152" s="676"/>
      <c r="AC152" s="676"/>
      <c r="AD152" s="676"/>
      <c r="AE152" s="358"/>
      <c r="AF152" s="358"/>
      <c r="AG152" s="359"/>
    </row>
    <row r="153" spans="1:33" ht="13.8">
      <c r="A153" s="357"/>
      <c r="B153" s="357"/>
      <c r="C153" s="358" t="s">
        <v>329</v>
      </c>
      <c r="D153" s="1081" t="s">
        <v>305</v>
      </c>
      <c r="E153" s="1789"/>
      <c r="F153" s="1789">
        <v>700.95999999716878</v>
      </c>
      <c r="G153" s="1789">
        <v>-11143.380000002682</v>
      </c>
      <c r="H153" s="1789">
        <v>-20000</v>
      </c>
      <c r="I153" s="1789">
        <v>132804.16000000015</v>
      </c>
      <c r="J153" s="1789"/>
      <c r="K153" s="1789"/>
      <c r="L153" s="1588"/>
      <c r="M153" s="1581"/>
      <c r="N153" s="1790"/>
      <c r="O153" s="1791">
        <f t="shared" si="42"/>
        <v>0</v>
      </c>
      <c r="P153" s="1791">
        <f t="shared" si="43"/>
        <v>1443.640000000596</v>
      </c>
      <c r="Q153" s="1791">
        <f t="shared" si="44"/>
        <v>4854.429999999702</v>
      </c>
      <c r="R153" s="1791">
        <f t="shared" si="45"/>
        <v>-19687.859999999404</v>
      </c>
      <c r="S153" s="1791">
        <f t="shared" si="46"/>
        <v>132804.16000000015</v>
      </c>
      <c r="T153" s="1791">
        <f t="shared" si="47"/>
        <v>0</v>
      </c>
      <c r="U153" s="1791">
        <f t="shared" si="48"/>
        <v>0</v>
      </c>
      <c r="V153" s="1792">
        <f t="shared" si="49"/>
        <v>2041.6699999980628</v>
      </c>
      <c r="W153" s="743"/>
      <c r="X153" s="743"/>
      <c r="Y153" s="355"/>
      <c r="Z153" s="675"/>
      <c r="AA153" s="755"/>
      <c r="AB153" s="676"/>
      <c r="AC153" s="676"/>
      <c r="AD153" s="676"/>
      <c r="AE153" s="358"/>
      <c r="AF153" s="358"/>
      <c r="AG153" s="359"/>
    </row>
    <row r="154" spans="1:33" ht="13.8">
      <c r="A154" s="357"/>
      <c r="B154" s="357"/>
      <c r="C154" s="358" t="s">
        <v>296</v>
      </c>
      <c r="D154" s="1082" t="s">
        <v>306</v>
      </c>
      <c r="E154" s="1789"/>
      <c r="F154" s="1789"/>
      <c r="G154" s="1789"/>
      <c r="H154" s="1789"/>
      <c r="I154" s="1789"/>
      <c r="J154" s="1789"/>
      <c r="K154" s="1789"/>
      <c r="L154" s="1588"/>
      <c r="M154" s="1581"/>
      <c r="N154" s="1790"/>
      <c r="O154" s="1791">
        <f t="shared" si="42"/>
        <v>0</v>
      </c>
      <c r="P154" s="1791">
        <f t="shared" si="43"/>
        <v>1443.640000000596</v>
      </c>
      <c r="Q154" s="1791">
        <f t="shared" si="44"/>
        <v>4854.429999999702</v>
      </c>
      <c r="R154" s="1791">
        <f t="shared" si="45"/>
        <v>-19687.859999999404</v>
      </c>
      <c r="S154" s="1791">
        <f t="shared" si="46"/>
        <v>132804.16000000015</v>
      </c>
      <c r="T154" s="1791">
        <f t="shared" si="47"/>
        <v>0</v>
      </c>
      <c r="U154" s="1791">
        <f t="shared" si="48"/>
        <v>0</v>
      </c>
      <c r="V154" s="1792">
        <f t="shared" si="49"/>
        <v>2041.6699999980628</v>
      </c>
      <c r="W154" s="743"/>
      <c r="X154" s="743"/>
      <c r="Y154" s="355"/>
      <c r="Z154" s="675"/>
      <c r="AA154" s="755"/>
      <c r="AB154" s="676"/>
      <c r="AC154" s="676"/>
      <c r="AD154" s="676"/>
      <c r="AE154" s="358"/>
      <c r="AF154" s="358"/>
      <c r="AG154" s="359"/>
    </row>
    <row r="155" spans="1:33" ht="13.8">
      <c r="A155" s="357"/>
      <c r="B155" s="357"/>
      <c r="C155" s="358" t="s">
        <v>330</v>
      </c>
      <c r="D155" s="1082" t="s">
        <v>306</v>
      </c>
      <c r="E155" s="1789"/>
      <c r="F155" s="1789"/>
      <c r="G155" s="1789"/>
      <c r="H155" s="1789"/>
      <c r="I155" s="1789"/>
      <c r="J155" s="1789"/>
      <c r="K155" s="1789"/>
      <c r="L155" s="1973"/>
      <c r="M155" s="1581"/>
      <c r="N155" s="1790"/>
      <c r="O155" s="1791">
        <f t="shared" si="42"/>
        <v>0</v>
      </c>
      <c r="P155" s="1791">
        <f t="shared" si="43"/>
        <v>1443.640000000596</v>
      </c>
      <c r="Q155" s="1791">
        <f t="shared" si="44"/>
        <v>4854.429999999702</v>
      </c>
      <c r="R155" s="1791">
        <f t="shared" si="45"/>
        <v>-19687.859999999404</v>
      </c>
      <c r="S155" s="1791">
        <f t="shared" si="46"/>
        <v>132804.16000000015</v>
      </c>
      <c r="T155" s="1791">
        <f t="shared" si="47"/>
        <v>0</v>
      </c>
      <c r="U155" s="1791">
        <f t="shared" si="48"/>
        <v>0</v>
      </c>
      <c r="V155" s="1792">
        <f t="shared" si="49"/>
        <v>2041.6699999980628</v>
      </c>
      <c r="W155" s="743"/>
      <c r="X155" s="743"/>
      <c r="Y155" s="355"/>
      <c r="Z155" s="675"/>
      <c r="AA155" s="755"/>
      <c r="AB155" s="676"/>
      <c r="AC155" s="676"/>
      <c r="AD155" s="676"/>
      <c r="AE155" s="358"/>
      <c r="AF155" s="358"/>
      <c r="AG155" s="359"/>
    </row>
    <row r="156" spans="1:33" ht="13.8">
      <c r="A156" s="357"/>
      <c r="B156" s="357"/>
      <c r="C156" s="358" t="s">
        <v>331</v>
      </c>
      <c r="D156" s="1082" t="s">
        <v>306</v>
      </c>
      <c r="E156" s="1789"/>
      <c r="F156" s="1789"/>
      <c r="G156" s="1789"/>
      <c r="H156" s="1789"/>
      <c r="I156" s="1789"/>
      <c r="J156" s="1789"/>
      <c r="K156" s="1789"/>
      <c r="L156" s="1588"/>
      <c r="M156" s="1581"/>
      <c r="N156" s="1790"/>
      <c r="O156" s="1791">
        <f t="shared" si="42"/>
        <v>0</v>
      </c>
      <c r="P156" s="1791">
        <f t="shared" si="43"/>
        <v>1443.640000000596</v>
      </c>
      <c r="Q156" s="1791">
        <f t="shared" si="44"/>
        <v>4854.429999999702</v>
      </c>
      <c r="R156" s="1791">
        <f t="shared" si="45"/>
        <v>-19687.859999999404</v>
      </c>
      <c r="S156" s="1791">
        <f t="shared" si="46"/>
        <v>132804.16000000015</v>
      </c>
      <c r="T156" s="1791">
        <f t="shared" si="47"/>
        <v>0</v>
      </c>
      <c r="U156" s="1791">
        <f t="shared" si="48"/>
        <v>0</v>
      </c>
      <c r="V156" s="1792">
        <f t="shared" si="49"/>
        <v>2041.6699999980628</v>
      </c>
      <c r="W156" s="743"/>
      <c r="X156" s="743"/>
      <c r="Y156" s="355"/>
      <c r="Z156" s="675"/>
      <c r="AA156" s="755"/>
      <c r="AB156" s="676"/>
      <c r="AC156" s="676"/>
      <c r="AD156" s="676"/>
      <c r="AE156" s="358"/>
      <c r="AF156" s="358"/>
      <c r="AG156" s="359"/>
    </row>
    <row r="157" spans="1:33" ht="13.8">
      <c r="A157" s="357"/>
      <c r="B157" s="357"/>
      <c r="C157" s="358" t="s">
        <v>332</v>
      </c>
      <c r="D157" s="1082" t="s">
        <v>306</v>
      </c>
      <c r="E157" s="1789"/>
      <c r="F157" s="1789"/>
      <c r="G157" s="1789"/>
      <c r="H157" s="1789"/>
      <c r="I157" s="1789"/>
      <c r="J157" s="1789"/>
      <c r="K157" s="1789"/>
      <c r="L157" s="1588"/>
      <c r="M157" s="1581"/>
      <c r="N157" s="1790"/>
      <c r="O157" s="1791">
        <f t="shared" si="42"/>
        <v>0</v>
      </c>
      <c r="P157" s="1791">
        <f t="shared" si="43"/>
        <v>1443.640000000596</v>
      </c>
      <c r="Q157" s="1791">
        <f t="shared" si="44"/>
        <v>4854.429999999702</v>
      </c>
      <c r="R157" s="1791">
        <f t="shared" si="45"/>
        <v>-19687.859999999404</v>
      </c>
      <c r="S157" s="1791">
        <f t="shared" si="46"/>
        <v>132804.16000000015</v>
      </c>
      <c r="T157" s="1791">
        <f t="shared" si="47"/>
        <v>0</v>
      </c>
      <c r="U157" s="1791">
        <f t="shared" si="48"/>
        <v>0</v>
      </c>
      <c r="V157" s="1792">
        <f t="shared" si="49"/>
        <v>2041.6699999980628</v>
      </c>
      <c r="W157" s="743"/>
      <c r="X157" s="743"/>
      <c r="Y157" s="355"/>
      <c r="Z157" s="675"/>
      <c r="AA157" s="755"/>
      <c r="AB157" s="676"/>
      <c r="AC157" s="676"/>
      <c r="AD157" s="676"/>
      <c r="AE157" s="358"/>
      <c r="AF157" s="358"/>
      <c r="AG157" s="359"/>
    </row>
    <row r="158" spans="1:33" ht="13.8">
      <c r="A158" s="357"/>
      <c r="B158" s="357"/>
      <c r="C158" s="358" t="s">
        <v>333</v>
      </c>
      <c r="D158" s="1082" t="s">
        <v>306</v>
      </c>
      <c r="E158" s="1789"/>
      <c r="F158" s="1789"/>
      <c r="G158" s="1789"/>
      <c r="H158" s="1789"/>
      <c r="I158" s="1789"/>
      <c r="J158" s="1789"/>
      <c r="K158" s="1789"/>
      <c r="L158" s="1588"/>
      <c r="M158" s="1581"/>
      <c r="N158" s="1790"/>
      <c r="O158" s="1791">
        <f t="shared" si="42"/>
        <v>0</v>
      </c>
      <c r="P158" s="1791">
        <f t="shared" si="43"/>
        <v>1443.640000000596</v>
      </c>
      <c r="Q158" s="1791">
        <f t="shared" si="44"/>
        <v>4854.429999999702</v>
      </c>
      <c r="R158" s="1791">
        <f t="shared" si="45"/>
        <v>-19687.859999999404</v>
      </c>
      <c r="S158" s="1791">
        <f t="shared" si="46"/>
        <v>132804.16000000015</v>
      </c>
      <c r="T158" s="1791">
        <f t="shared" si="47"/>
        <v>0</v>
      </c>
      <c r="U158" s="1791">
        <f t="shared" si="48"/>
        <v>0</v>
      </c>
      <c r="V158" s="1792">
        <f t="shared" si="49"/>
        <v>2041.6699999980628</v>
      </c>
      <c r="W158" s="743"/>
      <c r="X158" s="743"/>
      <c r="Y158" s="355"/>
      <c r="Z158" s="675"/>
      <c r="AA158" s="755"/>
      <c r="AB158" s="676"/>
      <c r="AC158" s="676"/>
      <c r="AD158" s="676"/>
      <c r="AE158" s="358"/>
      <c r="AF158" s="358"/>
      <c r="AG158" s="359"/>
    </row>
    <row r="159" spans="1:33" ht="13.8">
      <c r="A159" s="357"/>
      <c r="B159" s="357"/>
      <c r="C159" s="358" t="s">
        <v>334</v>
      </c>
      <c r="D159" s="1082" t="s">
        <v>306</v>
      </c>
      <c r="E159" s="1789"/>
      <c r="F159" s="1789"/>
      <c r="G159" s="1789"/>
      <c r="H159" s="1789"/>
      <c r="I159" s="1789"/>
      <c r="J159" s="1789"/>
      <c r="K159" s="1789"/>
      <c r="L159" s="1588"/>
      <c r="M159" s="1581"/>
      <c r="N159" s="1790"/>
      <c r="O159" s="1791">
        <f t="shared" si="42"/>
        <v>0</v>
      </c>
      <c r="P159" s="1791">
        <f t="shared" si="43"/>
        <v>1443.640000000596</v>
      </c>
      <c r="Q159" s="1791">
        <f t="shared" si="44"/>
        <v>4854.429999999702</v>
      </c>
      <c r="R159" s="1791">
        <f t="shared" si="45"/>
        <v>-19687.859999999404</v>
      </c>
      <c r="S159" s="1791">
        <f t="shared" si="46"/>
        <v>132804.16000000015</v>
      </c>
      <c r="T159" s="1791">
        <f t="shared" si="47"/>
        <v>0</v>
      </c>
      <c r="U159" s="1791">
        <f t="shared" si="48"/>
        <v>0</v>
      </c>
      <c r="V159" s="1792">
        <f t="shared" si="49"/>
        <v>2041.6699999980628</v>
      </c>
      <c r="W159" s="743"/>
      <c r="X159" s="743"/>
      <c r="Y159" s="355"/>
      <c r="Z159" s="675"/>
      <c r="AA159" s="755"/>
      <c r="AB159" s="676"/>
      <c r="AC159" s="676"/>
      <c r="AD159" s="676"/>
      <c r="AE159" s="358"/>
      <c r="AF159" s="358"/>
      <c r="AG159" s="359"/>
    </row>
    <row r="160" spans="1:33" ht="13.8">
      <c r="A160" s="357"/>
      <c r="B160" s="357"/>
      <c r="C160" s="358" t="s">
        <v>335</v>
      </c>
      <c r="D160" s="1082" t="s">
        <v>306</v>
      </c>
      <c r="E160" s="1789"/>
      <c r="F160" s="1789"/>
      <c r="G160" s="1789"/>
      <c r="H160" s="1789"/>
      <c r="I160" s="1789"/>
      <c r="J160" s="1789"/>
      <c r="K160" s="1789"/>
      <c r="L160" s="1588"/>
      <c r="M160" s="1581"/>
      <c r="N160" s="1790"/>
      <c r="O160" s="1791">
        <f t="shared" si="42"/>
        <v>0</v>
      </c>
      <c r="P160" s="1791">
        <f t="shared" si="43"/>
        <v>1443.640000000596</v>
      </c>
      <c r="Q160" s="1791">
        <f t="shared" si="44"/>
        <v>4854.429999999702</v>
      </c>
      <c r="R160" s="1791">
        <f t="shared" si="45"/>
        <v>-19687.859999999404</v>
      </c>
      <c r="S160" s="1791">
        <f t="shared" si="46"/>
        <v>132804.16000000015</v>
      </c>
      <c r="T160" s="1791">
        <f t="shared" si="47"/>
        <v>0</v>
      </c>
      <c r="U160" s="1791">
        <f t="shared" si="48"/>
        <v>0</v>
      </c>
      <c r="V160" s="1792">
        <f t="shared" si="49"/>
        <v>2041.6699999980628</v>
      </c>
      <c r="W160" s="743"/>
      <c r="X160" s="743"/>
      <c r="Y160" s="355"/>
      <c r="Z160" s="675"/>
      <c r="AA160" s="755"/>
      <c r="AB160" s="676"/>
      <c r="AC160" s="676"/>
      <c r="AD160" s="676"/>
      <c r="AE160" s="358"/>
      <c r="AF160" s="358"/>
      <c r="AG160" s="359"/>
    </row>
    <row r="161" spans="1:33" ht="14.4" thickBot="1">
      <c r="A161" s="357"/>
      <c r="B161" s="357"/>
      <c r="C161" s="358" t="s">
        <v>336</v>
      </c>
      <c r="D161" s="764" t="s">
        <v>306</v>
      </c>
      <c r="E161" s="1793"/>
      <c r="F161" s="1793"/>
      <c r="G161" s="1793"/>
      <c r="H161" s="1793"/>
      <c r="I161" s="1793"/>
      <c r="J161" s="1793"/>
      <c r="K161" s="1793"/>
      <c r="L161" s="1591"/>
      <c r="M161" s="1581"/>
      <c r="N161" s="1794"/>
      <c r="O161" s="1795">
        <f t="shared" si="42"/>
        <v>0</v>
      </c>
      <c r="P161" s="1795">
        <f t="shared" si="43"/>
        <v>1443.640000000596</v>
      </c>
      <c r="Q161" s="1795">
        <f t="shared" si="44"/>
        <v>4854.429999999702</v>
      </c>
      <c r="R161" s="1795">
        <f t="shared" si="45"/>
        <v>-19687.859999999404</v>
      </c>
      <c r="S161" s="1795">
        <f t="shared" si="46"/>
        <v>132804.16000000015</v>
      </c>
      <c r="T161" s="1795">
        <f t="shared" si="47"/>
        <v>0</v>
      </c>
      <c r="U161" s="1795">
        <f t="shared" si="48"/>
        <v>0</v>
      </c>
      <c r="V161" s="1796">
        <f t="shared" si="49"/>
        <v>2041.6699999980628</v>
      </c>
      <c r="W161" s="743"/>
      <c r="X161" s="743"/>
      <c r="Y161" s="355"/>
      <c r="Z161" s="675"/>
      <c r="AA161" s="755"/>
      <c r="AB161" s="676"/>
      <c r="AC161" s="676"/>
      <c r="AD161" s="676"/>
      <c r="AE161" s="358"/>
      <c r="AF161" s="358"/>
      <c r="AG161" s="359"/>
    </row>
    <row r="162" spans="1:33" ht="13.8">
      <c r="A162" s="357"/>
      <c r="B162" s="357"/>
      <c r="C162" s="358" t="s">
        <v>603</v>
      </c>
      <c r="D162" s="376" t="s">
        <v>525</v>
      </c>
      <c r="E162" s="1586">
        <f t="shared" ref="E162:L162" si="50">SUM(E149:E161)</f>
        <v>0</v>
      </c>
      <c r="F162" s="1586">
        <f t="shared" si="50"/>
        <v>1443.640000000596</v>
      </c>
      <c r="G162" s="1586">
        <f>SUM(G149:G161)</f>
        <v>4854.429999999702</v>
      </c>
      <c r="H162" s="1586">
        <f t="shared" si="50"/>
        <v>-19687.859999999404</v>
      </c>
      <c r="I162" s="1586">
        <f t="shared" si="50"/>
        <v>132804.16000000015</v>
      </c>
      <c r="J162" s="1586">
        <f t="shared" si="50"/>
        <v>0</v>
      </c>
      <c r="K162" s="1586">
        <f t="shared" si="50"/>
        <v>0</v>
      </c>
      <c r="L162" s="1586">
        <f t="shared" si="50"/>
        <v>2041.6699999980628</v>
      </c>
      <c r="M162" s="1587"/>
      <c r="N162" s="215"/>
      <c r="O162" s="1326">
        <f t="shared" ref="O162:V162" si="51">SUM(O149:O161)</f>
        <v>0</v>
      </c>
      <c r="P162" s="1326">
        <f t="shared" si="51"/>
        <v>15963.480000019073</v>
      </c>
      <c r="Q162" s="1326">
        <f t="shared" si="51"/>
        <v>60190.719999998808</v>
      </c>
      <c r="R162" s="1326">
        <f t="shared" si="51"/>
        <v>-175971.15999999642</v>
      </c>
      <c r="S162" s="1326">
        <f t="shared" si="51"/>
        <v>1195237.4400000013</v>
      </c>
      <c r="T162" s="1326">
        <f t="shared" si="51"/>
        <v>0</v>
      </c>
      <c r="U162" s="1326">
        <f t="shared" si="51"/>
        <v>0</v>
      </c>
      <c r="V162" s="1326">
        <f t="shared" si="51"/>
        <v>26402.989999976009</v>
      </c>
      <c r="W162" s="743"/>
      <c r="X162" s="743"/>
      <c r="Y162" s="355"/>
      <c r="Z162" s="675"/>
      <c r="AA162" s="755"/>
      <c r="AB162" s="676"/>
      <c r="AC162" s="676"/>
      <c r="AD162" s="676"/>
      <c r="AE162" s="358"/>
      <c r="AF162" s="358"/>
      <c r="AG162" s="359"/>
    </row>
    <row r="163" spans="1:33" ht="13.8">
      <c r="A163" s="357"/>
      <c r="B163" s="357"/>
      <c r="C163" s="358" t="s">
        <v>1118</v>
      </c>
      <c r="E163" s="530"/>
      <c r="F163" s="530"/>
      <c r="G163" s="376"/>
      <c r="H163" s="376"/>
      <c r="I163" s="376"/>
      <c r="J163" s="376"/>
      <c r="K163" s="376"/>
      <c r="L163" s="215"/>
      <c r="M163" s="215"/>
      <c r="N163" s="1797"/>
      <c r="O163" s="1799">
        <f>O162/13</f>
        <v>0</v>
      </c>
      <c r="P163" s="1799">
        <f t="shared" ref="P163:V163" si="52">P162/13</f>
        <v>1227.9600000014673</v>
      </c>
      <c r="Q163" s="1799">
        <f t="shared" si="52"/>
        <v>4630.0553846152925</v>
      </c>
      <c r="R163" s="1799">
        <f t="shared" si="52"/>
        <v>-13536.243076922801</v>
      </c>
      <c r="S163" s="1799">
        <f t="shared" si="52"/>
        <v>91941.341538461638</v>
      </c>
      <c r="T163" s="1799">
        <f t="shared" si="52"/>
        <v>0</v>
      </c>
      <c r="U163" s="1799">
        <f t="shared" si="52"/>
        <v>0</v>
      </c>
      <c r="V163" s="1799">
        <f t="shared" si="52"/>
        <v>2030.9992307673854</v>
      </c>
      <c r="W163" s="743"/>
      <c r="X163" s="743"/>
      <c r="Y163" s="355"/>
      <c r="Z163" s="675"/>
      <c r="AA163" s="755"/>
      <c r="AB163" s="676"/>
      <c r="AC163" s="676"/>
      <c r="AD163" s="676"/>
      <c r="AE163" s="358"/>
      <c r="AF163" s="358"/>
      <c r="AG163" s="359"/>
    </row>
    <row r="164" spans="1:33" ht="13.8">
      <c r="A164" s="357"/>
      <c r="B164" s="357"/>
      <c r="C164" s="358"/>
      <c r="E164" s="530"/>
      <c r="F164" s="530"/>
      <c r="G164" s="376"/>
      <c r="H164" s="376"/>
      <c r="I164" s="376"/>
      <c r="J164" s="376"/>
      <c r="K164" s="376"/>
      <c r="L164" s="215"/>
      <c r="M164" s="215"/>
      <c r="N164" s="1797"/>
      <c r="O164" s="1797"/>
      <c r="P164" s="1797"/>
      <c r="Q164" s="1797"/>
      <c r="R164" s="1797"/>
      <c r="S164" s="1797"/>
      <c r="T164" s="1797"/>
      <c r="U164" s="743"/>
      <c r="V164" s="215"/>
      <c r="W164" s="743"/>
      <c r="X164" s="743"/>
      <c r="Y164" s="355"/>
      <c r="Z164" s="675"/>
      <c r="AA164" s="755"/>
      <c r="AB164" s="676"/>
      <c r="AC164" s="676"/>
      <c r="AD164" s="676"/>
      <c r="AE164" s="358"/>
      <c r="AF164" s="358"/>
      <c r="AG164" s="359"/>
    </row>
    <row r="165" spans="1:33" ht="14.4" thickBot="1">
      <c r="A165" s="357"/>
      <c r="B165" s="357"/>
      <c r="C165" s="358"/>
      <c r="E165" s="530"/>
      <c r="F165" s="530"/>
      <c r="G165" s="376"/>
      <c r="H165" s="376"/>
      <c r="I165" s="376"/>
      <c r="J165" s="376"/>
      <c r="K165" s="376"/>
      <c r="L165" s="215"/>
      <c r="M165" s="215"/>
      <c r="N165" s="1797"/>
      <c r="O165" s="1797"/>
      <c r="P165" s="1797"/>
      <c r="Q165" s="1797"/>
      <c r="R165" s="1797"/>
      <c r="S165" s="1797"/>
      <c r="T165" s="1797"/>
      <c r="U165" s="743"/>
      <c r="V165" s="215"/>
      <c r="W165" s="743"/>
      <c r="X165" s="743"/>
      <c r="Y165" s="355"/>
      <c r="Z165" s="675"/>
      <c r="AA165" s="755"/>
      <c r="AB165" s="676"/>
      <c r="AC165" s="676"/>
      <c r="AD165" s="676"/>
      <c r="AE165" s="358"/>
      <c r="AF165" s="358"/>
      <c r="AG165" s="359"/>
    </row>
    <row r="166" spans="1:33" ht="14.4" thickBot="1">
      <c r="A166" s="357"/>
      <c r="B166" s="357"/>
      <c r="C166" s="357"/>
      <c r="D166" s="1578" t="s">
        <v>432</v>
      </c>
      <c r="E166" s="1770" t="s">
        <v>433</v>
      </c>
      <c r="F166" s="1770" t="s">
        <v>434</v>
      </c>
      <c r="G166" s="1770" t="s">
        <v>435</v>
      </c>
      <c r="H166" s="1770" t="s">
        <v>722</v>
      </c>
      <c r="I166" s="1770" t="s">
        <v>728</v>
      </c>
      <c r="J166" s="1611" t="s">
        <v>544</v>
      </c>
      <c r="K166" s="1611" t="s">
        <v>545</v>
      </c>
      <c r="L166" s="1771" t="s">
        <v>347</v>
      </c>
      <c r="M166" s="1798"/>
      <c r="N166" s="2080" t="s">
        <v>660</v>
      </c>
      <c r="O166" s="2081"/>
      <c r="P166" s="2081"/>
      <c r="Q166" s="2081"/>
      <c r="R166" s="2081"/>
      <c r="S166" s="2081"/>
      <c r="T166" s="2081"/>
      <c r="U166" s="2081"/>
      <c r="V166" s="2082"/>
      <c r="W166" s="743"/>
      <c r="X166" s="743"/>
      <c r="Y166" s="355"/>
      <c r="Z166" s="675"/>
      <c r="AA166" s="755"/>
      <c r="AB166" s="676"/>
      <c r="AC166" s="676"/>
      <c r="AD166" s="676"/>
      <c r="AE166" s="358"/>
      <c r="AF166" s="358"/>
      <c r="AG166" s="359"/>
    </row>
    <row r="167" spans="1:33" ht="27" thickBot="1">
      <c r="A167" s="357"/>
      <c r="B167" s="357"/>
      <c r="C167" s="358"/>
      <c r="D167" s="1323"/>
      <c r="E167" s="1575"/>
      <c r="F167" s="1575"/>
      <c r="G167" s="1575" t="s">
        <v>1073</v>
      </c>
      <c r="H167" s="1575" t="s">
        <v>1296</v>
      </c>
      <c r="I167" s="1575" t="s">
        <v>1114</v>
      </c>
      <c r="J167" s="1575" t="s">
        <v>1217</v>
      </c>
      <c r="K167" s="1575" t="s">
        <v>1298</v>
      </c>
      <c r="L167" s="1576"/>
      <c r="M167" s="742"/>
      <c r="N167" s="1772" t="s">
        <v>659</v>
      </c>
      <c r="O167" s="1246"/>
      <c r="P167" s="1246"/>
      <c r="Q167" s="1246" t="str">
        <f t="shared" ref="Q167" si="53">G167</f>
        <v>Waldo Run SS</v>
      </c>
      <c r="R167" s="1246" t="str">
        <f t="shared" ref="R167" si="54">H167</f>
        <v>Meadowbrook SS Capacitor</v>
      </c>
      <c r="S167" s="1246" t="str">
        <f t="shared" ref="S167" si="55">I167</f>
        <v>Conemaugh</v>
      </c>
      <c r="T167" s="1246" t="str">
        <f t="shared" ref="T167" si="56">J167</f>
        <v>Rider</v>
      </c>
      <c r="U167" s="1246" t="str">
        <f t="shared" ref="U167" si="57">K167</f>
        <v>Cabot Substation</v>
      </c>
      <c r="V167" s="1247"/>
      <c r="W167" s="743"/>
      <c r="X167" s="743"/>
      <c r="Y167" s="355"/>
      <c r="Z167" s="675"/>
      <c r="AA167" s="755"/>
      <c r="AB167" s="676"/>
      <c r="AC167" s="676"/>
      <c r="AD167" s="676"/>
      <c r="AE167" s="358"/>
      <c r="AF167" s="358"/>
      <c r="AG167" s="359"/>
    </row>
    <row r="168" spans="1:33" ht="14.4" thickBot="1">
      <c r="A168" s="357"/>
      <c r="B168" s="357"/>
      <c r="C168" s="358"/>
      <c r="D168" s="1577"/>
      <c r="E168" s="1246" t="s">
        <v>721</v>
      </c>
      <c r="F168" s="1246" t="s">
        <v>721</v>
      </c>
      <c r="G168" s="1246" t="s">
        <v>721</v>
      </c>
      <c r="H168" s="1246" t="s">
        <v>721</v>
      </c>
      <c r="I168" s="1246" t="s">
        <v>721</v>
      </c>
      <c r="J168" s="1246" t="s">
        <v>721</v>
      </c>
      <c r="K168" s="1246" t="s">
        <v>721</v>
      </c>
      <c r="L168" s="1247" t="s">
        <v>721</v>
      </c>
      <c r="M168" s="742"/>
      <c r="N168" s="1773"/>
      <c r="O168" s="1246" t="s">
        <v>525</v>
      </c>
      <c r="P168" s="1246" t="s">
        <v>721</v>
      </c>
      <c r="Q168" s="1246" t="s">
        <v>721</v>
      </c>
      <c r="R168" s="1246" t="s">
        <v>721</v>
      </c>
      <c r="S168" s="1246" t="s">
        <v>721</v>
      </c>
      <c r="T168" s="1246" t="s">
        <v>721</v>
      </c>
      <c r="U168" s="1246" t="s">
        <v>721</v>
      </c>
      <c r="V168" s="1247" t="s">
        <v>721</v>
      </c>
      <c r="W168" s="743"/>
      <c r="X168" s="743"/>
      <c r="Y168" s="355"/>
      <c r="Z168" s="675"/>
      <c r="AA168" s="755"/>
      <c r="AB168" s="676"/>
      <c r="AC168" s="676"/>
      <c r="AD168" s="676"/>
      <c r="AE168" s="358"/>
      <c r="AF168" s="358"/>
      <c r="AG168" s="359"/>
    </row>
    <row r="169" spans="1:33" ht="21.6">
      <c r="A169" s="357"/>
      <c r="B169" s="357"/>
      <c r="C169" s="740" t="s">
        <v>123</v>
      </c>
      <c r="D169" s="1081" t="s">
        <v>305</v>
      </c>
      <c r="E169" s="1789"/>
      <c r="F169" s="1789"/>
      <c r="G169" s="1789">
        <v>79194.539999999106</v>
      </c>
      <c r="H169" s="1789">
        <v>2811.5399999916553</v>
      </c>
      <c r="I169" s="1789">
        <v>122871</v>
      </c>
      <c r="J169" s="1789">
        <v>7812.910000000149</v>
      </c>
      <c r="K169" s="1789">
        <v>132.12999999988824</v>
      </c>
      <c r="L169" s="1588"/>
      <c r="M169" s="1581"/>
      <c r="N169" s="1786"/>
      <c r="O169" s="1787">
        <f t="shared" ref="O169:V169" si="58">E169</f>
        <v>0</v>
      </c>
      <c r="P169" s="1787">
        <f t="shared" si="58"/>
        <v>0</v>
      </c>
      <c r="Q169" s="1787">
        <f t="shared" si="58"/>
        <v>79194.539999999106</v>
      </c>
      <c r="R169" s="1787">
        <f t="shared" si="58"/>
        <v>2811.5399999916553</v>
      </c>
      <c r="S169" s="1787">
        <f t="shared" si="58"/>
        <v>122871</v>
      </c>
      <c r="T169" s="1787">
        <f t="shared" si="58"/>
        <v>7812.910000000149</v>
      </c>
      <c r="U169" s="1787">
        <f t="shared" si="58"/>
        <v>132.12999999988824</v>
      </c>
      <c r="V169" s="1788">
        <f t="shared" si="58"/>
        <v>0</v>
      </c>
      <c r="W169" s="743"/>
      <c r="X169" s="743"/>
      <c r="Y169" s="355"/>
      <c r="Z169" s="675"/>
      <c r="AA169" s="755"/>
      <c r="AB169" s="676"/>
      <c r="AC169" s="676"/>
      <c r="AD169" s="676"/>
      <c r="AE169" s="358"/>
      <c r="AF169" s="358"/>
      <c r="AG169" s="359"/>
    </row>
    <row r="170" spans="1:33" ht="13.8">
      <c r="A170" s="357"/>
      <c r="B170" s="357"/>
      <c r="C170" s="614" t="s">
        <v>1327</v>
      </c>
      <c r="D170" s="1081" t="s">
        <v>305</v>
      </c>
      <c r="E170" s="1789"/>
      <c r="F170" s="1789"/>
      <c r="G170" s="1789">
        <v>79694.630000002682</v>
      </c>
      <c r="H170" s="1789"/>
      <c r="I170" s="1789"/>
      <c r="J170" s="1789">
        <v>3607.410000000149</v>
      </c>
      <c r="K170" s="1789">
        <v>28.700000000186265</v>
      </c>
      <c r="L170" s="1588"/>
      <c r="M170" s="1581"/>
      <c r="N170" s="1790"/>
      <c r="O170" s="1791">
        <f t="shared" ref="O170:O181" si="59">O169+E170</f>
        <v>0</v>
      </c>
      <c r="P170" s="1791">
        <f t="shared" ref="P170:P181" si="60">P169+F170</f>
        <v>0</v>
      </c>
      <c r="Q170" s="1791">
        <f t="shared" ref="Q170:Q181" si="61">Q169+G170</f>
        <v>158889.17000000179</v>
      </c>
      <c r="R170" s="1791">
        <f t="shared" ref="R170:R181" si="62">R169+H170</f>
        <v>2811.5399999916553</v>
      </c>
      <c r="S170" s="1791">
        <f t="shared" ref="S170:S181" si="63">S169+I170</f>
        <v>122871</v>
      </c>
      <c r="T170" s="1791">
        <f t="shared" ref="T170:T181" si="64">T169+J170</f>
        <v>11420.320000000298</v>
      </c>
      <c r="U170" s="1791">
        <f t="shared" ref="U170:U181" si="65">U169+K170</f>
        <v>160.83000000007451</v>
      </c>
      <c r="V170" s="1792">
        <f t="shared" ref="V170:V181" si="66">V169+L170</f>
        <v>0</v>
      </c>
      <c r="W170" s="743"/>
      <c r="X170" s="743"/>
      <c r="Y170" s="355"/>
      <c r="Z170" s="675"/>
      <c r="AA170" s="755"/>
      <c r="AB170" s="676"/>
      <c r="AC170" s="676"/>
      <c r="AD170" s="676"/>
      <c r="AE170" s="358"/>
      <c r="AF170" s="358"/>
      <c r="AG170" s="359"/>
    </row>
    <row r="171" spans="1:33" ht="13.8">
      <c r="A171" s="357"/>
      <c r="B171" s="357"/>
      <c r="C171" s="358" t="s">
        <v>327</v>
      </c>
      <c r="D171" s="1081" t="s">
        <v>305</v>
      </c>
      <c r="E171" s="1789"/>
      <c r="F171" s="1789"/>
      <c r="G171" s="1789">
        <v>48183.219999998808</v>
      </c>
      <c r="H171" s="1789">
        <v>200.74000000953674</v>
      </c>
      <c r="I171" s="1789"/>
      <c r="J171" s="1789">
        <v>4643.75</v>
      </c>
      <c r="K171" s="1789"/>
      <c r="L171" s="1588"/>
      <c r="M171" s="1581"/>
      <c r="N171" s="1790"/>
      <c r="O171" s="1791">
        <f t="shared" si="59"/>
        <v>0</v>
      </c>
      <c r="P171" s="1791">
        <f t="shared" si="60"/>
        <v>0</v>
      </c>
      <c r="Q171" s="1791">
        <f t="shared" si="61"/>
        <v>207072.3900000006</v>
      </c>
      <c r="R171" s="1791">
        <f t="shared" si="62"/>
        <v>3012.2800000011921</v>
      </c>
      <c r="S171" s="1791">
        <f t="shared" si="63"/>
        <v>122871</v>
      </c>
      <c r="T171" s="1791">
        <f t="shared" si="64"/>
        <v>16064.070000000298</v>
      </c>
      <c r="U171" s="1791">
        <f t="shared" si="65"/>
        <v>160.83000000007451</v>
      </c>
      <c r="V171" s="1792">
        <f t="shared" si="66"/>
        <v>0</v>
      </c>
      <c r="W171" s="743"/>
      <c r="X171" s="743"/>
      <c r="Y171" s="355"/>
      <c r="Z171" s="675"/>
      <c r="AA171" s="755"/>
      <c r="AB171" s="676"/>
      <c r="AC171" s="676"/>
      <c r="AD171" s="676"/>
      <c r="AE171" s="358"/>
      <c r="AF171" s="358"/>
      <c r="AG171" s="359"/>
    </row>
    <row r="172" spans="1:33" ht="13.8">
      <c r="A172" s="357"/>
      <c r="B172" s="357"/>
      <c r="C172" s="358" t="s">
        <v>328</v>
      </c>
      <c r="D172" s="1081" t="s">
        <v>305</v>
      </c>
      <c r="E172" s="1789"/>
      <c r="F172" s="1789"/>
      <c r="G172" s="1789">
        <v>15189.579999998212</v>
      </c>
      <c r="H172" s="1789">
        <v>-130.60999999940395</v>
      </c>
      <c r="I172" s="1789"/>
      <c r="J172" s="1789">
        <v>1615.179999999702</v>
      </c>
      <c r="K172" s="1789"/>
      <c r="L172" s="1588"/>
      <c r="M172" s="1588"/>
      <c r="N172" s="1790"/>
      <c r="O172" s="1791">
        <f t="shared" si="59"/>
        <v>0</v>
      </c>
      <c r="P172" s="1791">
        <f t="shared" si="60"/>
        <v>0</v>
      </c>
      <c r="Q172" s="1791">
        <f t="shared" si="61"/>
        <v>222261.96999999881</v>
      </c>
      <c r="R172" s="1791">
        <f t="shared" si="62"/>
        <v>2881.6700000017881</v>
      </c>
      <c r="S172" s="1791">
        <f t="shared" si="63"/>
        <v>122871</v>
      </c>
      <c r="T172" s="1791">
        <f t="shared" si="64"/>
        <v>17679.25</v>
      </c>
      <c r="U172" s="1791">
        <f t="shared" si="65"/>
        <v>160.83000000007451</v>
      </c>
      <c r="V172" s="1792">
        <f t="shared" si="66"/>
        <v>0</v>
      </c>
      <c r="W172" s="743"/>
      <c r="X172" s="743"/>
      <c r="Y172" s="355"/>
      <c r="Z172" s="675"/>
      <c r="AA172" s="755"/>
      <c r="AB172" s="676"/>
      <c r="AC172" s="676"/>
      <c r="AD172" s="676"/>
      <c r="AE172" s="358"/>
      <c r="AF172" s="358"/>
      <c r="AG172" s="359"/>
    </row>
    <row r="173" spans="1:33" ht="13.8">
      <c r="A173" s="357"/>
      <c r="B173" s="357"/>
      <c r="C173" s="358" t="s">
        <v>329</v>
      </c>
      <c r="D173" s="1081" t="s">
        <v>305</v>
      </c>
      <c r="E173" s="1789"/>
      <c r="F173" s="1789"/>
      <c r="G173" s="1789">
        <v>7974.0399999991059</v>
      </c>
      <c r="H173" s="1789"/>
      <c r="I173" s="1789"/>
      <c r="J173" s="1789">
        <v>996.10999999940395</v>
      </c>
      <c r="K173" s="1789">
        <v>130.5</v>
      </c>
      <c r="L173" s="1588"/>
      <c r="M173" s="1581"/>
      <c r="N173" s="1790"/>
      <c r="O173" s="1791">
        <f t="shared" si="59"/>
        <v>0</v>
      </c>
      <c r="P173" s="1791">
        <f t="shared" si="60"/>
        <v>0</v>
      </c>
      <c r="Q173" s="1791">
        <f t="shared" si="61"/>
        <v>230236.00999999791</v>
      </c>
      <c r="R173" s="1791">
        <f t="shared" si="62"/>
        <v>2881.6700000017881</v>
      </c>
      <c r="S173" s="1791">
        <f t="shared" si="63"/>
        <v>122871</v>
      </c>
      <c r="T173" s="1791">
        <f t="shared" si="64"/>
        <v>18675.359999999404</v>
      </c>
      <c r="U173" s="1791">
        <f t="shared" si="65"/>
        <v>291.33000000007451</v>
      </c>
      <c r="V173" s="1792">
        <f t="shared" si="66"/>
        <v>0</v>
      </c>
      <c r="W173" s="743"/>
      <c r="X173" s="743"/>
      <c r="Y173" s="355"/>
      <c r="Z173" s="675"/>
      <c r="AA173" s="755"/>
      <c r="AB173" s="676"/>
      <c r="AC173" s="676"/>
      <c r="AD173" s="676"/>
      <c r="AE173" s="358"/>
      <c r="AF173" s="358"/>
      <c r="AG173" s="359"/>
    </row>
    <row r="174" spans="1:33" ht="13.8">
      <c r="A174" s="357"/>
      <c r="B174" s="357"/>
      <c r="C174" s="358" t="s">
        <v>296</v>
      </c>
      <c r="D174" s="1082" t="s">
        <v>306</v>
      </c>
      <c r="E174" s="1789"/>
      <c r="F174" s="1789"/>
      <c r="G174" s="1789"/>
      <c r="H174" s="1789"/>
      <c r="I174" s="1789"/>
      <c r="J174" s="1789"/>
      <c r="K174" s="1789"/>
      <c r="L174" s="1588"/>
      <c r="M174" s="1581"/>
      <c r="N174" s="1790"/>
      <c r="O174" s="1791">
        <f t="shared" si="59"/>
        <v>0</v>
      </c>
      <c r="P174" s="1791">
        <f t="shared" si="60"/>
        <v>0</v>
      </c>
      <c r="Q174" s="1791">
        <f t="shared" si="61"/>
        <v>230236.00999999791</v>
      </c>
      <c r="R174" s="1791">
        <f t="shared" si="62"/>
        <v>2881.6700000017881</v>
      </c>
      <c r="S174" s="1791">
        <f t="shared" si="63"/>
        <v>122871</v>
      </c>
      <c r="T174" s="1791">
        <f t="shared" si="64"/>
        <v>18675.359999999404</v>
      </c>
      <c r="U174" s="1791">
        <f t="shared" si="65"/>
        <v>291.33000000007451</v>
      </c>
      <c r="V174" s="1792">
        <f t="shared" si="66"/>
        <v>0</v>
      </c>
      <c r="W174" s="743"/>
      <c r="X174" s="743"/>
      <c r="Y174" s="355"/>
      <c r="Z174" s="675"/>
      <c r="AA174" s="755"/>
      <c r="AB174" s="676"/>
      <c r="AC174" s="676"/>
      <c r="AD174" s="676"/>
      <c r="AE174" s="358"/>
      <c r="AF174" s="358"/>
      <c r="AG174" s="359"/>
    </row>
    <row r="175" spans="1:33" ht="13.8">
      <c r="A175" s="357"/>
      <c r="B175" s="357"/>
      <c r="C175" s="358" t="s">
        <v>330</v>
      </c>
      <c r="D175" s="1082" t="s">
        <v>306</v>
      </c>
      <c r="E175" s="1789"/>
      <c r="F175" s="1789"/>
      <c r="G175" s="1789"/>
      <c r="H175" s="1789"/>
      <c r="I175" s="1789"/>
      <c r="J175" s="1789"/>
      <c r="K175" s="1789"/>
      <c r="L175" s="1588"/>
      <c r="M175" s="1581"/>
      <c r="N175" s="1790"/>
      <c r="O175" s="1791">
        <f t="shared" si="59"/>
        <v>0</v>
      </c>
      <c r="P175" s="1791">
        <f t="shared" si="60"/>
        <v>0</v>
      </c>
      <c r="Q175" s="1791">
        <f t="shared" si="61"/>
        <v>230236.00999999791</v>
      </c>
      <c r="R175" s="1791">
        <f t="shared" si="62"/>
        <v>2881.6700000017881</v>
      </c>
      <c r="S175" s="1791">
        <f t="shared" si="63"/>
        <v>122871</v>
      </c>
      <c r="T175" s="1791">
        <f t="shared" si="64"/>
        <v>18675.359999999404</v>
      </c>
      <c r="U175" s="1791">
        <f t="shared" si="65"/>
        <v>291.33000000007451</v>
      </c>
      <c r="V175" s="1792">
        <f t="shared" si="66"/>
        <v>0</v>
      </c>
      <c r="W175" s="743"/>
      <c r="X175" s="743"/>
      <c r="Y175" s="355"/>
      <c r="Z175" s="675"/>
      <c r="AA175" s="755"/>
      <c r="AB175" s="676"/>
      <c r="AC175" s="676"/>
      <c r="AD175" s="676"/>
      <c r="AE175" s="358"/>
      <c r="AF175" s="358"/>
      <c r="AG175" s="359"/>
    </row>
    <row r="176" spans="1:33" ht="13.8">
      <c r="A176" s="357"/>
      <c r="B176" s="357"/>
      <c r="C176" s="358" t="s">
        <v>331</v>
      </c>
      <c r="D176" s="1082" t="s">
        <v>306</v>
      </c>
      <c r="E176" s="1789"/>
      <c r="F176" s="1789"/>
      <c r="G176" s="1789"/>
      <c r="H176" s="1789"/>
      <c r="I176" s="1789"/>
      <c r="J176" s="1789"/>
      <c r="K176" s="1789"/>
      <c r="L176" s="1588"/>
      <c r="M176" s="1581"/>
      <c r="N176" s="1790"/>
      <c r="O176" s="1791">
        <f t="shared" si="59"/>
        <v>0</v>
      </c>
      <c r="P176" s="1791">
        <f t="shared" si="60"/>
        <v>0</v>
      </c>
      <c r="Q176" s="1791">
        <f t="shared" si="61"/>
        <v>230236.00999999791</v>
      </c>
      <c r="R176" s="1791">
        <f t="shared" si="62"/>
        <v>2881.6700000017881</v>
      </c>
      <c r="S176" s="1791">
        <f t="shared" si="63"/>
        <v>122871</v>
      </c>
      <c r="T176" s="1791">
        <f t="shared" si="64"/>
        <v>18675.359999999404</v>
      </c>
      <c r="U176" s="1791">
        <f t="shared" si="65"/>
        <v>291.33000000007451</v>
      </c>
      <c r="V176" s="1792">
        <f t="shared" si="66"/>
        <v>0</v>
      </c>
      <c r="W176" s="743"/>
      <c r="X176" s="743"/>
      <c r="Y176" s="355"/>
      <c r="Z176" s="675"/>
      <c r="AA176" s="755"/>
      <c r="AB176" s="676"/>
      <c r="AC176" s="676"/>
      <c r="AD176" s="676"/>
      <c r="AE176" s="358"/>
      <c r="AF176" s="358"/>
      <c r="AG176" s="359"/>
    </row>
    <row r="177" spans="1:33" ht="13.8">
      <c r="A177" s="357"/>
      <c r="B177" s="357"/>
      <c r="C177" s="358" t="s">
        <v>332</v>
      </c>
      <c r="D177" s="1082" t="s">
        <v>306</v>
      </c>
      <c r="E177" s="1789"/>
      <c r="F177" s="1789"/>
      <c r="G177" s="1789"/>
      <c r="H177" s="1789"/>
      <c r="I177" s="1789"/>
      <c r="J177" s="1789"/>
      <c r="K177" s="1789"/>
      <c r="L177" s="1588"/>
      <c r="M177" s="1581"/>
      <c r="N177" s="1790"/>
      <c r="O177" s="1791">
        <f t="shared" si="59"/>
        <v>0</v>
      </c>
      <c r="P177" s="1791">
        <f t="shared" si="60"/>
        <v>0</v>
      </c>
      <c r="Q177" s="1791">
        <f t="shared" si="61"/>
        <v>230236.00999999791</v>
      </c>
      <c r="R177" s="1791">
        <f t="shared" si="62"/>
        <v>2881.6700000017881</v>
      </c>
      <c r="S177" s="1791">
        <f t="shared" si="63"/>
        <v>122871</v>
      </c>
      <c r="T177" s="1791">
        <f t="shared" si="64"/>
        <v>18675.359999999404</v>
      </c>
      <c r="U177" s="1791">
        <f t="shared" si="65"/>
        <v>291.33000000007451</v>
      </c>
      <c r="V177" s="1792">
        <f t="shared" si="66"/>
        <v>0</v>
      </c>
      <c r="W177" s="743"/>
      <c r="X177" s="743"/>
      <c r="Y177" s="355"/>
      <c r="Z177" s="675"/>
      <c r="AA177" s="755"/>
      <c r="AB177" s="676"/>
      <c r="AC177" s="676"/>
      <c r="AD177" s="676"/>
      <c r="AE177" s="358"/>
      <c r="AF177" s="358"/>
      <c r="AG177" s="359"/>
    </row>
    <row r="178" spans="1:33" ht="13.8">
      <c r="A178" s="357"/>
      <c r="B178" s="357"/>
      <c r="C178" s="358" t="s">
        <v>333</v>
      </c>
      <c r="D178" s="1082" t="s">
        <v>306</v>
      </c>
      <c r="E178" s="1789"/>
      <c r="F178" s="1789"/>
      <c r="G178" s="1789"/>
      <c r="H178" s="1789"/>
      <c r="I178" s="1789"/>
      <c r="J178" s="1789"/>
      <c r="K178" s="1789"/>
      <c r="L178" s="1588"/>
      <c r="M178" s="1581"/>
      <c r="N178" s="1790"/>
      <c r="O178" s="1791">
        <f t="shared" si="59"/>
        <v>0</v>
      </c>
      <c r="P178" s="1791">
        <f t="shared" si="60"/>
        <v>0</v>
      </c>
      <c r="Q178" s="1791">
        <f t="shared" si="61"/>
        <v>230236.00999999791</v>
      </c>
      <c r="R178" s="1791">
        <f t="shared" si="62"/>
        <v>2881.6700000017881</v>
      </c>
      <c r="S178" s="1791">
        <f t="shared" si="63"/>
        <v>122871</v>
      </c>
      <c r="T178" s="1791">
        <f t="shared" si="64"/>
        <v>18675.359999999404</v>
      </c>
      <c r="U178" s="1791">
        <f t="shared" si="65"/>
        <v>291.33000000007451</v>
      </c>
      <c r="V178" s="1792">
        <f t="shared" si="66"/>
        <v>0</v>
      </c>
      <c r="W178" s="743"/>
      <c r="X178" s="743"/>
      <c r="Y178" s="355"/>
      <c r="Z178" s="675"/>
      <c r="AA178" s="755"/>
      <c r="AB178" s="676"/>
      <c r="AC178" s="676"/>
      <c r="AD178" s="676"/>
      <c r="AE178" s="358"/>
      <c r="AF178" s="358"/>
      <c r="AG178" s="359"/>
    </row>
    <row r="179" spans="1:33" ht="13.8">
      <c r="A179" s="357"/>
      <c r="B179" s="357"/>
      <c r="C179" s="358" t="s">
        <v>334</v>
      </c>
      <c r="D179" s="1082" t="s">
        <v>306</v>
      </c>
      <c r="E179" s="1789"/>
      <c r="F179" s="1789"/>
      <c r="G179" s="1789">
        <v>1771816.6804475179</v>
      </c>
      <c r="H179" s="1789"/>
      <c r="I179" s="1789">
        <v>161314.16056148001</v>
      </c>
      <c r="J179" s="1789"/>
      <c r="K179" s="1789"/>
      <c r="L179" s="1588"/>
      <c r="M179" s="1581"/>
      <c r="N179" s="1790"/>
      <c r="O179" s="1791">
        <f t="shared" si="59"/>
        <v>0</v>
      </c>
      <c r="P179" s="1791">
        <f t="shared" si="60"/>
        <v>0</v>
      </c>
      <c r="Q179" s="1791">
        <f t="shared" si="61"/>
        <v>2002052.6904475158</v>
      </c>
      <c r="R179" s="1791">
        <f t="shared" si="62"/>
        <v>2881.6700000017881</v>
      </c>
      <c r="S179" s="1791">
        <f t="shared" si="63"/>
        <v>284185.16056147998</v>
      </c>
      <c r="T179" s="1791">
        <f t="shared" si="64"/>
        <v>18675.359999999404</v>
      </c>
      <c r="U179" s="1791">
        <f t="shared" si="65"/>
        <v>291.33000000007451</v>
      </c>
      <c r="V179" s="1792">
        <f t="shared" si="66"/>
        <v>0</v>
      </c>
      <c r="W179" s="743"/>
      <c r="X179" s="743"/>
      <c r="Y179" s="355"/>
      <c r="Z179" s="675"/>
      <c r="AA179" s="755"/>
      <c r="AB179" s="676"/>
      <c r="AC179" s="676"/>
      <c r="AD179" s="676"/>
      <c r="AE179" s="358"/>
      <c r="AF179" s="358"/>
      <c r="AG179" s="359"/>
    </row>
    <row r="180" spans="1:33" ht="13.8">
      <c r="A180" s="357"/>
      <c r="B180" s="357"/>
      <c r="C180" s="358" t="s">
        <v>335</v>
      </c>
      <c r="D180" s="1082" t="s">
        <v>306</v>
      </c>
      <c r="E180" s="1789"/>
      <c r="F180" s="1789"/>
      <c r="G180" s="1789"/>
      <c r="H180" s="1789"/>
      <c r="I180" s="1789"/>
      <c r="J180" s="1789"/>
      <c r="K180" s="1789"/>
      <c r="L180" s="1588"/>
      <c r="M180" s="1581"/>
      <c r="N180" s="1790"/>
      <c r="O180" s="1791">
        <f t="shared" si="59"/>
        <v>0</v>
      </c>
      <c r="P180" s="1791">
        <f t="shared" si="60"/>
        <v>0</v>
      </c>
      <c r="Q180" s="1791">
        <f t="shared" si="61"/>
        <v>2002052.6904475158</v>
      </c>
      <c r="R180" s="1791">
        <f t="shared" si="62"/>
        <v>2881.6700000017881</v>
      </c>
      <c r="S180" s="1791">
        <f t="shared" si="63"/>
        <v>284185.16056147998</v>
      </c>
      <c r="T180" s="1791">
        <f t="shared" si="64"/>
        <v>18675.359999999404</v>
      </c>
      <c r="U180" s="1791">
        <f t="shared" si="65"/>
        <v>291.33000000007451</v>
      </c>
      <c r="V180" s="1792">
        <f t="shared" si="66"/>
        <v>0</v>
      </c>
      <c r="W180" s="743"/>
      <c r="X180" s="743"/>
      <c r="Y180" s="355"/>
      <c r="Z180" s="675"/>
      <c r="AA180" s="755"/>
      <c r="AB180" s="676"/>
      <c r="AC180" s="676"/>
      <c r="AD180" s="676"/>
      <c r="AE180" s="358"/>
      <c r="AF180" s="358"/>
      <c r="AG180" s="359"/>
    </row>
    <row r="181" spans="1:33" ht="14.4" thickBot="1">
      <c r="A181" s="357"/>
      <c r="B181" s="357"/>
      <c r="C181" s="358" t="s">
        <v>336</v>
      </c>
      <c r="D181" s="764" t="s">
        <v>306</v>
      </c>
      <c r="E181" s="1793"/>
      <c r="F181" s="1793"/>
      <c r="G181" s="1793"/>
      <c r="H181" s="1793"/>
      <c r="I181" s="1793">
        <v>3616.2192495527779</v>
      </c>
      <c r="J181" s="1793"/>
      <c r="K181" s="1793"/>
      <c r="L181" s="1591"/>
      <c r="M181" s="1581"/>
      <c r="N181" s="1794"/>
      <c r="O181" s="1795">
        <f t="shared" si="59"/>
        <v>0</v>
      </c>
      <c r="P181" s="1795">
        <f t="shared" si="60"/>
        <v>0</v>
      </c>
      <c r="Q181" s="1795">
        <f t="shared" si="61"/>
        <v>2002052.6904475158</v>
      </c>
      <c r="R181" s="1795">
        <f t="shared" si="62"/>
        <v>2881.6700000017881</v>
      </c>
      <c r="S181" s="1795">
        <f t="shared" si="63"/>
        <v>287801.37981103273</v>
      </c>
      <c r="T181" s="1795">
        <f t="shared" si="64"/>
        <v>18675.359999999404</v>
      </c>
      <c r="U181" s="1795">
        <f t="shared" si="65"/>
        <v>291.33000000007451</v>
      </c>
      <c r="V181" s="1796">
        <f t="shared" si="66"/>
        <v>0</v>
      </c>
      <c r="W181" s="743"/>
      <c r="X181" s="743"/>
      <c r="Y181" s="355"/>
      <c r="Z181" s="675"/>
      <c r="AA181" s="755"/>
      <c r="AB181" s="676"/>
      <c r="AC181" s="676"/>
      <c r="AD181" s="676"/>
      <c r="AE181" s="358"/>
      <c r="AF181" s="358"/>
      <c r="AG181" s="359"/>
    </row>
    <row r="182" spans="1:33" ht="13.8">
      <c r="A182" s="357"/>
      <c r="B182" s="357"/>
      <c r="C182" s="358" t="s">
        <v>603</v>
      </c>
      <c r="D182" s="376" t="s">
        <v>525</v>
      </c>
      <c r="E182" s="1586">
        <f t="shared" ref="E182:L182" si="67">SUM(E169:E181)</f>
        <v>0</v>
      </c>
      <c r="F182" s="1586">
        <f t="shared" si="67"/>
        <v>0</v>
      </c>
      <c r="G182" s="1586">
        <f t="shared" si="67"/>
        <v>2002052.6904475158</v>
      </c>
      <c r="H182" s="1586">
        <f t="shared" si="67"/>
        <v>2881.6700000017881</v>
      </c>
      <c r="I182" s="1586">
        <f t="shared" si="67"/>
        <v>287801.37981103273</v>
      </c>
      <c r="J182" s="1586">
        <f t="shared" si="67"/>
        <v>18675.359999999404</v>
      </c>
      <c r="K182" s="1586">
        <f t="shared" si="67"/>
        <v>291.33000000007451</v>
      </c>
      <c r="L182" s="1586">
        <f t="shared" si="67"/>
        <v>0</v>
      </c>
      <c r="M182" s="1587"/>
      <c r="N182" s="215"/>
      <c r="O182" s="1326">
        <f t="shared" ref="O182:V182" si="68">SUM(O169:O181)</f>
        <v>0</v>
      </c>
      <c r="P182" s="1326">
        <f t="shared" si="68"/>
        <v>0</v>
      </c>
      <c r="Q182" s="1326">
        <f t="shared" si="68"/>
        <v>8054992.2013425352</v>
      </c>
      <c r="R182" s="1326">
        <f t="shared" si="68"/>
        <v>37452.060000002384</v>
      </c>
      <c r="S182" s="1326">
        <f t="shared" si="68"/>
        <v>2084881.7009339929</v>
      </c>
      <c r="T182" s="1326">
        <f t="shared" si="68"/>
        <v>221054.78999999538</v>
      </c>
      <c r="U182" s="1326">
        <f t="shared" si="68"/>
        <v>3236.5900000007823</v>
      </c>
      <c r="V182" s="1326">
        <f t="shared" si="68"/>
        <v>0</v>
      </c>
      <c r="W182" s="743"/>
      <c r="X182" s="743"/>
      <c r="Y182" s="355"/>
      <c r="Z182" s="675"/>
      <c r="AA182" s="755"/>
      <c r="AB182" s="676"/>
      <c r="AC182" s="676"/>
      <c r="AD182" s="676"/>
      <c r="AE182" s="358"/>
      <c r="AF182" s="358"/>
      <c r="AG182" s="359"/>
    </row>
    <row r="183" spans="1:33" ht="13.8">
      <c r="A183" s="357"/>
      <c r="B183" s="357"/>
      <c r="C183" s="358" t="s">
        <v>1118</v>
      </c>
      <c r="E183" s="530"/>
      <c r="F183" s="530"/>
      <c r="G183" s="376"/>
      <c r="H183" s="376"/>
      <c r="I183" s="376"/>
      <c r="J183" s="376"/>
      <c r="K183" s="376"/>
      <c r="L183" s="215"/>
      <c r="M183" s="215"/>
      <c r="N183" s="1797"/>
      <c r="O183" s="1799">
        <f>O182/13</f>
        <v>0</v>
      </c>
      <c r="P183" s="1799">
        <f t="shared" ref="P183:V183" si="69">P182/13</f>
        <v>0</v>
      </c>
      <c r="Q183" s="1799">
        <f t="shared" si="69"/>
        <v>619614.78471865656</v>
      </c>
      <c r="R183" s="1799">
        <f t="shared" si="69"/>
        <v>2880.9276923078755</v>
      </c>
      <c r="S183" s="1799">
        <f t="shared" si="69"/>
        <v>160375.515456461</v>
      </c>
      <c r="T183" s="1799">
        <f t="shared" si="69"/>
        <v>17004.214615384259</v>
      </c>
      <c r="U183" s="1799">
        <f t="shared" si="69"/>
        <v>248.96846153852172</v>
      </c>
      <c r="V183" s="1799">
        <f t="shared" si="69"/>
        <v>0</v>
      </c>
      <c r="W183" s="743"/>
      <c r="X183" s="743"/>
      <c r="Y183" s="355"/>
      <c r="Z183" s="675"/>
      <c r="AA183" s="755"/>
      <c r="AB183" s="676"/>
      <c r="AC183" s="676"/>
      <c r="AD183" s="676"/>
      <c r="AE183" s="358"/>
      <c r="AF183" s="358"/>
      <c r="AG183" s="359"/>
    </row>
    <row r="184" spans="1:33" ht="14.4" thickBot="1">
      <c r="A184" s="357"/>
      <c r="B184" s="357"/>
      <c r="C184" s="358"/>
      <c r="E184" s="530"/>
      <c r="F184" s="530"/>
      <c r="G184" s="376"/>
      <c r="H184" s="376"/>
      <c r="I184" s="376"/>
      <c r="J184" s="376"/>
      <c r="K184" s="376"/>
      <c r="L184" s="215"/>
      <c r="M184" s="215"/>
      <c r="N184" s="1797"/>
      <c r="O184" s="1799"/>
      <c r="P184" s="1799"/>
      <c r="Q184" s="1799"/>
      <c r="R184" s="1799"/>
      <c r="S184" s="1799"/>
      <c r="T184" s="1799"/>
      <c r="U184" s="1799"/>
      <c r="V184" s="1799"/>
      <c r="W184" s="743"/>
      <c r="X184" s="743"/>
      <c r="Y184" s="355"/>
      <c r="Z184" s="675"/>
      <c r="AA184" s="755"/>
      <c r="AB184" s="676"/>
      <c r="AC184" s="676"/>
      <c r="AD184" s="676"/>
      <c r="AE184" s="358"/>
      <c r="AF184" s="358"/>
      <c r="AG184" s="359"/>
    </row>
    <row r="185" spans="1:33" ht="14.4" thickBot="1">
      <c r="A185" s="357"/>
      <c r="B185" s="357"/>
      <c r="C185" s="357"/>
      <c r="D185" s="1578" t="s">
        <v>432</v>
      </c>
      <c r="E185" s="1770" t="s">
        <v>433</v>
      </c>
      <c r="F185" s="1770" t="s">
        <v>434</v>
      </c>
      <c r="G185" s="1770" t="s">
        <v>435</v>
      </c>
      <c r="H185" s="1770" t="s">
        <v>722</v>
      </c>
      <c r="I185" s="1770" t="s">
        <v>728</v>
      </c>
      <c r="J185" s="1611" t="s">
        <v>544</v>
      </c>
      <c r="K185" s="1611" t="s">
        <v>545</v>
      </c>
      <c r="L185" s="1771" t="s">
        <v>347</v>
      </c>
      <c r="M185" s="215"/>
      <c r="N185" s="2080" t="s">
        <v>660</v>
      </c>
      <c r="O185" s="2081"/>
      <c r="P185" s="2081"/>
      <c r="Q185" s="2081"/>
      <c r="R185" s="2081"/>
      <c r="S185" s="2081"/>
      <c r="T185" s="2081"/>
      <c r="U185" s="2081"/>
      <c r="V185" s="2082"/>
      <c r="W185" s="743"/>
      <c r="X185" s="743"/>
      <c r="Y185" s="355"/>
      <c r="Z185" s="675"/>
      <c r="AA185" s="755"/>
      <c r="AB185" s="676"/>
      <c r="AC185" s="676"/>
      <c r="AD185" s="676"/>
      <c r="AE185" s="358"/>
      <c r="AF185" s="358"/>
      <c r="AG185" s="359"/>
    </row>
    <row r="186" spans="1:33" ht="27" thickBot="1">
      <c r="A186" s="357"/>
      <c r="B186" s="357"/>
      <c r="C186" s="358"/>
      <c r="D186" s="1323"/>
      <c r="E186" s="1575" t="s">
        <v>1222</v>
      </c>
      <c r="F186" s="1575" t="s">
        <v>1277</v>
      </c>
      <c r="G186" s="1575" t="s">
        <v>1092</v>
      </c>
      <c r="H186" s="1575" t="s">
        <v>1302</v>
      </c>
      <c r="I186" s="1575"/>
      <c r="J186" s="1575"/>
      <c r="K186" s="1575"/>
      <c r="L186" s="1576"/>
      <c r="M186" s="215"/>
      <c r="N186" s="1772" t="s">
        <v>659</v>
      </c>
      <c r="O186" s="1246" t="str">
        <f>E186</f>
        <v>Mainsburg</v>
      </c>
      <c r="P186" s="1246" t="str">
        <f>F186</f>
        <v>Piercebrook SS</v>
      </c>
      <c r="Q186" s="1246" t="str">
        <f t="shared" ref="Q186:R186" si="70">G186</f>
        <v>Moshannon</v>
      </c>
      <c r="R186" s="1246" t="str">
        <f t="shared" si="70"/>
        <v>Farmers Valley SS</v>
      </c>
      <c r="S186" s="1246"/>
      <c r="T186" s="1246"/>
      <c r="U186" s="1246"/>
      <c r="V186" s="1247"/>
      <c r="W186" s="743"/>
      <c r="X186" s="743"/>
      <c r="Y186" s="355"/>
      <c r="Z186" s="675"/>
      <c r="AA186" s="755"/>
      <c r="AB186" s="676"/>
      <c r="AC186" s="676"/>
      <c r="AD186" s="676"/>
      <c r="AE186" s="358"/>
      <c r="AF186" s="358"/>
      <c r="AG186" s="359"/>
    </row>
    <row r="187" spans="1:33" ht="14.4" thickBot="1">
      <c r="A187" s="357"/>
      <c r="B187" s="357"/>
      <c r="C187" s="358"/>
      <c r="D187" s="1577"/>
      <c r="E187" s="1246" t="s">
        <v>721</v>
      </c>
      <c r="F187" s="1246" t="s">
        <v>721</v>
      </c>
      <c r="G187" s="1246" t="s">
        <v>721</v>
      </c>
      <c r="H187" s="1246" t="s">
        <v>721</v>
      </c>
      <c r="I187" s="1246" t="s">
        <v>721</v>
      </c>
      <c r="J187" s="1246" t="s">
        <v>721</v>
      </c>
      <c r="K187" s="1246" t="s">
        <v>721</v>
      </c>
      <c r="L187" s="1247" t="s">
        <v>721</v>
      </c>
      <c r="M187" s="215"/>
      <c r="N187" s="1773"/>
      <c r="O187" s="1246" t="str">
        <f>E187</f>
        <v>(in service)</v>
      </c>
      <c r="P187" s="1246" t="s">
        <v>525</v>
      </c>
      <c r="Q187" s="1246" t="s">
        <v>525</v>
      </c>
      <c r="R187" s="1246" t="s">
        <v>721</v>
      </c>
      <c r="S187" s="1246" t="s">
        <v>721</v>
      </c>
      <c r="T187" s="1246" t="s">
        <v>721</v>
      </c>
      <c r="U187" s="1246" t="s">
        <v>721</v>
      </c>
      <c r="V187" s="1247" t="s">
        <v>721</v>
      </c>
      <c r="W187" s="743"/>
      <c r="X187" s="743"/>
      <c r="Y187" s="355"/>
      <c r="Z187" s="675"/>
      <c r="AA187" s="755"/>
      <c r="AB187" s="676"/>
      <c r="AC187" s="676"/>
      <c r="AD187" s="676"/>
      <c r="AE187" s="358"/>
      <c r="AF187" s="358"/>
      <c r="AG187" s="359"/>
    </row>
    <row r="188" spans="1:33" ht="21.6">
      <c r="A188" s="357"/>
      <c r="B188" s="357"/>
      <c r="C188" s="740" t="s">
        <v>123</v>
      </c>
      <c r="D188" s="1081" t="s">
        <v>305</v>
      </c>
      <c r="E188" s="1789">
        <v>37692.770000003278</v>
      </c>
      <c r="F188" s="1789">
        <v>25.580000000074506</v>
      </c>
      <c r="G188" s="1789"/>
      <c r="H188" s="1789"/>
      <c r="I188" s="1789"/>
      <c r="J188" s="1789"/>
      <c r="K188" s="1789"/>
      <c r="L188" s="1588"/>
      <c r="M188" s="215"/>
      <c r="N188" s="1786"/>
      <c r="O188" s="1787">
        <f t="shared" ref="O188:V188" si="71">E188</f>
        <v>37692.770000003278</v>
      </c>
      <c r="P188" s="1787">
        <f t="shared" si="71"/>
        <v>25.580000000074506</v>
      </c>
      <c r="Q188" s="1787">
        <f t="shared" si="71"/>
        <v>0</v>
      </c>
      <c r="R188" s="1787">
        <f t="shared" si="71"/>
        <v>0</v>
      </c>
      <c r="S188" s="1787">
        <f t="shared" si="71"/>
        <v>0</v>
      </c>
      <c r="T188" s="1787">
        <f t="shared" si="71"/>
        <v>0</v>
      </c>
      <c r="U188" s="1787">
        <f t="shared" si="71"/>
        <v>0</v>
      </c>
      <c r="V188" s="1788">
        <f t="shared" si="71"/>
        <v>0</v>
      </c>
      <c r="W188" s="743"/>
      <c r="X188" s="743"/>
      <c r="Y188" s="355"/>
      <c r="Z188" s="675"/>
      <c r="AA188" s="755"/>
      <c r="AB188" s="676"/>
      <c r="AC188" s="676"/>
      <c r="AD188" s="676"/>
      <c r="AE188" s="358"/>
      <c r="AF188" s="358"/>
      <c r="AG188" s="359"/>
    </row>
    <row r="189" spans="1:33" ht="13.8">
      <c r="A189" s="357"/>
      <c r="B189" s="357"/>
      <c r="C189" s="614" t="s">
        <v>1327</v>
      </c>
      <c r="D189" s="1081" t="s">
        <v>305</v>
      </c>
      <c r="E189" s="1789">
        <v>168844.17999999598</v>
      </c>
      <c r="F189" s="1789">
        <v>2431.3599999975413</v>
      </c>
      <c r="G189" s="1789"/>
      <c r="H189" s="1789"/>
      <c r="I189" s="1789"/>
      <c r="J189" s="1789"/>
      <c r="K189" s="1789"/>
      <c r="L189" s="1588"/>
      <c r="M189" s="215"/>
      <c r="N189" s="1790"/>
      <c r="O189" s="1791">
        <f t="shared" ref="O189:O200" si="72">O188+E189</f>
        <v>206536.94999999925</v>
      </c>
      <c r="P189" s="1791">
        <f t="shared" ref="P189:P200" si="73">P188+F189</f>
        <v>2456.9399999976158</v>
      </c>
      <c r="Q189" s="1791">
        <f t="shared" ref="Q189:Q200" si="74">Q188+G189</f>
        <v>0</v>
      </c>
      <c r="R189" s="1791">
        <f t="shared" ref="R189:R200" si="75">R188+H189</f>
        <v>0</v>
      </c>
      <c r="S189" s="1791">
        <f t="shared" ref="S189:S200" si="76">S188+I189</f>
        <v>0</v>
      </c>
      <c r="T189" s="1791">
        <f t="shared" ref="T189:T200" si="77">T188+J189</f>
        <v>0</v>
      </c>
      <c r="U189" s="1791">
        <f t="shared" ref="U189:U200" si="78">U188+K189</f>
        <v>0</v>
      </c>
      <c r="V189" s="1792">
        <f t="shared" ref="V189:V200" si="79">V188+L189</f>
        <v>0</v>
      </c>
      <c r="W189" s="743"/>
      <c r="X189" s="743"/>
      <c r="Y189" s="355"/>
      <c r="Z189" s="675"/>
      <c r="AA189" s="755"/>
      <c r="AB189" s="676"/>
      <c r="AC189" s="676"/>
      <c r="AD189" s="676"/>
      <c r="AE189" s="358"/>
      <c r="AF189" s="358"/>
      <c r="AG189" s="359"/>
    </row>
    <row r="190" spans="1:33" ht="13.8">
      <c r="A190" s="357"/>
      <c r="B190" s="357"/>
      <c r="C190" s="358" t="s">
        <v>327</v>
      </c>
      <c r="D190" s="1081" t="s">
        <v>305</v>
      </c>
      <c r="E190" s="1789">
        <v>9935.7300000041723</v>
      </c>
      <c r="F190" s="1789">
        <v>10.490000000223517</v>
      </c>
      <c r="G190" s="1789"/>
      <c r="H190" s="1789"/>
      <c r="I190" s="1789"/>
      <c r="J190" s="1789"/>
      <c r="K190" s="1789"/>
      <c r="L190" s="1588"/>
      <c r="M190" s="215"/>
      <c r="N190" s="1790"/>
      <c r="O190" s="1791">
        <f t="shared" si="72"/>
        <v>216472.68000000343</v>
      </c>
      <c r="P190" s="1791">
        <f t="shared" si="73"/>
        <v>2467.4299999978393</v>
      </c>
      <c r="Q190" s="1791">
        <f t="shared" si="74"/>
        <v>0</v>
      </c>
      <c r="R190" s="1791">
        <f t="shared" si="75"/>
        <v>0</v>
      </c>
      <c r="S190" s="1791">
        <f t="shared" si="76"/>
        <v>0</v>
      </c>
      <c r="T190" s="1791">
        <f t="shared" si="77"/>
        <v>0</v>
      </c>
      <c r="U190" s="1791">
        <f t="shared" si="78"/>
        <v>0</v>
      </c>
      <c r="V190" s="1792">
        <f t="shared" si="79"/>
        <v>0</v>
      </c>
      <c r="W190" s="743"/>
      <c r="X190" s="743"/>
      <c r="Y190" s="355"/>
      <c r="Z190" s="675"/>
      <c r="AA190" s="755"/>
      <c r="AB190" s="676"/>
      <c r="AC190" s="676"/>
      <c r="AD190" s="676"/>
      <c r="AE190" s="358"/>
      <c r="AF190" s="358"/>
      <c r="AG190" s="359"/>
    </row>
    <row r="191" spans="1:33" ht="13.8">
      <c r="A191" s="357"/>
      <c r="B191" s="357"/>
      <c r="C191" s="358" t="s">
        <v>328</v>
      </c>
      <c r="D191" s="1081" t="s">
        <v>305</v>
      </c>
      <c r="E191" s="1789">
        <v>15849.339999996126</v>
      </c>
      <c r="F191" s="1789">
        <v>-107.6100000012666</v>
      </c>
      <c r="G191" s="1789"/>
      <c r="H191" s="1789"/>
      <c r="I191" s="1789"/>
      <c r="J191" s="1789"/>
      <c r="K191" s="1789"/>
      <c r="L191" s="1588"/>
      <c r="M191" s="215"/>
      <c r="N191" s="1790"/>
      <c r="O191" s="1791">
        <f t="shared" si="72"/>
        <v>232322.01999999955</v>
      </c>
      <c r="P191" s="1791">
        <f t="shared" si="73"/>
        <v>2359.8199999965727</v>
      </c>
      <c r="Q191" s="1791">
        <f t="shared" si="74"/>
        <v>0</v>
      </c>
      <c r="R191" s="1791">
        <f t="shared" si="75"/>
        <v>0</v>
      </c>
      <c r="S191" s="1791">
        <f t="shared" si="76"/>
        <v>0</v>
      </c>
      <c r="T191" s="1791">
        <f t="shared" si="77"/>
        <v>0</v>
      </c>
      <c r="U191" s="1791">
        <f t="shared" si="78"/>
        <v>0</v>
      </c>
      <c r="V191" s="1792">
        <f t="shared" si="79"/>
        <v>0</v>
      </c>
      <c r="W191" s="743"/>
      <c r="X191" s="743"/>
      <c r="Y191" s="355"/>
      <c r="Z191" s="675"/>
      <c r="AA191" s="755"/>
      <c r="AB191" s="676"/>
      <c r="AC191" s="676"/>
      <c r="AD191" s="676"/>
      <c r="AE191" s="358"/>
      <c r="AF191" s="358"/>
      <c r="AG191" s="359"/>
    </row>
    <row r="192" spans="1:33" ht="13.8">
      <c r="A192" s="357"/>
      <c r="B192" s="357"/>
      <c r="C192" s="358" t="s">
        <v>329</v>
      </c>
      <c r="D192" s="1081" t="s">
        <v>305</v>
      </c>
      <c r="E192" s="1789">
        <v>46090.020000003278</v>
      </c>
      <c r="F192" s="1789">
        <v>620.71000000275671</v>
      </c>
      <c r="G192" s="1789"/>
      <c r="H192" s="1789">
        <v>1093</v>
      </c>
      <c r="I192" s="1789"/>
      <c r="J192" s="1789"/>
      <c r="K192" s="1789"/>
      <c r="L192" s="1588"/>
      <c r="M192" s="215"/>
      <c r="N192" s="1790"/>
      <c r="O192" s="1791">
        <f t="shared" si="72"/>
        <v>278412.04000000283</v>
      </c>
      <c r="P192" s="1791">
        <f t="shared" si="73"/>
        <v>2980.5299999993294</v>
      </c>
      <c r="Q192" s="1791">
        <f t="shared" si="74"/>
        <v>0</v>
      </c>
      <c r="R192" s="1791">
        <f t="shared" si="75"/>
        <v>1093</v>
      </c>
      <c r="S192" s="1791">
        <f t="shared" si="76"/>
        <v>0</v>
      </c>
      <c r="T192" s="1791">
        <f t="shared" si="77"/>
        <v>0</v>
      </c>
      <c r="U192" s="1791">
        <f t="shared" si="78"/>
        <v>0</v>
      </c>
      <c r="V192" s="1792">
        <f t="shared" si="79"/>
        <v>0</v>
      </c>
      <c r="W192" s="743"/>
      <c r="X192" s="743"/>
      <c r="Y192" s="355"/>
      <c r="Z192" s="675"/>
      <c r="AA192" s="755"/>
      <c r="AB192" s="676"/>
      <c r="AC192" s="676"/>
      <c r="AD192" s="676"/>
      <c r="AE192" s="358"/>
      <c r="AF192" s="358"/>
      <c r="AG192" s="359"/>
    </row>
    <row r="193" spans="1:33" ht="13.8">
      <c r="A193" s="357"/>
      <c r="B193" s="357"/>
      <c r="C193" s="358" t="s">
        <v>296</v>
      </c>
      <c r="D193" s="1082" t="s">
        <v>306</v>
      </c>
      <c r="E193" s="1789"/>
      <c r="F193" s="1789"/>
      <c r="G193" s="1789"/>
      <c r="H193" s="1789"/>
      <c r="I193" s="1789"/>
      <c r="J193" s="1789"/>
      <c r="K193" s="1789"/>
      <c r="L193" s="1588"/>
      <c r="M193" s="215"/>
      <c r="N193" s="1790"/>
      <c r="O193" s="1791">
        <f t="shared" si="72"/>
        <v>278412.04000000283</v>
      </c>
      <c r="P193" s="1791">
        <f t="shared" si="73"/>
        <v>2980.5299999993294</v>
      </c>
      <c r="Q193" s="1791">
        <f t="shared" si="74"/>
        <v>0</v>
      </c>
      <c r="R193" s="1791">
        <f t="shared" si="75"/>
        <v>1093</v>
      </c>
      <c r="S193" s="1791">
        <f t="shared" si="76"/>
        <v>0</v>
      </c>
      <c r="T193" s="1791">
        <f t="shared" si="77"/>
        <v>0</v>
      </c>
      <c r="U193" s="1791">
        <f t="shared" si="78"/>
        <v>0</v>
      </c>
      <c r="V193" s="1792">
        <f t="shared" si="79"/>
        <v>0</v>
      </c>
      <c r="W193" s="743"/>
      <c r="X193" s="743"/>
      <c r="Y193" s="355"/>
      <c r="Z193" s="675"/>
      <c r="AA193" s="755"/>
      <c r="AB193" s="676"/>
      <c r="AC193" s="676"/>
      <c r="AD193" s="676"/>
      <c r="AE193" s="358"/>
      <c r="AF193" s="358"/>
      <c r="AG193" s="359"/>
    </row>
    <row r="194" spans="1:33" ht="13.8">
      <c r="A194" s="357"/>
      <c r="B194" s="357"/>
      <c r="C194" s="358" t="s">
        <v>330</v>
      </c>
      <c r="D194" s="1082" t="s">
        <v>306</v>
      </c>
      <c r="E194" s="1789"/>
      <c r="F194" s="1789"/>
      <c r="G194" s="1789"/>
      <c r="H194" s="1789"/>
      <c r="I194" s="1789"/>
      <c r="J194" s="1789"/>
      <c r="K194" s="1789"/>
      <c r="L194" s="1588"/>
      <c r="M194" s="215"/>
      <c r="N194" s="1790"/>
      <c r="O194" s="1791">
        <f t="shared" si="72"/>
        <v>278412.04000000283</v>
      </c>
      <c r="P194" s="1791">
        <f t="shared" si="73"/>
        <v>2980.5299999993294</v>
      </c>
      <c r="Q194" s="1791">
        <f t="shared" si="74"/>
        <v>0</v>
      </c>
      <c r="R194" s="1791">
        <f t="shared" si="75"/>
        <v>1093</v>
      </c>
      <c r="S194" s="1791">
        <f t="shared" si="76"/>
        <v>0</v>
      </c>
      <c r="T194" s="1791">
        <f t="shared" si="77"/>
        <v>0</v>
      </c>
      <c r="U194" s="1791">
        <f t="shared" si="78"/>
        <v>0</v>
      </c>
      <c r="V194" s="1792">
        <f t="shared" si="79"/>
        <v>0</v>
      </c>
      <c r="W194" s="743"/>
      <c r="X194" s="743"/>
      <c r="Y194" s="355"/>
      <c r="Z194" s="675"/>
      <c r="AA194" s="755"/>
      <c r="AB194" s="676"/>
      <c r="AC194" s="676"/>
      <c r="AD194" s="676"/>
      <c r="AE194" s="358"/>
      <c r="AF194" s="358"/>
      <c r="AG194" s="359"/>
    </row>
    <row r="195" spans="1:33" ht="13.8">
      <c r="A195" s="357"/>
      <c r="B195" s="357"/>
      <c r="C195" s="358" t="s">
        <v>331</v>
      </c>
      <c r="D195" s="1082" t="s">
        <v>306</v>
      </c>
      <c r="E195" s="1789"/>
      <c r="F195" s="1789"/>
      <c r="G195" s="1789"/>
      <c r="H195" s="1789"/>
      <c r="I195" s="1789"/>
      <c r="J195" s="1789"/>
      <c r="K195" s="1789"/>
      <c r="L195" s="1588"/>
      <c r="M195" s="215"/>
      <c r="N195" s="1790"/>
      <c r="O195" s="1791">
        <f t="shared" si="72"/>
        <v>278412.04000000283</v>
      </c>
      <c r="P195" s="1791">
        <f t="shared" si="73"/>
        <v>2980.5299999993294</v>
      </c>
      <c r="Q195" s="1791">
        <f t="shared" si="74"/>
        <v>0</v>
      </c>
      <c r="R195" s="1791">
        <f t="shared" si="75"/>
        <v>1093</v>
      </c>
      <c r="S195" s="1791">
        <f t="shared" si="76"/>
        <v>0</v>
      </c>
      <c r="T195" s="1791">
        <f t="shared" si="77"/>
        <v>0</v>
      </c>
      <c r="U195" s="1791">
        <f t="shared" si="78"/>
        <v>0</v>
      </c>
      <c r="V195" s="1792">
        <f t="shared" si="79"/>
        <v>0</v>
      </c>
      <c r="W195" s="743"/>
      <c r="X195" s="743"/>
      <c r="Y195" s="355"/>
      <c r="Z195" s="675"/>
      <c r="AA195" s="755"/>
      <c r="AB195" s="676"/>
      <c r="AC195" s="676"/>
      <c r="AD195" s="676"/>
      <c r="AE195" s="358"/>
      <c r="AF195" s="358"/>
      <c r="AG195" s="359"/>
    </row>
    <row r="196" spans="1:33" ht="13.8">
      <c r="A196" s="357"/>
      <c r="B196" s="357"/>
      <c r="C196" s="358" t="s">
        <v>332</v>
      </c>
      <c r="D196" s="1082" t="s">
        <v>306</v>
      </c>
      <c r="E196" s="1789">
        <v>171201.68695025504</v>
      </c>
      <c r="F196" s="1789"/>
      <c r="G196" s="1789"/>
      <c r="H196" s="1789"/>
      <c r="I196" s="1789"/>
      <c r="J196" s="1789"/>
      <c r="K196" s="1789"/>
      <c r="L196" s="1588"/>
      <c r="M196" s="215"/>
      <c r="N196" s="1790"/>
      <c r="O196" s="1791">
        <f t="shared" si="72"/>
        <v>449613.7269502579</v>
      </c>
      <c r="P196" s="1791">
        <f t="shared" si="73"/>
        <v>2980.5299999993294</v>
      </c>
      <c r="Q196" s="1791">
        <f t="shared" si="74"/>
        <v>0</v>
      </c>
      <c r="R196" s="1791">
        <f t="shared" si="75"/>
        <v>1093</v>
      </c>
      <c r="S196" s="1791">
        <f t="shared" si="76"/>
        <v>0</v>
      </c>
      <c r="T196" s="1791">
        <f t="shared" si="77"/>
        <v>0</v>
      </c>
      <c r="U196" s="1791">
        <f t="shared" si="78"/>
        <v>0</v>
      </c>
      <c r="V196" s="1792">
        <f t="shared" si="79"/>
        <v>0</v>
      </c>
      <c r="W196" s="743"/>
      <c r="X196" s="743"/>
      <c r="Y196" s="355"/>
      <c r="Z196" s="675"/>
      <c r="AA196" s="755"/>
      <c r="AB196" s="676"/>
      <c r="AC196" s="676"/>
      <c r="AD196" s="676"/>
      <c r="AE196" s="358"/>
      <c r="AF196" s="358"/>
      <c r="AG196" s="359"/>
    </row>
    <row r="197" spans="1:33" ht="13.8">
      <c r="A197" s="357"/>
      <c r="B197" s="357"/>
      <c r="C197" s="358" t="s">
        <v>333</v>
      </c>
      <c r="D197" s="1082" t="s">
        <v>306</v>
      </c>
      <c r="E197" s="1789">
        <v>6551.1218288999598</v>
      </c>
      <c r="F197" s="1789"/>
      <c r="G197" s="1789"/>
      <c r="H197" s="1789"/>
      <c r="I197" s="1789"/>
      <c r="J197" s="1789"/>
      <c r="K197" s="1789"/>
      <c r="L197" s="1588"/>
      <c r="M197" s="215"/>
      <c r="N197" s="1790"/>
      <c r="O197" s="1791">
        <f t="shared" si="72"/>
        <v>456164.84877915785</v>
      </c>
      <c r="P197" s="1791">
        <f t="shared" si="73"/>
        <v>2980.5299999993294</v>
      </c>
      <c r="Q197" s="1791">
        <f t="shared" si="74"/>
        <v>0</v>
      </c>
      <c r="R197" s="1791">
        <f t="shared" si="75"/>
        <v>1093</v>
      </c>
      <c r="S197" s="1791">
        <f t="shared" si="76"/>
        <v>0</v>
      </c>
      <c r="T197" s="1791">
        <f t="shared" si="77"/>
        <v>0</v>
      </c>
      <c r="U197" s="1791">
        <f t="shared" si="78"/>
        <v>0</v>
      </c>
      <c r="V197" s="1792">
        <f t="shared" si="79"/>
        <v>0</v>
      </c>
      <c r="W197" s="743"/>
      <c r="X197" s="743"/>
      <c r="Y197" s="355"/>
      <c r="Z197" s="675"/>
      <c r="AA197" s="755"/>
      <c r="AB197" s="676"/>
      <c r="AC197" s="676"/>
      <c r="AD197" s="676"/>
      <c r="AE197" s="358"/>
      <c r="AF197" s="358"/>
      <c r="AG197" s="359"/>
    </row>
    <row r="198" spans="1:33" ht="13.8">
      <c r="A198" s="357"/>
      <c r="B198" s="357"/>
      <c r="C198" s="358" t="s">
        <v>334</v>
      </c>
      <c r="D198" s="1082" t="s">
        <v>306</v>
      </c>
      <c r="E198" s="1789"/>
      <c r="F198" s="1789"/>
      <c r="G198" s="1789"/>
      <c r="H198" s="1789"/>
      <c r="I198" s="1789"/>
      <c r="J198" s="1789"/>
      <c r="K198" s="1789"/>
      <c r="L198" s="1588"/>
      <c r="M198" s="215"/>
      <c r="N198" s="1790"/>
      <c r="O198" s="1791">
        <f t="shared" si="72"/>
        <v>456164.84877915785</v>
      </c>
      <c r="P198" s="1791">
        <f t="shared" si="73"/>
        <v>2980.5299999993294</v>
      </c>
      <c r="Q198" s="1791">
        <f t="shared" si="74"/>
        <v>0</v>
      </c>
      <c r="R198" s="1791">
        <f t="shared" si="75"/>
        <v>1093</v>
      </c>
      <c r="S198" s="1791">
        <f t="shared" si="76"/>
        <v>0</v>
      </c>
      <c r="T198" s="1791">
        <f t="shared" si="77"/>
        <v>0</v>
      </c>
      <c r="U198" s="1791">
        <f t="shared" si="78"/>
        <v>0</v>
      </c>
      <c r="V198" s="1792">
        <f t="shared" si="79"/>
        <v>0</v>
      </c>
      <c r="W198" s="743"/>
      <c r="X198" s="743"/>
      <c r="Y198" s="355"/>
      <c r="Z198" s="675"/>
      <c r="AA198" s="755"/>
      <c r="AB198" s="676"/>
      <c r="AC198" s="676"/>
      <c r="AD198" s="676"/>
      <c r="AE198" s="358"/>
      <c r="AF198" s="358"/>
      <c r="AG198" s="359"/>
    </row>
    <row r="199" spans="1:33" ht="13.8">
      <c r="A199" s="357"/>
      <c r="B199" s="357"/>
      <c r="C199" s="358" t="s">
        <v>335</v>
      </c>
      <c r="D199" s="1082" t="s">
        <v>306</v>
      </c>
      <c r="E199" s="1789"/>
      <c r="F199" s="1789"/>
      <c r="G199" s="1789"/>
      <c r="H199" s="1789"/>
      <c r="I199" s="1789"/>
      <c r="J199" s="1789"/>
      <c r="K199" s="1789"/>
      <c r="L199" s="1588"/>
      <c r="M199" s="215"/>
      <c r="N199" s="1790"/>
      <c r="O199" s="1791">
        <f t="shared" si="72"/>
        <v>456164.84877915785</v>
      </c>
      <c r="P199" s="1791">
        <f t="shared" si="73"/>
        <v>2980.5299999993294</v>
      </c>
      <c r="Q199" s="1791">
        <f t="shared" si="74"/>
        <v>0</v>
      </c>
      <c r="R199" s="1791">
        <f t="shared" si="75"/>
        <v>1093</v>
      </c>
      <c r="S199" s="1791">
        <f t="shared" si="76"/>
        <v>0</v>
      </c>
      <c r="T199" s="1791">
        <f t="shared" si="77"/>
        <v>0</v>
      </c>
      <c r="U199" s="1791">
        <f t="shared" si="78"/>
        <v>0</v>
      </c>
      <c r="V199" s="1792">
        <f t="shared" si="79"/>
        <v>0</v>
      </c>
      <c r="W199" s="743"/>
      <c r="X199" s="743"/>
      <c r="Y199" s="355"/>
      <c r="Z199" s="675"/>
      <c r="AA199" s="755"/>
      <c r="AB199" s="676"/>
      <c r="AC199" s="676"/>
      <c r="AD199" s="676"/>
      <c r="AE199" s="358"/>
      <c r="AF199" s="358"/>
      <c r="AG199" s="359"/>
    </row>
    <row r="200" spans="1:33" ht="14.4" thickBot="1">
      <c r="A200" s="357"/>
      <c r="B200" s="357"/>
      <c r="C200" s="358" t="s">
        <v>336</v>
      </c>
      <c r="D200" s="764" t="s">
        <v>306</v>
      </c>
      <c r="E200" s="1793"/>
      <c r="F200" s="1793"/>
      <c r="G200" s="1793"/>
      <c r="H200" s="1793"/>
      <c r="I200" s="1793"/>
      <c r="J200" s="1793"/>
      <c r="K200" s="1793"/>
      <c r="L200" s="1591"/>
      <c r="M200" s="215"/>
      <c r="N200" s="1794"/>
      <c r="O200" s="1795">
        <f t="shared" si="72"/>
        <v>456164.84877915785</v>
      </c>
      <c r="P200" s="1795">
        <f t="shared" si="73"/>
        <v>2980.5299999993294</v>
      </c>
      <c r="Q200" s="1795">
        <f t="shared" si="74"/>
        <v>0</v>
      </c>
      <c r="R200" s="1795">
        <f t="shared" si="75"/>
        <v>1093</v>
      </c>
      <c r="S200" s="1795">
        <f t="shared" si="76"/>
        <v>0</v>
      </c>
      <c r="T200" s="1795">
        <f t="shared" si="77"/>
        <v>0</v>
      </c>
      <c r="U200" s="1795">
        <f t="shared" si="78"/>
        <v>0</v>
      </c>
      <c r="V200" s="1796">
        <f t="shared" si="79"/>
        <v>0</v>
      </c>
      <c r="W200" s="743"/>
      <c r="X200" s="743"/>
      <c r="Y200" s="355"/>
      <c r="Z200" s="675"/>
      <c r="AA200" s="755"/>
      <c r="AB200" s="676"/>
      <c r="AC200" s="676"/>
      <c r="AD200" s="676"/>
      <c r="AE200" s="358"/>
      <c r="AF200" s="358"/>
      <c r="AG200" s="359"/>
    </row>
    <row r="201" spans="1:33" ht="13.8">
      <c r="A201" s="357"/>
      <c r="B201" s="357"/>
      <c r="C201" s="358" t="s">
        <v>603</v>
      </c>
      <c r="D201" s="376" t="s">
        <v>525</v>
      </c>
      <c r="E201" s="1586">
        <f t="shared" ref="E201:L201" si="80">SUM(E188:E200)</f>
        <v>456164.84877915785</v>
      </c>
      <c r="F201" s="1586">
        <f t="shared" si="80"/>
        <v>2980.5299999993294</v>
      </c>
      <c r="G201" s="1586">
        <f t="shared" si="80"/>
        <v>0</v>
      </c>
      <c r="H201" s="1586">
        <f t="shared" si="80"/>
        <v>1093</v>
      </c>
      <c r="I201" s="1586">
        <f t="shared" si="80"/>
        <v>0</v>
      </c>
      <c r="J201" s="1586">
        <f t="shared" si="80"/>
        <v>0</v>
      </c>
      <c r="K201" s="1586">
        <f t="shared" si="80"/>
        <v>0</v>
      </c>
      <c r="L201" s="1586">
        <f t="shared" si="80"/>
        <v>0</v>
      </c>
      <c r="M201" s="215"/>
      <c r="N201" s="215"/>
      <c r="O201" s="1326">
        <f t="shared" ref="O201:V201" si="81">SUM(O188:O200)</f>
        <v>4080945.7020669058</v>
      </c>
      <c r="P201" s="1326">
        <f t="shared" si="81"/>
        <v>34134.539999986067</v>
      </c>
      <c r="Q201" s="1326">
        <f t="shared" si="81"/>
        <v>0</v>
      </c>
      <c r="R201" s="1326">
        <f t="shared" si="81"/>
        <v>9837</v>
      </c>
      <c r="S201" s="1326">
        <f t="shared" si="81"/>
        <v>0</v>
      </c>
      <c r="T201" s="1326">
        <f t="shared" si="81"/>
        <v>0</v>
      </c>
      <c r="U201" s="1326">
        <f t="shared" si="81"/>
        <v>0</v>
      </c>
      <c r="V201" s="1326">
        <f t="shared" si="81"/>
        <v>0</v>
      </c>
      <c r="W201" s="743"/>
      <c r="X201" s="743"/>
      <c r="Y201" s="355"/>
      <c r="Z201" s="675"/>
      <c r="AA201" s="755"/>
      <c r="AB201" s="676"/>
      <c r="AC201" s="676"/>
      <c r="AD201" s="676"/>
      <c r="AE201" s="358"/>
      <c r="AF201" s="358"/>
      <c r="AG201" s="359"/>
    </row>
    <row r="202" spans="1:33" ht="13.8">
      <c r="A202" s="357"/>
      <c r="B202" s="357"/>
      <c r="C202" s="358" t="s">
        <v>1118</v>
      </c>
      <c r="E202" s="530"/>
      <c r="F202" s="530"/>
      <c r="G202" s="376"/>
      <c r="H202" s="376"/>
      <c r="I202" s="376"/>
      <c r="J202" s="376"/>
      <c r="K202" s="376"/>
      <c r="L202" s="215"/>
      <c r="M202" s="215"/>
      <c r="N202" s="1797"/>
      <c r="O202" s="1799">
        <f>O201/13</f>
        <v>313918.90015899274</v>
      </c>
      <c r="P202" s="1799">
        <f t="shared" ref="P202:V202" si="82">P201/13</f>
        <v>2625.7338461527743</v>
      </c>
      <c r="Q202" s="1799">
        <f t="shared" si="82"/>
        <v>0</v>
      </c>
      <c r="R202" s="1799">
        <f t="shared" si="82"/>
        <v>756.69230769230774</v>
      </c>
      <c r="S202" s="1799">
        <f t="shared" si="82"/>
        <v>0</v>
      </c>
      <c r="T202" s="1799">
        <f t="shared" si="82"/>
        <v>0</v>
      </c>
      <c r="U202" s="1799">
        <f t="shared" si="82"/>
        <v>0</v>
      </c>
      <c r="V202" s="1799">
        <f t="shared" si="82"/>
        <v>0</v>
      </c>
      <c r="W202" s="743"/>
      <c r="X202" s="743"/>
      <c r="Y202" s="355"/>
      <c r="Z202" s="675"/>
      <c r="AA202" s="755"/>
      <c r="AB202" s="676"/>
      <c r="AC202" s="676"/>
      <c r="AD202" s="676"/>
      <c r="AE202" s="358"/>
      <c r="AF202" s="358"/>
      <c r="AG202" s="359"/>
    </row>
    <row r="203" spans="1:33" ht="13.8">
      <c r="A203" s="357"/>
      <c r="B203" s="357"/>
      <c r="C203" s="358"/>
      <c r="E203" s="530"/>
      <c r="F203" s="530"/>
      <c r="G203" s="376"/>
      <c r="H203" s="376"/>
      <c r="I203" s="376"/>
      <c r="J203" s="376"/>
      <c r="K203" s="376"/>
      <c r="L203" s="215"/>
      <c r="M203" s="215"/>
      <c r="N203" s="1797"/>
      <c r="O203" s="1799"/>
      <c r="P203" s="1799"/>
      <c r="Q203" s="1799"/>
      <c r="R203" s="1799"/>
      <c r="S203" s="1799"/>
      <c r="T203" s="1799"/>
      <c r="U203" s="1799"/>
      <c r="V203" s="1799"/>
      <c r="W203" s="743"/>
      <c r="X203" s="743"/>
      <c r="Y203" s="355"/>
      <c r="Z203" s="675"/>
      <c r="AA203" s="755"/>
      <c r="AB203" s="676"/>
      <c r="AC203" s="676"/>
      <c r="AD203" s="676"/>
      <c r="AE203" s="358"/>
      <c r="AF203" s="358"/>
      <c r="AG203" s="359"/>
    </row>
    <row r="204" spans="1:33" ht="13.8">
      <c r="A204" s="357"/>
      <c r="B204" s="357"/>
      <c r="C204" s="358"/>
      <c r="E204" s="530"/>
      <c r="F204" s="530"/>
      <c r="G204" s="376"/>
      <c r="H204" s="376"/>
      <c r="I204" s="376"/>
      <c r="J204" s="376"/>
      <c r="K204" s="376"/>
      <c r="L204" s="215"/>
      <c r="M204" s="215"/>
      <c r="N204" s="1797"/>
      <c r="O204" s="1799"/>
      <c r="P204" s="1799"/>
      <c r="Q204" s="1799"/>
      <c r="R204" s="1799"/>
      <c r="S204" s="1799"/>
      <c r="T204" s="1799"/>
      <c r="U204" s="1799"/>
      <c r="V204" s="1799"/>
      <c r="W204" s="743"/>
      <c r="X204" s="743"/>
      <c r="Y204" s="355"/>
      <c r="Z204" s="675"/>
      <c r="AA204" s="755"/>
      <c r="AB204" s="676"/>
      <c r="AC204" s="676"/>
      <c r="AD204" s="676"/>
      <c r="AE204" s="358"/>
      <c r="AF204" s="358"/>
      <c r="AG204" s="359"/>
    </row>
    <row r="205" spans="1:33" ht="14.4" thickBot="1">
      <c r="A205" s="357"/>
      <c r="B205" s="357"/>
      <c r="C205" s="358"/>
      <c r="E205" s="530"/>
      <c r="F205" s="530"/>
      <c r="G205" s="376"/>
      <c r="H205" s="376"/>
      <c r="I205" s="376"/>
      <c r="J205" s="376"/>
      <c r="K205" s="376"/>
      <c r="L205" s="215"/>
      <c r="M205" s="215"/>
      <c r="N205" s="1797"/>
      <c r="O205" s="1799"/>
      <c r="P205" s="1799"/>
      <c r="Q205" s="1799"/>
      <c r="R205" s="1799"/>
      <c r="S205" s="1799"/>
      <c r="T205" s="1799"/>
      <c r="U205" s="1799"/>
      <c r="V205" s="1799"/>
      <c r="W205" s="743"/>
      <c r="X205" s="743"/>
      <c r="Y205" s="355"/>
      <c r="Z205" s="675"/>
      <c r="AA205" s="755"/>
      <c r="AB205" s="676"/>
      <c r="AC205" s="676"/>
      <c r="AD205" s="676"/>
      <c r="AE205" s="358"/>
      <c r="AF205" s="358"/>
      <c r="AG205" s="359"/>
    </row>
    <row r="206" spans="1:33" ht="57" customHeight="1">
      <c r="A206" s="357"/>
      <c r="B206" s="357"/>
      <c r="C206" s="357"/>
      <c r="D206" s="1206" t="s">
        <v>883</v>
      </c>
      <c r="E206" s="1206" t="s">
        <v>882</v>
      </c>
      <c r="F206" s="1206" t="s">
        <v>396</v>
      </c>
      <c r="G206" s="1206" t="s">
        <v>884</v>
      </c>
      <c r="H206" s="1206" t="s">
        <v>462</v>
      </c>
      <c r="I206" s="1241" t="s">
        <v>461</v>
      </c>
      <c r="J206" s="1206" t="s">
        <v>463</v>
      </c>
      <c r="K206" s="1241" t="s">
        <v>748</v>
      </c>
      <c r="L206" s="1241" t="s">
        <v>484</v>
      </c>
      <c r="M206" s="1241" t="s">
        <v>743</v>
      </c>
      <c r="N206" s="1241" t="s">
        <v>1115</v>
      </c>
      <c r="O206" s="1206" t="s">
        <v>1071</v>
      </c>
      <c r="P206" s="1241" t="s">
        <v>1054</v>
      </c>
      <c r="Q206" s="1206" t="s">
        <v>1055</v>
      </c>
      <c r="R206" s="1206" t="s">
        <v>1112</v>
      </c>
      <c r="S206" s="1206" t="s">
        <v>1116</v>
      </c>
      <c r="T206" s="1206" t="s">
        <v>1117</v>
      </c>
      <c r="U206" s="1206" t="s">
        <v>1113</v>
      </c>
      <c r="V206" s="1548" t="s">
        <v>464</v>
      </c>
      <c r="W206" s="755"/>
      <c r="X206" s="755"/>
      <c r="Y206" s="675"/>
      <c r="Z206" s="355"/>
      <c r="AA206" s="676"/>
      <c r="AB206" s="377"/>
      <c r="AC206" s="358"/>
      <c r="AD206" s="358"/>
      <c r="AE206" s="358"/>
      <c r="AF206" s="358"/>
      <c r="AG206" s="359"/>
    </row>
    <row r="207" spans="1:33" s="404" customFormat="1" ht="15" thickBot="1">
      <c r="A207" s="357"/>
      <c r="B207" s="357"/>
      <c r="C207" s="357"/>
      <c r="D207" s="1623">
        <f>'7 - Cap Add WS'!M34-'7 - Cap Add WS'!L34</f>
        <v>2516730.1286885808</v>
      </c>
      <c r="E207" s="1605">
        <f>'7 - Cap Add WS'!Q34-'7 - Cap Add WS'!P34</f>
        <v>5203115.7026894083</v>
      </c>
      <c r="F207" s="1605">
        <f>'7 - Cap Add WS'!U34-'7 - Cap Add WS'!T34</f>
        <v>212921.77557655642</v>
      </c>
      <c r="G207" s="1605">
        <f>'7 - Cap Add WS'!Y34-'7 - Cap Add WS'!X34</f>
        <v>864354.74626501277</v>
      </c>
      <c r="H207" s="1605">
        <f>'7 - Cap Add WS'!AC34-'7 - Cap Add WS'!AB34</f>
        <v>821148.65189218498</v>
      </c>
      <c r="I207" s="1605">
        <f>'7 - Cap Add WS'!AG34-'7 - Cap Add WS'!AF34</f>
        <v>701199.58358263737</v>
      </c>
      <c r="J207" s="1606">
        <f>'7 - Cap Add WS'!AK34-'7 - Cap Add WS'!AJ34</f>
        <v>4273582.8018956324</v>
      </c>
      <c r="K207" s="1606">
        <f>'7 - Cap Add WS'!AO34-'7 - Cap Add WS'!AN34</f>
        <v>565818.23629477597</v>
      </c>
      <c r="L207" s="1606">
        <f>'7 - Cap Add WS'!AS34-'7 - Cap Add WS'!AR34</f>
        <v>521444.74126714788</v>
      </c>
      <c r="M207" s="1606">
        <f>'7 - Cap Add WS'!AW34-'7 - Cap Add WS'!AV34</f>
        <v>630252.36070394504</v>
      </c>
      <c r="N207" s="1606">
        <f>'7 - Cap Add WS'!BA34-'7 - Cap Add WS'!AZ34</f>
        <v>831308.67868355103</v>
      </c>
      <c r="O207" s="1606">
        <f>'7 - Cap Add WS'!CI34-'7 - Cap Add WS'!CH34</f>
        <v>5219290.6288768249</v>
      </c>
      <c r="P207" s="1594">
        <f>'7 - Cap Add WS'!BI34-'7 - Cap Add WS'!BH34</f>
        <v>235187.12106308472</v>
      </c>
      <c r="Q207" s="1606">
        <f>'7 - Cap Add WS'!BM34-'7 - Cap Add WS'!BL34</f>
        <v>98257.30412257422</v>
      </c>
      <c r="R207" s="1606">
        <f>'7 - Cap Add WS'!BQ34-'7 - Cap Add WS'!BP34</f>
        <v>592857.0281755398</v>
      </c>
      <c r="S207" s="1606">
        <f>'7 - Cap Add WS'!BV34-'7 - Cap Add WS'!BU34</f>
        <v>231103.0853475086</v>
      </c>
      <c r="T207" s="1606">
        <f>'7 - Cap Add WS'!CA34-'7 - Cap Add WS'!BZ34</f>
        <v>2874631.9393778048</v>
      </c>
      <c r="U207" s="1595">
        <f>'7 - Cap Add WS'!CE34-'7 - Cap Add WS'!CD34</f>
        <v>7295822.8714520456</v>
      </c>
      <c r="V207" s="1595">
        <f>'7 - Cap Add WS'!I34-'7 - Cap Add WS'!H34</f>
        <v>125636084.06191178</v>
      </c>
      <c r="W207" s="766"/>
      <c r="X207" s="766"/>
      <c r="Y207" s="675"/>
      <c r="Z207" s="439"/>
      <c r="AA207" s="377"/>
      <c r="AB207" s="377"/>
      <c r="AC207" s="358"/>
      <c r="AD207" s="358"/>
      <c r="AE207" s="358"/>
      <c r="AF207" s="358"/>
      <c r="AG207" s="359"/>
    </row>
    <row r="208" spans="1:33" ht="17.25" customHeight="1" thickBot="1">
      <c r="A208" s="357"/>
      <c r="B208" s="357"/>
      <c r="C208" s="357"/>
      <c r="D208" s="451"/>
      <c r="E208" s="374"/>
      <c r="F208" s="374"/>
      <c r="G208" s="374"/>
      <c r="H208" s="374"/>
      <c r="I208" s="374"/>
      <c r="J208" s="215"/>
      <c r="K208" s="215"/>
      <c r="L208" s="215"/>
      <c r="M208" s="215"/>
      <c r="N208" s="215"/>
      <c r="O208" s="215"/>
      <c r="P208" s="215"/>
      <c r="Q208" s="215"/>
      <c r="R208" s="487"/>
      <c r="S208" s="676"/>
      <c r="T208" s="676"/>
      <c r="U208" s="676"/>
      <c r="V208" s="676"/>
      <c r="W208" s="766"/>
      <c r="X208" s="766"/>
      <c r="Y208" s="675"/>
      <c r="Z208" s="240"/>
      <c r="AA208" s="377"/>
      <c r="AB208" s="377"/>
      <c r="AC208" s="358"/>
      <c r="AD208" s="358"/>
      <c r="AE208" s="358"/>
      <c r="AF208" s="358"/>
      <c r="AG208" s="359"/>
    </row>
    <row r="209" spans="1:33" ht="40.5" customHeight="1">
      <c r="A209" s="357"/>
      <c r="B209" s="357"/>
      <c r="D209" s="1598" t="s">
        <v>1125</v>
      </c>
      <c r="E209" s="1597" t="s">
        <v>1141</v>
      </c>
      <c r="F209" s="1597" t="s">
        <v>1114</v>
      </c>
      <c r="G209" s="1597" t="s">
        <v>1139</v>
      </c>
      <c r="H209" s="1597" t="s">
        <v>1142</v>
      </c>
      <c r="I209" s="1597" t="s">
        <v>1140</v>
      </c>
      <c r="J209" s="1597" t="s">
        <v>1081</v>
      </c>
      <c r="K209" s="1597" t="s">
        <v>1083</v>
      </c>
      <c r="L209" s="1597" t="s">
        <v>1085</v>
      </c>
      <c r="M209" s="1597" t="s">
        <v>1087</v>
      </c>
      <c r="N209" s="1597" t="s">
        <v>1136</v>
      </c>
      <c r="O209" s="1597" t="s">
        <v>1092</v>
      </c>
      <c r="P209" s="1597" t="s">
        <v>1094</v>
      </c>
      <c r="Q209" s="1597" t="s">
        <v>1096</v>
      </c>
      <c r="R209" s="1597" t="s">
        <v>1224</v>
      </c>
      <c r="S209" s="1597" t="s">
        <v>1180</v>
      </c>
      <c r="T209" s="1597" t="s">
        <v>1102</v>
      </c>
      <c r="U209" s="1597" t="s">
        <v>1166</v>
      </c>
      <c r="V209" s="1783" t="s">
        <v>1123</v>
      </c>
      <c r="W209" s="742"/>
      <c r="X209" s="1608" t="str">
        <f>N167</f>
        <v>Other Projects PIS (Monthly additions)</v>
      </c>
      <c r="Y209" s="377"/>
      <c r="Z209" s="377"/>
      <c r="AA209" s="377"/>
      <c r="AB209" s="377"/>
      <c r="AC209" s="358"/>
      <c r="AD209" s="358"/>
      <c r="AE209" s="358"/>
      <c r="AF209" s="358"/>
      <c r="AG209" s="359"/>
    </row>
    <row r="210" spans="1:33" ht="15" thickBot="1">
      <c r="A210" s="357"/>
      <c r="B210" s="357"/>
      <c r="D210" s="1849">
        <f>'7 - Cap Add WS'!FG34-'7 - Cap Add WS'!FF34</f>
        <v>1653493.7357213416</v>
      </c>
      <c r="E210" s="1605">
        <f>'7 - Cap Add WS'!CM34-'7 - Cap Add WS'!CL34</f>
        <v>7362088.8319672151</v>
      </c>
      <c r="F210" s="1800">
        <f>'7 - Cap Add WS'!CQ34-'7 - Cap Add WS'!CP34</f>
        <v>3422958.1034853328</v>
      </c>
      <c r="G210" s="1605">
        <f>'7 - Cap Add WS'!CU34-'7 - Cap Add WS'!CT34</f>
        <v>395030.98966273799</v>
      </c>
      <c r="H210" s="1605">
        <f>'7 - Cap Add WS'!CY34-'7 - Cap Add WS'!CX34</f>
        <v>1152908.9246162092</v>
      </c>
      <c r="I210" s="1605">
        <f>'7 - Cap Add WS'!DC34-'7 - Cap Add WS'!DB34</f>
        <v>587044.32042722474</v>
      </c>
      <c r="J210" s="1606">
        <f>'7 - Cap Add WS'!DG34-'7 - Cap Add WS'!DF34</f>
        <v>136355.3020961032</v>
      </c>
      <c r="K210" s="1606">
        <f>'7 - Cap Add WS'!DK34-'7 - Cap Add WS'!DJ34</f>
        <v>76881.444037446432</v>
      </c>
      <c r="L210" s="1606">
        <f>'7 - Cap Add WS'!DO34-'7 - Cap Add WS'!DN34</f>
        <v>4306429.4326894972</v>
      </c>
      <c r="M210" s="1801">
        <f>'7 - Cap Add WS'!DS34-'7 - Cap Add WS'!DR34</f>
        <v>143066.50038520386</v>
      </c>
      <c r="N210" s="1801">
        <f>'7 - Cap Add WS'!DW34-'7 - Cap Add WS'!DV34</f>
        <v>211257.24374969915</v>
      </c>
      <c r="O210" s="1801">
        <f>'7 - Cap Add WS'!EA34-'7 - Cap Add WS'!DZ34</f>
        <v>907589.72065694607</v>
      </c>
      <c r="P210" s="1801">
        <f>'7 - Cap Add WS'!EE34-'7 - Cap Add WS'!ED34</f>
        <v>67753.770241640246</v>
      </c>
      <c r="Q210" s="1801">
        <f>'7 - Cap Add WS'!EI34-'7 - Cap Add WS'!EH34</f>
        <v>274629.66107125656</v>
      </c>
      <c r="R210" s="1801">
        <f>'7 - Cap Add WS'!HW34-'7 - Cap Add WS'!HV34</f>
        <v>13827820.129375786</v>
      </c>
      <c r="S210" s="1801">
        <f>'7 - Cap Add WS'!EQ34-'7 - Cap Add WS'!EP34</f>
        <v>181180.52943485294</v>
      </c>
      <c r="T210" s="1801">
        <f>'7 - Cap Add WS'!EU34-'7 - Cap Add WS'!ET34</f>
        <v>52218.264009859988</v>
      </c>
      <c r="U210" s="1801">
        <f>'7 - Cap Add WS'!GQ34-'7 - Cap Add WS'!GP34</f>
        <v>0</v>
      </c>
      <c r="V210" s="1802">
        <f>'7 - Cap Add WS'!FC34-'7 - Cap Add WS'!FB34</f>
        <v>103456.26914664965</v>
      </c>
      <c r="W210" s="377"/>
      <c r="X210" s="377"/>
      <c r="Y210" s="377"/>
      <c r="Z210" s="377"/>
      <c r="AA210" s="377"/>
      <c r="AB210" s="377"/>
      <c r="AC210" s="358"/>
      <c r="AD210" s="358"/>
      <c r="AE210" s="358"/>
      <c r="AF210" s="358"/>
      <c r="AG210" s="359"/>
    </row>
    <row r="211" spans="1:33" ht="14.4" thickBot="1">
      <c r="A211" s="357"/>
      <c r="B211" s="357"/>
      <c r="D211" s="484"/>
      <c r="E211" s="374"/>
      <c r="F211" s="374"/>
      <c r="G211" s="374"/>
      <c r="H211" s="374"/>
      <c r="I211" s="374"/>
      <c r="J211" s="374"/>
      <c r="K211" s="374"/>
      <c r="L211" s="374"/>
      <c r="M211" s="374"/>
      <c r="N211" s="374"/>
      <c r="O211" s="374"/>
      <c r="P211" s="375"/>
      <c r="Q211" s="374"/>
      <c r="R211" s="676"/>
      <c r="S211" s="676"/>
      <c r="T211" s="676"/>
      <c r="U211" s="676"/>
      <c r="V211" s="676"/>
      <c r="W211" s="377"/>
      <c r="X211" s="377"/>
      <c r="Y211" s="377"/>
      <c r="Z211" s="377"/>
      <c r="AA211" s="377"/>
      <c r="AB211" s="377"/>
      <c r="AC211" s="358"/>
      <c r="AD211" s="358"/>
      <c r="AE211" s="358"/>
      <c r="AF211" s="358"/>
      <c r="AG211" s="359"/>
    </row>
    <row r="212" spans="1:33" ht="24.75" customHeight="1">
      <c r="A212" s="357"/>
      <c r="B212" s="357"/>
      <c r="D212" s="1598" t="s">
        <v>1219</v>
      </c>
      <c r="E212" s="1597" t="s">
        <v>1137</v>
      </c>
      <c r="F212" s="1597" t="s">
        <v>1157</v>
      </c>
      <c r="G212" s="1597" t="s">
        <v>1159</v>
      </c>
      <c r="H212" s="1597" t="s">
        <v>1220</v>
      </c>
      <c r="I212" s="1597" t="s">
        <v>1160</v>
      </c>
      <c r="J212" s="1597" t="s">
        <v>1161</v>
      </c>
      <c r="K212" s="1597" t="s">
        <v>1162</v>
      </c>
      <c r="L212" s="1597" t="s">
        <v>1163</v>
      </c>
      <c r="M212" s="1597" t="s">
        <v>1165</v>
      </c>
      <c r="N212" s="1597" t="s">
        <v>1239</v>
      </c>
      <c r="O212" s="1597" t="s">
        <v>1167</v>
      </c>
      <c r="P212" s="1597" t="s">
        <v>1168</v>
      </c>
      <c r="Q212" s="1597" t="s">
        <v>1169</v>
      </c>
      <c r="R212" s="1241" t="s">
        <v>1170</v>
      </c>
      <c r="S212" s="1597" t="s">
        <v>1089</v>
      </c>
      <c r="T212" s="1241" t="s">
        <v>1240</v>
      </c>
      <c r="U212" s="1782" t="s">
        <v>1249</v>
      </c>
      <c r="V212" s="1850" t="s">
        <v>1251</v>
      </c>
      <c r="W212" s="377"/>
      <c r="X212" s="377"/>
      <c r="Y212" s="377"/>
      <c r="Z212" s="377"/>
      <c r="AA212" s="377"/>
      <c r="AB212" s="377"/>
      <c r="AC212" s="358"/>
      <c r="AD212" s="358"/>
      <c r="AE212" s="358"/>
      <c r="AF212" s="358"/>
      <c r="AG212" s="359"/>
    </row>
    <row r="213" spans="1:33" ht="15" thickBot="1">
      <c r="A213" s="357"/>
      <c r="B213" s="357"/>
      <c r="D213" s="1849">
        <f>'7 - Cap Add WS'!HK34-'7 - Cap Add WS'!HJ34</f>
        <v>9440793.5182559025</v>
      </c>
      <c r="E213" s="1605">
        <f>'7 - Cap Add WS'!FK34-'7 - Cap Add WS'!FJ34</f>
        <v>1525263.7504319467</v>
      </c>
      <c r="F213" s="1800">
        <f>'7 - Cap Add WS'!FO34-'7 - Cap Add WS'!FN34</f>
        <v>106661.34534323322</v>
      </c>
      <c r="G213" s="1605">
        <f>'7 - Cap Add WS'!FS34-'7 - Cap Add WS'!FR34</f>
        <v>2371548.5204078164</v>
      </c>
      <c r="H213" s="1605">
        <f>'7 - Cap Add WS'!HO34-'7 - Cap Add WS'!HN34</f>
        <v>5975005.1150814248</v>
      </c>
      <c r="I213" s="1605">
        <f>'7 - Cap Add WS'!FW34-'7 - Cap Add WS'!FV34</f>
        <v>4647064.076874462</v>
      </c>
      <c r="J213" s="1606">
        <f>'7 - Cap Add WS'!GA34-'7 - Cap Add WS'!FZ34</f>
        <v>84801.020387747732</v>
      </c>
      <c r="K213" s="1606">
        <f>'7 - Cap Add WS'!GE34-'7 - Cap Add WS'!GD34</f>
        <v>3994369.5020648334</v>
      </c>
      <c r="L213" s="1606">
        <f>'7 - Cap Add WS'!GI34-'7 - Cap Add WS'!GH34</f>
        <v>165929.36147780897</v>
      </c>
      <c r="M213" s="1801">
        <f>'7 - Cap Add WS'!GM34-'7 - Cap Add WS'!GL34</f>
        <v>935566.52832113521</v>
      </c>
      <c r="N213" s="1801">
        <f>'7 - Cap Add WS'!HS34-'7 - Cap Add WS'!HR34</f>
        <v>6142247.9830449056</v>
      </c>
      <c r="O213" s="1801">
        <f>'7 - Cap Add WS'!GU34-'7 - Cap Add WS'!GT34</f>
        <v>2329032.7705368926</v>
      </c>
      <c r="P213" s="1801">
        <f>'7 - Cap Add WS'!GY34-'7 - Cap Add WS'!GX34</f>
        <v>3947509.3995835176</v>
      </c>
      <c r="Q213" s="1801">
        <f>'7 - Cap Add WS'!HC34-'7 - Cap Add WS'!HB34</f>
        <v>216586.12640470001</v>
      </c>
      <c r="R213" s="1606">
        <f>'7 - Cap Add WS'!HG34-'7 - Cap Add WS'!HF34</f>
        <v>114378.05672956123</v>
      </c>
      <c r="S213" s="1801">
        <f>'7 - Cap Add WS'!BE34-'7 - Cap Add WS'!BD34</f>
        <v>1855895.8259635479</v>
      </c>
      <c r="T213" s="1606">
        <f>'7 - Cap Add WS'!IA34-'7 - Cap Add WS'!HZ34</f>
        <v>4826488.6493972875</v>
      </c>
      <c r="U213" s="1954">
        <f>'7 - Cap Add WS'!IE34-'7 - Cap Add WS'!ID34</f>
        <v>242145.76663999181</v>
      </c>
      <c r="V213" s="1955">
        <f>'7 - Cap Add WS'!II34-'7 - Cap Add WS'!IH34</f>
        <v>3016161.7663422185</v>
      </c>
      <c r="W213" s="377"/>
      <c r="X213" s="377"/>
      <c r="Y213" s="377"/>
      <c r="Z213" s="377"/>
      <c r="AA213" s="377"/>
      <c r="AB213" s="377"/>
      <c r="AC213" s="358"/>
      <c r="AD213" s="358"/>
      <c r="AE213" s="358"/>
      <c r="AF213" s="358"/>
      <c r="AG213" s="359"/>
    </row>
    <row r="214" spans="1:33" ht="14.4" thickBot="1">
      <c r="A214" s="357"/>
      <c r="B214" s="357"/>
      <c r="D214" s="484"/>
      <c r="E214" s="374"/>
      <c r="F214" s="374"/>
      <c r="G214" s="374"/>
      <c r="H214" s="374"/>
      <c r="I214" s="374"/>
      <c r="J214" s="374"/>
      <c r="K214" s="374"/>
      <c r="L214" s="374"/>
      <c r="M214" s="374"/>
      <c r="N214" s="374"/>
      <c r="O214" s="374"/>
      <c r="P214" s="375"/>
      <c r="Q214" s="374"/>
      <c r="R214" s="676"/>
      <c r="S214" s="676"/>
      <c r="T214" s="676"/>
      <c r="U214" s="676"/>
      <c r="V214" s="676"/>
      <c r="W214" s="377"/>
      <c r="X214" s="377"/>
      <c r="Y214" s="377"/>
      <c r="Z214" s="377"/>
      <c r="AA214" s="377"/>
      <c r="AB214" s="377"/>
      <c r="AC214" s="358"/>
      <c r="AD214" s="358"/>
      <c r="AE214" s="358"/>
      <c r="AF214" s="358"/>
      <c r="AG214" s="359"/>
    </row>
    <row r="215" spans="1:33" ht="27.75" customHeight="1">
      <c r="A215" s="357"/>
      <c r="B215" s="357"/>
      <c r="D215" s="1858" t="s">
        <v>952</v>
      </c>
      <c r="E215" s="374"/>
      <c r="F215" s="374"/>
      <c r="G215" s="374"/>
      <c r="H215" s="374"/>
      <c r="I215" s="374"/>
      <c r="J215" s="374"/>
      <c r="K215" s="374"/>
      <c r="L215" s="374"/>
      <c r="M215" s="374"/>
      <c r="N215" s="374"/>
      <c r="O215" s="374"/>
      <c r="P215" s="375"/>
      <c r="Q215" s="374"/>
      <c r="R215" s="676"/>
      <c r="S215" s="676"/>
      <c r="T215" s="676"/>
      <c r="U215" s="1953" t="s">
        <v>1276</v>
      </c>
      <c r="V215" s="1953" t="s">
        <v>1253</v>
      </c>
      <c r="W215" s="377"/>
      <c r="X215" s="377"/>
      <c r="Y215" s="377"/>
      <c r="Z215" s="377"/>
      <c r="AA215" s="377"/>
      <c r="AB215" s="377"/>
      <c r="AC215" s="358"/>
      <c r="AD215" s="358"/>
      <c r="AE215" s="358"/>
      <c r="AF215" s="358"/>
      <c r="AG215" s="359"/>
    </row>
    <row r="216" spans="1:33" ht="15" thickBot="1">
      <c r="A216" s="357"/>
      <c r="B216" s="357"/>
      <c r="D216" s="1780">
        <f>SUM(D210:V210)+SUM(D213:V213)+SUM(D207:V207)+V216+U216</f>
        <v>247484300.8421154</v>
      </c>
      <c r="E216" s="374"/>
      <c r="F216" s="374"/>
      <c r="G216" s="374"/>
      <c r="H216" s="374"/>
      <c r="I216" s="374"/>
      <c r="J216" s="374"/>
      <c r="K216" s="374"/>
      <c r="L216" s="374"/>
      <c r="M216" s="374"/>
      <c r="N216" s="374"/>
      <c r="O216" s="374"/>
      <c r="P216" s="375"/>
      <c r="Q216" s="374"/>
      <c r="R216" s="676"/>
      <c r="S216" s="676"/>
      <c r="T216" s="676"/>
      <c r="U216" s="1956">
        <f>'7 - Cap Add WS'!IQ34-'7 - Cap Add WS'!IP34</f>
        <v>1359577.1381848825</v>
      </c>
      <c r="V216" s="1956">
        <f>'7 - Cap Add WS'!IM34-'7 - Cap Add WS'!IL34</f>
        <v>0</v>
      </c>
      <c r="W216" s="377"/>
      <c r="X216" s="377"/>
      <c r="Y216" s="377"/>
      <c r="Z216" s="377"/>
      <c r="AA216" s="377"/>
      <c r="AB216" s="377"/>
      <c r="AC216" s="358"/>
      <c r="AD216" s="358"/>
      <c r="AE216" s="358"/>
      <c r="AF216" s="358"/>
      <c r="AG216" s="359"/>
    </row>
    <row r="217" spans="1:33" ht="13.8">
      <c r="A217" s="357"/>
      <c r="B217" s="357"/>
      <c r="E217" s="374"/>
      <c r="F217" s="374"/>
      <c r="G217" s="374"/>
      <c r="H217" s="374"/>
      <c r="I217" s="374"/>
      <c r="J217" s="374"/>
      <c r="K217" s="374"/>
      <c r="L217" s="374"/>
      <c r="M217" s="374"/>
      <c r="N217" s="374"/>
      <c r="O217" s="374"/>
      <c r="P217" s="375"/>
      <c r="Q217" s="374"/>
      <c r="R217" s="676"/>
      <c r="S217" s="676"/>
      <c r="T217" s="676"/>
      <c r="U217" s="676"/>
      <c r="V217" s="676"/>
      <c r="W217" s="377"/>
      <c r="X217" s="377"/>
      <c r="Y217" s="377"/>
      <c r="Z217" s="377"/>
      <c r="AA217" s="377"/>
      <c r="AB217" s="377"/>
      <c r="AC217" s="358"/>
      <c r="AD217" s="358"/>
      <c r="AE217" s="358"/>
      <c r="AF217" s="358"/>
      <c r="AG217" s="359"/>
    </row>
    <row r="218" spans="1:33" ht="13.8">
      <c r="A218" s="357"/>
      <c r="B218" s="357"/>
      <c r="D218" s="1919"/>
      <c r="E218" s="374"/>
      <c r="F218" s="374"/>
      <c r="G218" s="374"/>
      <c r="H218" s="374"/>
      <c r="I218" s="374"/>
      <c r="J218" s="374"/>
      <c r="K218" s="374"/>
      <c r="L218" s="374"/>
      <c r="M218" s="374"/>
      <c r="N218" s="374"/>
      <c r="O218" s="374"/>
      <c r="P218" s="375"/>
      <c r="Q218" s="374"/>
      <c r="R218" s="676"/>
      <c r="S218" s="676"/>
      <c r="T218" s="676"/>
      <c r="U218" s="676"/>
      <c r="V218" s="676"/>
      <c r="W218" s="377"/>
      <c r="X218" s="377"/>
      <c r="Y218" s="377"/>
      <c r="Z218" s="377"/>
      <c r="AA218" s="377"/>
      <c r="AB218" s="377"/>
      <c r="AC218" s="358"/>
      <c r="AD218" s="358"/>
      <c r="AE218" s="358"/>
      <c r="AF218" s="358"/>
      <c r="AG218" s="359"/>
    </row>
    <row r="219" spans="1:33" ht="13.8">
      <c r="A219" s="357"/>
      <c r="B219" s="357"/>
      <c r="C219" s="357"/>
      <c r="D219" s="357"/>
      <c r="E219" s="374"/>
      <c r="F219" s="374"/>
      <c r="G219" s="374"/>
      <c r="H219" s="374"/>
      <c r="I219" s="374"/>
      <c r="J219" s="374"/>
      <c r="K219" s="374"/>
      <c r="L219" s="374"/>
      <c r="M219" s="374"/>
      <c r="N219" s="374"/>
      <c r="O219" s="374"/>
      <c r="P219" s="376"/>
      <c r="Q219" s="374"/>
      <c r="R219" s="676"/>
      <c r="S219" s="676"/>
      <c r="T219" s="676"/>
      <c r="U219" s="676"/>
      <c r="V219" s="676"/>
      <c r="W219" s="377"/>
      <c r="X219" s="377"/>
      <c r="Y219" s="377"/>
      <c r="Z219" s="377"/>
      <c r="AA219" s="377"/>
      <c r="AB219" s="377"/>
      <c r="AC219" s="358"/>
      <c r="AD219" s="358"/>
      <c r="AE219" s="358"/>
      <c r="AF219" s="358"/>
      <c r="AG219" s="359"/>
    </row>
    <row r="220" spans="1:33" s="2" customFormat="1" ht="26.25" customHeight="1">
      <c r="A220" s="495">
        <f>+A17</f>
        <v>7</v>
      </c>
      <c r="B220" s="495" t="str">
        <f>+B17</f>
        <v>April</v>
      </c>
      <c r="C220" s="495" t="str">
        <f>+C17</f>
        <v>Year 3</v>
      </c>
      <c r="D220" s="1089"/>
      <c r="E220" s="2088" t="str">
        <f>+E17</f>
        <v>Reconciliation - TO calculates Reconciliation by populating the 13 monthly plant balances and beginning and end of year  balances for the other rate base items and the 13 monthly averages for CWIP in Reconciliation (adjusted to include any Reconciliation amount from prior year).</v>
      </c>
      <c r="F220" s="2089"/>
      <c r="G220" s="2089"/>
      <c r="H220" s="2089"/>
      <c r="I220" s="2089"/>
      <c r="J220" s="2089"/>
      <c r="K220" s="2089"/>
      <c r="L220" s="2089"/>
      <c r="M220" s="2089"/>
      <c r="N220" s="2089"/>
      <c r="O220" s="2089"/>
      <c r="P220" s="738"/>
      <c r="Q220" s="458"/>
      <c r="R220" s="736"/>
      <c r="S220" s="676"/>
      <c r="T220" s="676"/>
      <c r="U220" s="676"/>
      <c r="V220" s="676"/>
      <c r="W220" s="676"/>
      <c r="X220" s="676"/>
      <c r="Y220" s="676"/>
      <c r="Z220" s="676"/>
      <c r="AA220" s="676"/>
      <c r="AB220" s="676"/>
      <c r="AC220" s="374"/>
      <c r="AD220" s="374"/>
      <c r="AE220" s="374"/>
      <c r="AF220" s="374"/>
      <c r="AG220" s="739"/>
    </row>
    <row r="221" spans="1:33" s="355" customFormat="1" ht="13.8">
      <c r="A221" s="674"/>
      <c r="B221" s="674"/>
      <c r="C221" s="674"/>
      <c r="D221" s="674"/>
      <c r="E221" s="675"/>
      <c r="F221" s="676"/>
      <c r="G221" s="676"/>
      <c r="H221" s="676"/>
      <c r="I221" s="676"/>
      <c r="J221" s="676"/>
      <c r="K221" s="676"/>
      <c r="L221" s="2087"/>
      <c r="M221" s="2087"/>
      <c r="N221" s="2087"/>
      <c r="O221" s="354"/>
      <c r="P221" s="676"/>
      <c r="Q221" s="676"/>
      <c r="R221" s="676"/>
      <c r="S221" s="676"/>
      <c r="T221" s="1584"/>
      <c r="U221" s="676"/>
      <c r="V221" s="676"/>
      <c r="W221" s="676"/>
      <c r="X221" s="676"/>
      <c r="Y221" s="676"/>
      <c r="Z221" s="676"/>
      <c r="AA221" s="676"/>
      <c r="AB221" s="676"/>
      <c r="AC221" s="676"/>
      <c r="AD221" s="676"/>
      <c r="AE221" s="676"/>
      <c r="AF221" s="676"/>
      <c r="AG221" s="677"/>
    </row>
    <row r="222" spans="1:33" s="355" customFormat="1" ht="13.8">
      <c r="A222" s="451"/>
      <c r="B222" s="451"/>
      <c r="C222" s="451"/>
      <c r="D222" s="374"/>
      <c r="E222" s="374"/>
      <c r="H222" s="374"/>
      <c r="M222" s="736"/>
      <c r="P222" s="736"/>
      <c r="Q222" s="736"/>
      <c r="R222" s="676"/>
      <c r="S222" s="676"/>
      <c r="T222" s="676"/>
      <c r="U222" s="676"/>
      <c r="V222" s="676"/>
      <c r="W222" s="676"/>
      <c r="X222" s="676"/>
      <c r="Y222" s="676"/>
      <c r="Z222" s="676"/>
      <c r="AA222" s="676"/>
      <c r="AB222" s="676"/>
      <c r="AC222" s="676"/>
      <c r="AD222" s="676"/>
      <c r="AE222" s="676"/>
      <c r="AF222" s="676"/>
      <c r="AG222" s="677"/>
    </row>
    <row r="223" spans="1:33" s="355" customFormat="1" ht="14.4" thickBot="1">
      <c r="A223" s="451"/>
      <c r="B223" s="451"/>
      <c r="C223" s="357"/>
      <c r="D223" s="674"/>
      <c r="E223" s="674"/>
      <c r="F223" s="674"/>
      <c r="G223" s="674"/>
      <c r="H223" s="674"/>
      <c r="I223" s="674"/>
      <c r="J223" s="674"/>
      <c r="K223" s="354"/>
      <c r="L223" s="354"/>
      <c r="M223" s="674"/>
      <c r="N223" s="354"/>
      <c r="O223" s="736"/>
      <c r="P223" s="736"/>
      <c r="Q223" s="736"/>
      <c r="R223" s="736"/>
      <c r="S223" s="736"/>
      <c r="T223" s="736"/>
      <c r="U223" s="736"/>
      <c r="V223" s="736"/>
      <c r="W223" s="736"/>
      <c r="X223" s="676"/>
      <c r="Y223" s="676"/>
      <c r="Z223" s="676"/>
      <c r="AA223" s="676"/>
      <c r="AB223" s="676"/>
      <c r="AC223" s="676"/>
      <c r="AD223" s="676"/>
      <c r="AE223" s="676"/>
      <c r="AF223" s="676"/>
      <c r="AG223" s="677"/>
    </row>
    <row r="224" spans="1:33" s="355" customFormat="1" ht="63" customHeight="1" thickBot="1">
      <c r="A224" s="357"/>
      <c r="B224" s="357"/>
      <c r="C224" s="357"/>
      <c r="D224" s="759" t="s">
        <v>432</v>
      </c>
      <c r="E224" s="1931" t="s">
        <v>433</v>
      </c>
      <c r="F224" s="1931" t="s">
        <v>434</v>
      </c>
      <c r="G224" s="1931" t="s">
        <v>435</v>
      </c>
      <c r="H224" s="1931" t="s">
        <v>722</v>
      </c>
      <c r="I224" s="1931" t="s">
        <v>728</v>
      </c>
      <c r="J224" s="852" t="s">
        <v>544</v>
      </c>
      <c r="K224" s="852" t="s">
        <v>545</v>
      </c>
      <c r="L224" s="1932" t="s">
        <v>347</v>
      </c>
      <c r="M224" s="354"/>
      <c r="N224" s="2083" t="s">
        <v>660</v>
      </c>
      <c r="O224" s="2084"/>
      <c r="P224" s="2084"/>
      <c r="Q224" s="2084"/>
      <c r="R224" s="2084"/>
      <c r="S224" s="2084"/>
      <c r="T224" s="2084"/>
      <c r="U224" s="2084"/>
      <c r="V224" s="2085"/>
      <c r="W224" s="742"/>
      <c r="X224" s="742"/>
      <c r="Y224" s="676"/>
      <c r="Z224" s="676"/>
      <c r="AA224" s="676"/>
      <c r="AB224" s="676"/>
      <c r="AC224" s="676"/>
      <c r="AD224" s="676"/>
      <c r="AE224" s="676"/>
      <c r="AF224" s="676"/>
      <c r="AG224" s="677"/>
    </row>
    <row r="225" spans="1:33" s="355" customFormat="1" ht="13.5" customHeight="1" thickBot="1">
      <c r="A225" s="357"/>
      <c r="B225" s="357"/>
      <c r="C225" s="358"/>
      <c r="D225" s="1323"/>
      <c r="E225" s="1246"/>
      <c r="F225" s="1241"/>
      <c r="G225" s="1246"/>
      <c r="H225" s="1241"/>
      <c r="I225" s="1246" t="s">
        <v>525</v>
      </c>
      <c r="J225" s="1246" t="s">
        <v>567</v>
      </c>
      <c r="K225" s="1246"/>
      <c r="L225" s="1247"/>
      <c r="M225" s="742"/>
      <c r="N225" s="1933" t="s">
        <v>659</v>
      </c>
      <c r="O225" s="762">
        <f>E225</f>
        <v>0</v>
      </c>
      <c r="P225" s="762">
        <f>F225</f>
        <v>0</v>
      </c>
      <c r="Q225" s="762">
        <f>G225</f>
        <v>0</v>
      </c>
      <c r="R225" s="762">
        <f>H225</f>
        <v>0</v>
      </c>
      <c r="S225" s="762" t="str">
        <f>I225</f>
        <v xml:space="preserve"> </v>
      </c>
      <c r="T225" s="762" t="s">
        <v>567</v>
      </c>
      <c r="U225" s="762"/>
      <c r="V225" s="763"/>
      <c r="W225" s="742"/>
      <c r="X225" s="742"/>
      <c r="Y225" s="676"/>
      <c r="Z225" s="676"/>
      <c r="AA225" s="676"/>
      <c r="AB225" s="676"/>
      <c r="AC225" s="676"/>
      <c r="AD225" s="676"/>
      <c r="AE225" s="676"/>
      <c r="AF225" s="676"/>
      <c r="AG225" s="677"/>
    </row>
    <row r="226" spans="1:33" s="355" customFormat="1" ht="14.4" thickBot="1">
      <c r="A226" s="357"/>
      <c r="B226" s="357"/>
      <c r="C226" s="358"/>
      <c r="D226" s="761"/>
      <c r="E226" s="762" t="s">
        <v>721</v>
      </c>
      <c r="F226" s="762" t="s">
        <v>721</v>
      </c>
      <c r="G226" s="762" t="s">
        <v>721</v>
      </c>
      <c r="H226" s="762" t="s">
        <v>721</v>
      </c>
      <c r="I226" s="762" t="s">
        <v>721</v>
      </c>
      <c r="J226" s="1246" t="s">
        <v>750</v>
      </c>
      <c r="K226" s="762" t="s">
        <v>750</v>
      </c>
      <c r="L226" s="763" t="s">
        <v>750</v>
      </c>
      <c r="M226" s="742"/>
      <c r="N226" s="1934"/>
      <c r="O226" s="762" t="s">
        <v>525</v>
      </c>
      <c r="P226" s="762" t="s">
        <v>525</v>
      </c>
      <c r="Q226" s="762" t="s">
        <v>525</v>
      </c>
      <c r="R226" s="762" t="s">
        <v>721</v>
      </c>
      <c r="S226" s="762" t="s">
        <v>721</v>
      </c>
      <c r="T226" s="762" t="s">
        <v>750</v>
      </c>
      <c r="U226" s="762"/>
      <c r="V226" s="763"/>
      <c r="W226" s="470"/>
      <c r="X226" s="581"/>
      <c r="Y226" s="676"/>
      <c r="Z226" s="676"/>
      <c r="AA226" s="676"/>
      <c r="AB226" s="676"/>
      <c r="AC226" s="676"/>
      <c r="AD226" s="676"/>
      <c r="AE226" s="676"/>
      <c r="AF226" s="676"/>
      <c r="AG226" s="677"/>
    </row>
    <row r="227" spans="1:33" s="355" customFormat="1" ht="21.6">
      <c r="A227" s="357"/>
      <c r="B227" s="357"/>
      <c r="C227" s="740" t="s">
        <v>123</v>
      </c>
      <c r="D227" s="1081" t="s">
        <v>305</v>
      </c>
      <c r="E227" s="1803">
        <v>0</v>
      </c>
      <c r="F227" s="1803">
        <v>0</v>
      </c>
      <c r="G227" s="1803">
        <v>0</v>
      </c>
      <c r="H227" s="1506">
        <v>0</v>
      </c>
      <c r="I227" s="1507"/>
      <c r="J227" s="1988">
        <v>1735.3838741183572</v>
      </c>
      <c r="K227" s="1509"/>
      <c r="L227" s="1510"/>
      <c r="M227" s="1324"/>
      <c r="N227" s="465"/>
      <c r="O227" s="470">
        <f t="shared" ref="O227:V227" si="83">E227</f>
        <v>0</v>
      </c>
      <c r="P227" s="470">
        <f t="shared" si="83"/>
        <v>0</v>
      </c>
      <c r="Q227" s="470">
        <f t="shared" si="83"/>
        <v>0</v>
      </c>
      <c r="R227" s="470">
        <f t="shared" si="83"/>
        <v>0</v>
      </c>
      <c r="S227" s="470">
        <f t="shared" si="83"/>
        <v>0</v>
      </c>
      <c r="T227" s="470">
        <v>142845.30308183149</v>
      </c>
      <c r="U227" s="470">
        <f t="shared" si="83"/>
        <v>0</v>
      </c>
      <c r="V227" s="1513">
        <f t="shared" si="83"/>
        <v>0</v>
      </c>
      <c r="W227" s="470"/>
      <c r="X227" s="581"/>
      <c r="Y227" s="676"/>
      <c r="Z227" s="676"/>
      <c r="AA227" s="676"/>
      <c r="AB227" s="676"/>
      <c r="AC227" s="676"/>
      <c r="AD227" s="676"/>
      <c r="AE227" s="676"/>
      <c r="AF227" s="676"/>
      <c r="AG227" s="677"/>
    </row>
    <row r="228" spans="1:33" s="355" customFormat="1" ht="13.8">
      <c r="A228" s="357"/>
      <c r="B228" s="357"/>
      <c r="C228" s="614" t="s">
        <v>1295</v>
      </c>
      <c r="D228" s="1081" t="s">
        <v>305</v>
      </c>
      <c r="E228" s="1803">
        <v>0</v>
      </c>
      <c r="F228" s="1803">
        <v>0</v>
      </c>
      <c r="G228" s="1803">
        <v>0</v>
      </c>
      <c r="H228" s="1506">
        <v>0</v>
      </c>
      <c r="I228" s="1507"/>
      <c r="J228" s="1988">
        <v>0</v>
      </c>
      <c r="K228" s="1509"/>
      <c r="L228" s="1510"/>
      <c r="M228" s="1325"/>
      <c r="N228" s="465"/>
      <c r="O228" s="470">
        <f t="shared" ref="O228:O239" si="84">O227+E228</f>
        <v>0</v>
      </c>
      <c r="P228" s="470">
        <f t="shared" ref="P228:P239" si="85">P227+F228</f>
        <v>0</v>
      </c>
      <c r="Q228" s="470">
        <f t="shared" ref="Q228:Q239" si="86">Q227+G228</f>
        <v>0</v>
      </c>
      <c r="R228" s="470">
        <f t="shared" ref="R228:R239" si="87">R227+H228</f>
        <v>0</v>
      </c>
      <c r="S228" s="470">
        <f t="shared" ref="S228:S239" si="88">S227+I228</f>
        <v>0</v>
      </c>
      <c r="T228" s="470">
        <v>0</v>
      </c>
      <c r="U228" s="470">
        <f t="shared" ref="U228:U239" si="89">U227+K228</f>
        <v>0</v>
      </c>
      <c r="V228" s="1513">
        <f t="shared" ref="V228:V239" si="90">V227+L228</f>
        <v>0</v>
      </c>
      <c r="W228" s="470"/>
      <c r="X228" s="581"/>
      <c r="Y228" s="676"/>
      <c r="Z228" s="676"/>
      <c r="AA228" s="676"/>
      <c r="AB228" s="676"/>
      <c r="AC228" s="676"/>
      <c r="AD228" s="676"/>
      <c r="AE228" s="676"/>
      <c r="AF228" s="676"/>
      <c r="AG228" s="677"/>
    </row>
    <row r="229" spans="1:33" s="355" customFormat="1" ht="13.8">
      <c r="A229" s="357"/>
      <c r="B229" s="357"/>
      <c r="C229" s="358" t="s">
        <v>327</v>
      </c>
      <c r="D229" s="1081" t="s">
        <v>305</v>
      </c>
      <c r="E229" s="1803">
        <v>0</v>
      </c>
      <c r="F229" s="1803">
        <v>0</v>
      </c>
      <c r="G229" s="1803">
        <v>0</v>
      </c>
      <c r="H229" s="1506">
        <v>0</v>
      </c>
      <c r="I229" s="1507"/>
      <c r="J229" s="1988">
        <v>0</v>
      </c>
      <c r="K229" s="1509"/>
      <c r="L229" s="1510"/>
      <c r="M229" s="1325"/>
      <c r="N229" s="465"/>
      <c r="O229" s="470">
        <f t="shared" si="84"/>
        <v>0</v>
      </c>
      <c r="P229" s="470">
        <f t="shared" si="85"/>
        <v>0</v>
      </c>
      <c r="Q229" s="470">
        <f t="shared" si="86"/>
        <v>0</v>
      </c>
      <c r="R229" s="470">
        <f t="shared" si="87"/>
        <v>0</v>
      </c>
      <c r="S229" s="470">
        <f t="shared" si="88"/>
        <v>0</v>
      </c>
      <c r="T229" s="470">
        <v>0</v>
      </c>
      <c r="U229" s="470">
        <f t="shared" si="89"/>
        <v>0</v>
      </c>
      <c r="V229" s="1513">
        <f t="shared" si="90"/>
        <v>0</v>
      </c>
      <c r="W229" s="470"/>
      <c r="X229" s="581"/>
      <c r="Y229" s="676"/>
      <c r="Z229" s="676"/>
      <c r="AA229" s="676"/>
      <c r="AB229" s="676"/>
      <c r="AC229" s="676"/>
      <c r="AD229" s="676"/>
      <c r="AE229" s="676"/>
      <c r="AF229" s="676"/>
      <c r="AG229" s="677"/>
    </row>
    <row r="230" spans="1:33" s="355" customFormat="1" ht="13.8">
      <c r="A230" s="357"/>
      <c r="B230" s="357"/>
      <c r="C230" s="358" t="s">
        <v>328</v>
      </c>
      <c r="D230" s="1081" t="s">
        <v>305</v>
      </c>
      <c r="E230" s="1803">
        <v>0</v>
      </c>
      <c r="F230" s="1803">
        <v>0</v>
      </c>
      <c r="G230" s="1803">
        <v>0</v>
      </c>
      <c r="H230" s="1506">
        <v>0</v>
      </c>
      <c r="I230" s="1507"/>
      <c r="J230" s="1988">
        <v>0</v>
      </c>
      <c r="K230" s="1509"/>
      <c r="L230" s="1510"/>
      <c r="M230" s="1325"/>
      <c r="N230" s="465"/>
      <c r="O230" s="470">
        <f t="shared" si="84"/>
        <v>0</v>
      </c>
      <c r="P230" s="470">
        <f t="shared" si="85"/>
        <v>0</v>
      </c>
      <c r="Q230" s="470">
        <f t="shared" si="86"/>
        <v>0</v>
      </c>
      <c r="R230" s="470">
        <f t="shared" si="87"/>
        <v>0</v>
      </c>
      <c r="S230" s="470">
        <f t="shared" si="88"/>
        <v>0</v>
      </c>
      <c r="T230" s="470">
        <v>0</v>
      </c>
      <c r="U230" s="470">
        <f t="shared" si="89"/>
        <v>0</v>
      </c>
      <c r="V230" s="1513">
        <f t="shared" si="90"/>
        <v>0</v>
      </c>
      <c r="W230" s="470"/>
      <c r="X230" s="581"/>
      <c r="Y230" s="676"/>
      <c r="Z230" s="676"/>
      <c r="AA230" s="676"/>
      <c r="AB230" s="676"/>
      <c r="AC230" s="676"/>
      <c r="AD230" s="676"/>
      <c r="AE230" s="676"/>
      <c r="AF230" s="676"/>
      <c r="AG230" s="677"/>
    </row>
    <row r="231" spans="1:33" s="355" customFormat="1" ht="13.8">
      <c r="A231" s="357"/>
      <c r="B231" s="357"/>
      <c r="C231" s="358" t="s">
        <v>329</v>
      </c>
      <c r="D231" s="1082" t="s">
        <v>305</v>
      </c>
      <c r="E231" s="1803">
        <v>0</v>
      </c>
      <c r="F231" s="1803">
        <v>0</v>
      </c>
      <c r="G231" s="1803">
        <v>0</v>
      </c>
      <c r="H231" s="1506">
        <v>0</v>
      </c>
      <c r="I231" s="1507"/>
      <c r="J231" s="1988">
        <v>0</v>
      </c>
      <c r="K231" s="1509"/>
      <c r="L231" s="1510"/>
      <c r="M231" s="1325"/>
      <c r="N231" s="465"/>
      <c r="O231" s="470">
        <f t="shared" si="84"/>
        <v>0</v>
      </c>
      <c r="P231" s="470">
        <f t="shared" si="85"/>
        <v>0</v>
      </c>
      <c r="Q231" s="470">
        <f t="shared" si="86"/>
        <v>0</v>
      </c>
      <c r="R231" s="470">
        <f t="shared" si="87"/>
        <v>0</v>
      </c>
      <c r="S231" s="470">
        <f t="shared" si="88"/>
        <v>0</v>
      </c>
      <c r="T231" s="470">
        <v>0</v>
      </c>
      <c r="U231" s="470">
        <f t="shared" si="89"/>
        <v>0</v>
      </c>
      <c r="V231" s="1513">
        <f t="shared" si="90"/>
        <v>0</v>
      </c>
      <c r="W231" s="470"/>
      <c r="X231" s="581"/>
      <c r="Y231" s="676"/>
      <c r="Z231" s="676"/>
      <c r="AA231" s="676"/>
      <c r="AB231" s="676"/>
      <c r="AC231" s="676"/>
      <c r="AD231" s="676"/>
      <c r="AE231" s="676"/>
      <c r="AF231" s="676"/>
      <c r="AG231" s="677"/>
    </row>
    <row r="232" spans="1:33" s="355" customFormat="1" ht="13.8">
      <c r="A232" s="357"/>
      <c r="B232" s="357"/>
      <c r="C232" s="358" t="s">
        <v>296</v>
      </c>
      <c r="D232" s="1082" t="s">
        <v>305</v>
      </c>
      <c r="E232" s="1803">
        <v>0</v>
      </c>
      <c r="F232" s="1803">
        <v>0</v>
      </c>
      <c r="G232" s="1803">
        <v>0</v>
      </c>
      <c r="H232" s="1506">
        <v>0</v>
      </c>
      <c r="I232" s="1507"/>
      <c r="J232" s="1988">
        <v>0</v>
      </c>
      <c r="K232" s="1509"/>
      <c r="L232" s="1510"/>
      <c r="M232" s="1325"/>
      <c r="N232" s="465"/>
      <c r="O232" s="470">
        <f t="shared" si="84"/>
        <v>0</v>
      </c>
      <c r="P232" s="470">
        <f t="shared" si="85"/>
        <v>0</v>
      </c>
      <c r="Q232" s="470">
        <f t="shared" si="86"/>
        <v>0</v>
      </c>
      <c r="R232" s="470">
        <f t="shared" si="87"/>
        <v>0</v>
      </c>
      <c r="S232" s="470">
        <f t="shared" si="88"/>
        <v>0</v>
      </c>
      <c r="T232" s="470">
        <v>0</v>
      </c>
      <c r="U232" s="470">
        <f t="shared" si="89"/>
        <v>0</v>
      </c>
      <c r="V232" s="1513">
        <f t="shared" si="90"/>
        <v>0</v>
      </c>
      <c r="W232" s="470"/>
      <c r="X232" s="581"/>
      <c r="Y232" s="676"/>
      <c r="Z232" s="676"/>
      <c r="AA232" s="676"/>
      <c r="AB232" s="676"/>
      <c r="AC232" s="676"/>
      <c r="AD232" s="676"/>
      <c r="AE232" s="676"/>
      <c r="AF232" s="676"/>
      <c r="AG232" s="677"/>
    </row>
    <row r="233" spans="1:33" s="355" customFormat="1" ht="13.8">
      <c r="A233" s="357"/>
      <c r="B233" s="357"/>
      <c r="C233" s="358" t="s">
        <v>330</v>
      </c>
      <c r="D233" s="1082" t="s">
        <v>305</v>
      </c>
      <c r="E233" s="1803">
        <v>0</v>
      </c>
      <c r="F233" s="1803">
        <v>0</v>
      </c>
      <c r="G233" s="1803">
        <v>0</v>
      </c>
      <c r="H233" s="1506">
        <v>0</v>
      </c>
      <c r="I233" s="1507"/>
      <c r="J233" s="1988">
        <v>0</v>
      </c>
      <c r="K233" s="1509"/>
      <c r="L233" s="1510"/>
      <c r="M233" s="1325"/>
      <c r="N233" s="465"/>
      <c r="O233" s="470">
        <f t="shared" si="84"/>
        <v>0</v>
      </c>
      <c r="P233" s="470">
        <f t="shared" si="85"/>
        <v>0</v>
      </c>
      <c r="Q233" s="470">
        <f t="shared" si="86"/>
        <v>0</v>
      </c>
      <c r="R233" s="470">
        <f t="shared" si="87"/>
        <v>0</v>
      </c>
      <c r="S233" s="470">
        <f t="shared" si="88"/>
        <v>0</v>
      </c>
      <c r="T233" s="470">
        <v>0</v>
      </c>
      <c r="U233" s="470">
        <f t="shared" si="89"/>
        <v>0</v>
      </c>
      <c r="V233" s="1513">
        <f t="shared" si="90"/>
        <v>0</v>
      </c>
      <c r="W233" s="470"/>
      <c r="X233" s="581"/>
      <c r="Y233" s="676"/>
      <c r="Z233" s="676"/>
      <c r="AA233" s="676"/>
      <c r="AB233" s="676"/>
      <c r="AC233" s="676"/>
      <c r="AD233" s="676"/>
      <c r="AE233" s="676"/>
      <c r="AF233" s="676"/>
      <c r="AG233" s="677"/>
    </row>
    <row r="234" spans="1:33" s="355" customFormat="1" ht="13.8">
      <c r="A234" s="357"/>
      <c r="B234" s="357"/>
      <c r="C234" s="358" t="s">
        <v>331</v>
      </c>
      <c r="D234" s="1082" t="s">
        <v>305</v>
      </c>
      <c r="E234" s="1803">
        <v>0</v>
      </c>
      <c r="F234" s="1803">
        <v>0</v>
      </c>
      <c r="G234" s="1803">
        <v>0</v>
      </c>
      <c r="H234" s="1506">
        <v>0</v>
      </c>
      <c r="I234" s="1507"/>
      <c r="J234" s="1988">
        <v>0</v>
      </c>
      <c r="K234" s="1509"/>
      <c r="L234" s="1510"/>
      <c r="M234" s="1325"/>
      <c r="N234" s="465"/>
      <c r="O234" s="470">
        <f t="shared" si="84"/>
        <v>0</v>
      </c>
      <c r="P234" s="470">
        <f t="shared" si="85"/>
        <v>0</v>
      </c>
      <c r="Q234" s="470">
        <f t="shared" si="86"/>
        <v>0</v>
      </c>
      <c r="R234" s="470">
        <f t="shared" si="87"/>
        <v>0</v>
      </c>
      <c r="S234" s="470">
        <f t="shared" si="88"/>
        <v>0</v>
      </c>
      <c r="T234" s="470">
        <v>0</v>
      </c>
      <c r="U234" s="470">
        <f t="shared" si="89"/>
        <v>0</v>
      </c>
      <c r="V234" s="1513">
        <f t="shared" si="90"/>
        <v>0</v>
      </c>
      <c r="W234" s="470"/>
      <c r="X234" s="581"/>
      <c r="Y234" s="676"/>
      <c r="Z234" s="676"/>
      <c r="AA234" s="676"/>
      <c r="AB234" s="676"/>
      <c r="AC234" s="676"/>
      <c r="AD234" s="676"/>
      <c r="AE234" s="676"/>
      <c r="AF234" s="676"/>
      <c r="AG234" s="677"/>
    </row>
    <row r="235" spans="1:33" s="355" customFormat="1" ht="13.8">
      <c r="A235" s="357"/>
      <c r="B235" s="357"/>
      <c r="C235" s="358" t="s">
        <v>332</v>
      </c>
      <c r="D235" s="1082" t="s">
        <v>305</v>
      </c>
      <c r="E235" s="1803">
        <v>0</v>
      </c>
      <c r="F235" s="1803">
        <v>0</v>
      </c>
      <c r="G235" s="1803">
        <v>0</v>
      </c>
      <c r="H235" s="1506">
        <v>0</v>
      </c>
      <c r="I235" s="1506"/>
      <c r="J235" s="1988">
        <v>0</v>
      </c>
      <c r="K235" s="1509"/>
      <c r="L235" s="1510"/>
      <c r="M235" s="1325"/>
      <c r="N235" s="465"/>
      <c r="O235" s="470">
        <f t="shared" si="84"/>
        <v>0</v>
      </c>
      <c r="P235" s="470">
        <f t="shared" si="85"/>
        <v>0</v>
      </c>
      <c r="Q235" s="470">
        <f t="shared" si="86"/>
        <v>0</v>
      </c>
      <c r="R235" s="470">
        <f t="shared" si="87"/>
        <v>0</v>
      </c>
      <c r="S235" s="470">
        <f t="shared" si="88"/>
        <v>0</v>
      </c>
      <c r="T235" s="470">
        <v>0</v>
      </c>
      <c r="U235" s="470">
        <f t="shared" si="89"/>
        <v>0</v>
      </c>
      <c r="V235" s="1513">
        <f t="shared" si="90"/>
        <v>0</v>
      </c>
      <c r="W235" s="470"/>
      <c r="X235" s="581"/>
      <c r="Y235" s="754"/>
      <c r="Z235" s="743"/>
      <c r="AA235" s="676"/>
      <c r="AB235" s="676"/>
      <c r="AC235" s="676"/>
      <c r="AD235" s="676"/>
      <c r="AE235" s="676"/>
      <c r="AF235" s="676"/>
      <c r="AG235" s="677"/>
    </row>
    <row r="236" spans="1:33" s="355" customFormat="1" ht="13.8">
      <c r="A236" s="357"/>
      <c r="B236" s="357"/>
      <c r="C236" s="358" t="s">
        <v>333</v>
      </c>
      <c r="D236" s="1082" t="s">
        <v>305</v>
      </c>
      <c r="E236" s="1803">
        <v>0</v>
      </c>
      <c r="F236" s="1803">
        <v>0</v>
      </c>
      <c r="G236" s="1803">
        <v>0</v>
      </c>
      <c r="H236" s="1506">
        <v>0</v>
      </c>
      <c r="I236" s="1506"/>
      <c r="J236" s="1988">
        <v>0</v>
      </c>
      <c r="K236" s="1509"/>
      <c r="L236" s="1510"/>
      <c r="M236" s="1325"/>
      <c r="N236" s="465"/>
      <c r="O236" s="470">
        <f t="shared" si="84"/>
        <v>0</v>
      </c>
      <c r="P236" s="470">
        <f t="shared" si="85"/>
        <v>0</v>
      </c>
      <c r="Q236" s="470">
        <f t="shared" si="86"/>
        <v>0</v>
      </c>
      <c r="R236" s="470">
        <f t="shared" si="87"/>
        <v>0</v>
      </c>
      <c r="S236" s="470">
        <f t="shared" si="88"/>
        <v>0</v>
      </c>
      <c r="T236" s="470">
        <v>0</v>
      </c>
      <c r="U236" s="470">
        <f t="shared" si="89"/>
        <v>0</v>
      </c>
      <c r="V236" s="1513">
        <f t="shared" si="90"/>
        <v>0</v>
      </c>
      <c r="W236" s="470"/>
      <c r="X236" s="581"/>
      <c r="Y236" s="753"/>
      <c r="Z236" s="743"/>
      <c r="AA236" s="676"/>
      <c r="AB236" s="676"/>
      <c r="AC236" s="676"/>
      <c r="AD236" s="676"/>
      <c r="AE236" s="676"/>
      <c r="AF236" s="676"/>
      <c r="AG236" s="677"/>
    </row>
    <row r="237" spans="1:33" s="2" customFormat="1" ht="13.8">
      <c r="A237" s="357"/>
      <c r="B237" s="357"/>
      <c r="C237" s="358" t="s">
        <v>334</v>
      </c>
      <c r="D237" s="1082" t="s">
        <v>305</v>
      </c>
      <c r="E237" s="1803">
        <v>0</v>
      </c>
      <c r="F237" s="1803">
        <v>0</v>
      </c>
      <c r="G237" s="1803">
        <v>0</v>
      </c>
      <c r="H237" s="1506">
        <v>0</v>
      </c>
      <c r="I237" s="1506"/>
      <c r="J237" s="1988">
        <v>0</v>
      </c>
      <c r="K237" s="1509"/>
      <c r="L237" s="1510"/>
      <c r="M237" s="1325"/>
      <c r="N237" s="465"/>
      <c r="O237" s="470">
        <f t="shared" si="84"/>
        <v>0</v>
      </c>
      <c r="P237" s="470">
        <f t="shared" si="85"/>
        <v>0</v>
      </c>
      <c r="Q237" s="470">
        <f t="shared" si="86"/>
        <v>0</v>
      </c>
      <c r="R237" s="470">
        <f t="shared" si="87"/>
        <v>0</v>
      </c>
      <c r="S237" s="470">
        <f t="shared" si="88"/>
        <v>0</v>
      </c>
      <c r="T237" s="470">
        <v>0</v>
      </c>
      <c r="U237" s="470">
        <f t="shared" si="89"/>
        <v>0</v>
      </c>
      <c r="V237" s="1513">
        <f t="shared" si="90"/>
        <v>0</v>
      </c>
      <c r="W237" s="470"/>
      <c r="X237" s="1388"/>
      <c r="Y237" s="753"/>
      <c r="Z237" s="743"/>
      <c r="AA237" s="676"/>
      <c r="AB237" s="676"/>
      <c r="AC237" s="676"/>
      <c r="AD237" s="676"/>
      <c r="AE237" s="676"/>
      <c r="AF237" s="374"/>
      <c r="AG237" s="739"/>
    </row>
    <row r="238" spans="1:33" s="2" customFormat="1" ht="13.8">
      <c r="A238" s="357"/>
      <c r="B238" s="357"/>
      <c r="C238" s="358" t="s">
        <v>335</v>
      </c>
      <c r="D238" s="1082" t="s">
        <v>305</v>
      </c>
      <c r="E238" s="1803">
        <v>0</v>
      </c>
      <c r="F238" s="1803">
        <v>0</v>
      </c>
      <c r="G238" s="1803">
        <v>0</v>
      </c>
      <c r="H238" s="1506">
        <v>0</v>
      </c>
      <c r="I238" s="1506"/>
      <c r="J238" s="1988">
        <v>0</v>
      </c>
      <c r="K238" s="1509"/>
      <c r="L238" s="1510"/>
      <c r="M238" s="1325"/>
      <c r="N238" s="465"/>
      <c r="O238" s="470">
        <f t="shared" si="84"/>
        <v>0</v>
      </c>
      <c r="P238" s="470">
        <f t="shared" si="85"/>
        <v>0</v>
      </c>
      <c r="Q238" s="470">
        <f t="shared" si="86"/>
        <v>0</v>
      </c>
      <c r="R238" s="470">
        <f t="shared" si="87"/>
        <v>0</v>
      </c>
      <c r="S238" s="470">
        <f t="shared" si="88"/>
        <v>0</v>
      </c>
      <c r="T238" s="470">
        <v>0</v>
      </c>
      <c r="U238" s="470">
        <f t="shared" si="89"/>
        <v>0</v>
      </c>
      <c r="V238" s="1513">
        <f t="shared" si="90"/>
        <v>0</v>
      </c>
      <c r="W238" s="470"/>
      <c r="X238" s="1388"/>
      <c r="Y238" s="753"/>
      <c r="Z238" s="743"/>
      <c r="AA238" s="676"/>
      <c r="AB238" s="374"/>
      <c r="AC238" s="374"/>
      <c r="AD238" s="374"/>
      <c r="AE238" s="374"/>
      <c r="AF238" s="374"/>
      <c r="AG238" s="739"/>
    </row>
    <row r="239" spans="1:33" s="2" customFormat="1" ht="14.4" thickBot="1">
      <c r="A239" s="357"/>
      <c r="B239" s="357"/>
      <c r="C239" s="358" t="s">
        <v>336</v>
      </c>
      <c r="D239" s="764" t="s">
        <v>305</v>
      </c>
      <c r="E239" s="1804">
        <v>0</v>
      </c>
      <c r="F239" s="1804">
        <v>0</v>
      </c>
      <c r="G239" s="1804">
        <v>0</v>
      </c>
      <c r="H239" s="1508">
        <v>0</v>
      </c>
      <c r="I239" s="1508"/>
      <c r="J239" s="1989">
        <v>0</v>
      </c>
      <c r="K239" s="1511"/>
      <c r="L239" s="1512"/>
      <c r="M239" s="1325"/>
      <c r="N239" s="1767"/>
      <c r="O239" s="1007">
        <f t="shared" si="84"/>
        <v>0</v>
      </c>
      <c r="P239" s="1007">
        <f t="shared" si="85"/>
        <v>0</v>
      </c>
      <c r="Q239" s="1007">
        <f t="shared" si="86"/>
        <v>0</v>
      </c>
      <c r="R239" s="1007">
        <f t="shared" si="87"/>
        <v>0</v>
      </c>
      <c r="S239" s="1007">
        <f t="shared" si="88"/>
        <v>0</v>
      </c>
      <c r="T239" s="1007">
        <v>0</v>
      </c>
      <c r="U239" s="1007">
        <f t="shared" si="89"/>
        <v>0</v>
      </c>
      <c r="V239" s="999">
        <f t="shared" si="90"/>
        <v>0</v>
      </c>
      <c r="W239" s="1326"/>
      <c r="X239" s="1208"/>
      <c r="Y239" s="753"/>
      <c r="Z239" s="743"/>
      <c r="AA239" s="676"/>
      <c r="AB239" s="374"/>
      <c r="AC239" s="374"/>
      <c r="AD239" s="374"/>
      <c r="AE239" s="374"/>
      <c r="AF239" s="374"/>
      <c r="AG239" s="739"/>
    </row>
    <row r="240" spans="1:33" s="2" customFormat="1" ht="13.8">
      <c r="A240" s="357"/>
      <c r="B240" s="357"/>
      <c r="C240" s="358" t="s">
        <v>603</v>
      </c>
      <c r="D240" s="376" t="s">
        <v>525</v>
      </c>
      <c r="E240" s="1364">
        <f t="shared" ref="E240:L240" si="91">SUM(E227:E239)</f>
        <v>0</v>
      </c>
      <c r="F240" s="1364">
        <f t="shared" si="91"/>
        <v>0</v>
      </c>
      <c r="G240" s="1364">
        <f t="shared" si="91"/>
        <v>0</v>
      </c>
      <c r="H240" s="1364">
        <f t="shared" si="91"/>
        <v>0</v>
      </c>
      <c r="I240" s="1364">
        <f t="shared" si="91"/>
        <v>0</v>
      </c>
      <c r="J240" s="1364">
        <f>SUM(J227:J239)</f>
        <v>1735.3838741183572</v>
      </c>
      <c r="K240" s="1364">
        <f t="shared" si="91"/>
        <v>0</v>
      </c>
      <c r="L240" s="1364">
        <f t="shared" si="91"/>
        <v>0</v>
      </c>
      <c r="M240" s="1207"/>
      <c r="O240" s="1326">
        <f t="shared" ref="O240:V240" si="92">SUM(O227:O239)</f>
        <v>0</v>
      </c>
      <c r="P240" s="1326">
        <f t="shared" si="92"/>
        <v>0</v>
      </c>
      <c r="Q240" s="1326">
        <f t="shared" si="92"/>
        <v>0</v>
      </c>
      <c r="R240" s="1326">
        <f t="shared" si="92"/>
        <v>0</v>
      </c>
      <c r="S240" s="1326">
        <f t="shared" si="92"/>
        <v>0</v>
      </c>
      <c r="T240" s="1326">
        <f t="shared" si="92"/>
        <v>142845.30308183149</v>
      </c>
      <c r="U240" s="1326">
        <f t="shared" si="92"/>
        <v>0</v>
      </c>
      <c r="V240" s="1326">
        <f t="shared" si="92"/>
        <v>0</v>
      </c>
      <c r="W240" s="757"/>
      <c r="X240" s="757"/>
      <c r="Y240" s="753"/>
      <c r="Z240" s="743"/>
      <c r="AA240" s="676"/>
      <c r="AB240" s="374"/>
      <c r="AC240" s="374"/>
      <c r="AD240" s="374"/>
      <c r="AE240" s="374"/>
      <c r="AF240" s="374"/>
      <c r="AG240" s="739"/>
    </row>
    <row r="241" spans="1:33" s="2" customFormat="1" ht="13.8">
      <c r="A241" s="357"/>
      <c r="B241" s="357"/>
      <c r="C241" s="358"/>
      <c r="D241" s="212"/>
      <c r="E241" s="443"/>
      <c r="F241" s="443"/>
      <c r="G241" s="376"/>
      <c r="H241" s="376"/>
      <c r="I241" s="376"/>
      <c r="J241" s="376" t="s">
        <v>525</v>
      </c>
      <c r="K241" s="376"/>
      <c r="N241" s="757"/>
      <c r="O241" s="757">
        <f t="shared" ref="O241:V241" si="93">O240/13</f>
        <v>0</v>
      </c>
      <c r="P241" s="757">
        <f t="shared" si="93"/>
        <v>0</v>
      </c>
      <c r="Q241" s="757">
        <f t="shared" si="93"/>
        <v>0</v>
      </c>
      <c r="R241" s="757">
        <f t="shared" si="93"/>
        <v>0</v>
      </c>
      <c r="S241" s="757">
        <f t="shared" si="93"/>
        <v>0</v>
      </c>
      <c r="T241" s="757">
        <f t="shared" si="93"/>
        <v>10988.10023706396</v>
      </c>
      <c r="U241" s="757">
        <f t="shared" si="93"/>
        <v>0</v>
      </c>
      <c r="V241" s="757">
        <f t="shared" si="93"/>
        <v>0</v>
      </c>
      <c r="W241" s="676"/>
      <c r="X241" s="487"/>
      <c r="Y241" s="753"/>
      <c r="Z241" s="743"/>
      <c r="AA241" s="676"/>
      <c r="AB241" s="374"/>
      <c r="AC241" s="374"/>
      <c r="AD241" s="374"/>
      <c r="AE241" s="374"/>
      <c r="AF241" s="374"/>
      <c r="AG241" s="739"/>
    </row>
    <row r="242" spans="1:33" s="2" customFormat="1" ht="13.8">
      <c r="A242" s="484"/>
      <c r="B242" s="451"/>
      <c r="C242" s="451"/>
      <c r="D242" s="451"/>
      <c r="E242" s="741"/>
      <c r="F242" s="373"/>
      <c r="G242" s="373"/>
      <c r="H242" s="373"/>
      <c r="I242" s="373"/>
      <c r="J242" s="452"/>
      <c r="K242" s="452"/>
      <c r="L242" s="373"/>
      <c r="M242" s="374"/>
      <c r="P242" s="457"/>
      <c r="Q242" s="374"/>
      <c r="U242" s="676"/>
      <c r="V242" s="487"/>
      <c r="W242" s="753"/>
      <c r="X242" s="743"/>
      <c r="Y242" s="676"/>
      <c r="Z242" s="676"/>
      <c r="AA242" s="374"/>
      <c r="AB242" s="374"/>
      <c r="AC242" s="374"/>
      <c r="AD242" s="374"/>
      <c r="AE242" s="374"/>
      <c r="AF242" s="374"/>
      <c r="AG242" s="739"/>
    </row>
    <row r="243" spans="1:33" ht="13.8">
      <c r="A243" s="357"/>
      <c r="B243" s="357"/>
      <c r="C243" s="451"/>
      <c r="D243" s="451"/>
      <c r="E243" s="2"/>
      <c r="F243" s="374"/>
      <c r="G243" s="374"/>
      <c r="H243" s="374"/>
      <c r="I243" s="374"/>
      <c r="J243" s="374"/>
      <c r="K243" s="374"/>
      <c r="L243" s="374"/>
      <c r="M243" s="374"/>
      <c r="N243" s="374"/>
      <c r="O243" s="374"/>
      <c r="P243" s="376"/>
      <c r="Q243" s="374"/>
      <c r="R243" s="2"/>
      <c r="S243" s="2"/>
      <c r="T243" s="443"/>
      <c r="U243" s="676"/>
      <c r="V243" s="487"/>
      <c r="W243" s="753"/>
      <c r="X243" s="743"/>
      <c r="Y243" s="676"/>
      <c r="Z243" s="377"/>
      <c r="AA243" s="358"/>
      <c r="AB243" s="358"/>
      <c r="AC243" s="358"/>
      <c r="AD243" s="358"/>
      <c r="AE243" s="358"/>
      <c r="AF243" s="358"/>
      <c r="AG243" s="359"/>
    </row>
    <row r="244" spans="1:33" ht="14.4" thickBot="1">
      <c r="A244" s="357"/>
      <c r="B244" s="357"/>
      <c r="C244" s="357"/>
      <c r="D244" s="451"/>
      <c r="E244" s="374"/>
      <c r="F244" s="373" t="s">
        <v>618</v>
      </c>
      <c r="G244" s="374"/>
      <c r="H244" s="374"/>
      <c r="I244" s="374"/>
      <c r="J244" s="453"/>
      <c r="K244" s="374"/>
      <c r="L244" s="374"/>
      <c r="M244" s="374"/>
      <c r="N244" s="374"/>
      <c r="O244" s="374"/>
      <c r="P244" s="376"/>
      <c r="Q244" s="374"/>
      <c r="R244" s="2"/>
      <c r="S244" s="2"/>
      <c r="T244" s="2"/>
      <c r="U244" s="676"/>
      <c r="V244" s="487"/>
      <c r="W244" s="753"/>
      <c r="X244" s="743"/>
      <c r="Y244" s="676"/>
      <c r="Z244" s="377"/>
      <c r="AA244" s="358"/>
      <c r="AB244" s="358"/>
      <c r="AC244" s="358"/>
      <c r="AD244" s="358"/>
      <c r="AE244" s="358"/>
      <c r="AF244" s="358"/>
      <c r="AG244" s="359"/>
    </row>
    <row r="245" spans="1:33" ht="58.5" customHeight="1">
      <c r="A245" s="357"/>
      <c r="B245" s="357"/>
      <c r="C245" s="357"/>
      <c r="D245" s="1205" t="s">
        <v>952</v>
      </c>
      <c r="E245" s="1241" t="s">
        <v>684</v>
      </c>
      <c r="F245" s="1241" t="s">
        <v>483</v>
      </c>
      <c r="G245" s="1241" t="s">
        <v>743</v>
      </c>
      <c r="H245" s="1241" t="s">
        <v>484</v>
      </c>
      <c r="I245" s="1241" t="s">
        <v>748</v>
      </c>
      <c r="J245" s="1206" t="s">
        <v>463</v>
      </c>
      <c r="K245" s="1241" t="s">
        <v>461</v>
      </c>
      <c r="L245" s="1206" t="s">
        <v>462</v>
      </c>
      <c r="M245" s="1206" t="s">
        <v>884</v>
      </c>
      <c r="N245" s="1206" t="s">
        <v>396</v>
      </c>
      <c r="O245" s="1206" t="s">
        <v>882</v>
      </c>
      <c r="P245" s="1206" t="s">
        <v>883</v>
      </c>
      <c r="Q245" s="1206" t="s">
        <v>1216</v>
      </c>
      <c r="R245" s="1206" t="s">
        <v>1052</v>
      </c>
      <c r="S245" s="1206" t="s">
        <v>1089</v>
      </c>
      <c r="T245" s="1206" t="s">
        <v>1054</v>
      </c>
      <c r="U245" s="1206" t="s">
        <v>1055</v>
      </c>
      <c r="V245" s="1548" t="s">
        <v>1112</v>
      </c>
      <c r="W245" s="753"/>
      <c r="X245" s="743"/>
      <c r="Y245" s="676"/>
      <c r="Z245" s="377"/>
      <c r="AA245" s="358"/>
      <c r="AB245" s="358"/>
      <c r="AC245" s="358"/>
      <c r="AD245" s="358"/>
      <c r="AE245" s="358"/>
      <c r="AF245" s="358"/>
      <c r="AG245" s="359"/>
    </row>
    <row r="246" spans="1:33" ht="15" thickBot="1">
      <c r="A246" s="357"/>
      <c r="B246" s="357"/>
      <c r="C246" s="357"/>
      <c r="D246" s="1780">
        <v>248756431.18754366</v>
      </c>
      <c r="E246" s="1604">
        <v>232897.76083349524</v>
      </c>
      <c r="F246" s="1604">
        <v>830378.86258260277</v>
      </c>
      <c r="G246" s="1604">
        <v>638257.96395458793</v>
      </c>
      <c r="H246" s="1604">
        <v>524638.22183566168</v>
      </c>
      <c r="I246" s="1604">
        <v>570809.27928155684</v>
      </c>
      <c r="J246" s="1593">
        <v>4312573.0787385348</v>
      </c>
      <c r="K246" s="1593">
        <v>708599.05118682003</v>
      </c>
      <c r="L246" s="1593">
        <v>829757.0023110063</v>
      </c>
      <c r="M246" s="1593">
        <v>873129.57049475203</v>
      </c>
      <c r="N246" s="1593">
        <v>215061.6462524001</v>
      </c>
      <c r="O246" s="1593">
        <v>5257758.2527068593</v>
      </c>
      <c r="P246" s="1594">
        <v>2536533.2788691991</v>
      </c>
      <c r="Q246" s="1593">
        <v>126783830.14384449</v>
      </c>
      <c r="R246" s="1593">
        <v>2906503.4844738678</v>
      </c>
      <c r="S246" s="1593">
        <v>1873453.802241297</v>
      </c>
      <c r="T246" s="1593">
        <v>236160.44163342239</v>
      </c>
      <c r="U246" s="1595">
        <v>99179.662935664004</v>
      </c>
      <c r="V246" s="1596">
        <v>599355.15968422999</v>
      </c>
      <c r="W246" s="753"/>
      <c r="X246" s="743"/>
      <c r="Y246" s="676"/>
      <c r="Z246" s="377"/>
      <c r="AA246" s="358"/>
      <c r="AB246" s="358"/>
      <c r="AC246" s="358"/>
      <c r="AD246" s="358"/>
      <c r="AE246" s="358"/>
      <c r="AF246" s="358"/>
      <c r="AG246" s="359"/>
    </row>
    <row r="247" spans="1:33" ht="14.4" thickBot="1">
      <c r="A247" s="357"/>
      <c r="B247" s="357"/>
      <c r="C247" s="357"/>
      <c r="D247" s="451"/>
      <c r="E247" s="374"/>
      <c r="F247" s="374"/>
      <c r="G247" s="374"/>
      <c r="H247" s="374"/>
      <c r="I247" s="374"/>
      <c r="J247" s="2"/>
      <c r="K247" s="2"/>
      <c r="L247" s="2"/>
      <c r="R247" s="240"/>
      <c r="S247" s="377"/>
      <c r="T247" s="377"/>
      <c r="U247" s="377"/>
      <c r="V247" s="377"/>
      <c r="W247" s="753"/>
      <c r="X247" s="743"/>
      <c r="Y247" s="676"/>
      <c r="Z247" s="377"/>
      <c r="AA247" s="358"/>
      <c r="AB247" s="358"/>
      <c r="AC247" s="358"/>
      <c r="AD247" s="358"/>
      <c r="AE247" s="358"/>
      <c r="AF247" s="358"/>
      <c r="AG247" s="359"/>
    </row>
    <row r="248" spans="1:33" ht="26.4">
      <c r="A248" s="357"/>
      <c r="B248" s="357"/>
      <c r="C248" s="357"/>
      <c r="D248" s="742"/>
      <c r="E248" s="1781" t="s">
        <v>1113</v>
      </c>
      <c r="F248" s="1782" t="s">
        <v>1107</v>
      </c>
      <c r="G248" s="1241" t="s">
        <v>1146</v>
      </c>
      <c r="H248" s="1241" t="s">
        <v>1083</v>
      </c>
      <c r="I248" s="1782" t="s">
        <v>1108</v>
      </c>
      <c r="J248" s="1599" t="s">
        <v>1109</v>
      </c>
      <c r="K248" s="1241" t="s">
        <v>1138</v>
      </c>
      <c r="L248" s="1241" t="s">
        <v>1139</v>
      </c>
      <c r="M248" s="1241" t="s">
        <v>1110</v>
      </c>
      <c r="N248" s="1241" t="s">
        <v>1111</v>
      </c>
      <c r="O248" s="1241" t="s">
        <v>1147</v>
      </c>
      <c r="P248" s="1241" t="s">
        <v>1071</v>
      </c>
      <c r="Q248" s="1241" t="s">
        <v>1140</v>
      </c>
      <c r="R248" s="1241" t="s">
        <v>1092</v>
      </c>
      <c r="S248" s="1241" t="s">
        <v>1141</v>
      </c>
      <c r="T248" s="1241" t="s">
        <v>1142</v>
      </c>
      <c r="U248" s="1241" t="s">
        <v>1143</v>
      </c>
      <c r="V248" s="1850" t="s">
        <v>1161</v>
      </c>
      <c r="W248" s="753"/>
      <c r="X248" s="743"/>
      <c r="Y248" s="676"/>
      <c r="Z248" s="377"/>
      <c r="AA248" s="358"/>
      <c r="AB248" s="358"/>
      <c r="AC248" s="358"/>
      <c r="AD248" s="358"/>
      <c r="AE248" s="358"/>
      <c r="AF248" s="358"/>
      <c r="AG248" s="359"/>
    </row>
    <row r="249" spans="1:33" ht="15" thickBot="1">
      <c r="A249" s="357"/>
      <c r="B249" s="357"/>
      <c r="C249" s="357"/>
      <c r="D249" s="1784"/>
      <c r="E249" s="1785">
        <v>7371447.8439125186</v>
      </c>
      <c r="F249" s="1593">
        <v>52704.432716424031</v>
      </c>
      <c r="G249" s="1593">
        <v>1539876.8752103192</v>
      </c>
      <c r="H249" s="1593">
        <v>77610.917470411514</v>
      </c>
      <c r="I249" s="1593">
        <v>144403.86904960286</v>
      </c>
      <c r="J249" s="1593">
        <v>213223.39750852401</v>
      </c>
      <c r="K249" s="1593">
        <v>4346602.4493364692</v>
      </c>
      <c r="L249" s="1593">
        <v>398718.04019717308</v>
      </c>
      <c r="M249" s="1600">
        <v>3386692.646110063</v>
      </c>
      <c r="N249" s="1600">
        <v>1629180.8466864387</v>
      </c>
      <c r="O249" s="1600">
        <v>68384.586497148703</v>
      </c>
      <c r="P249" s="1600">
        <v>5268844.7414895883</v>
      </c>
      <c r="Q249" s="1600">
        <v>592520.65179333452</v>
      </c>
      <c r="R249" s="1600">
        <v>914891.80051415262</v>
      </c>
      <c r="S249" s="1600">
        <v>7195249.8542427588</v>
      </c>
      <c r="T249" s="1600">
        <v>1162931.8073910829</v>
      </c>
      <c r="U249" s="1593">
        <v>107648.42834070568</v>
      </c>
      <c r="V249" s="1851">
        <v>85566.671435952157</v>
      </c>
      <c r="W249" s="753"/>
      <c r="X249" s="743"/>
      <c r="Y249" s="676"/>
      <c r="Z249" s="377"/>
      <c r="AA249" s="358"/>
      <c r="AB249" s="358"/>
      <c r="AC249" s="358"/>
      <c r="AD249" s="358"/>
      <c r="AE249" s="358"/>
      <c r="AF249" s="358"/>
      <c r="AG249" s="359"/>
    </row>
    <row r="250" spans="1:33" ht="15" thickBot="1">
      <c r="A250" s="357"/>
      <c r="B250" s="357"/>
      <c r="C250" s="357"/>
      <c r="D250" s="1784"/>
      <c r="E250" s="1601"/>
      <c r="F250" s="1601"/>
      <c r="G250" s="1601"/>
      <c r="H250" s="1601"/>
      <c r="I250" s="1601"/>
      <c r="J250" s="1601"/>
      <c r="K250" s="1601"/>
      <c r="L250" s="1601"/>
      <c r="M250" s="1601"/>
      <c r="N250" s="1601"/>
      <c r="O250" s="1601"/>
      <c r="P250" s="1601"/>
      <c r="Q250" s="1601"/>
      <c r="R250" s="1601"/>
      <c r="S250" s="1601"/>
      <c r="T250" s="1601"/>
      <c r="U250" s="1601"/>
      <c r="V250" s="1601"/>
      <c r="W250" s="753"/>
      <c r="X250" s="743"/>
      <c r="Y250" s="676"/>
      <c r="Z250" s="377"/>
      <c r="AA250" s="358"/>
      <c r="AB250" s="358"/>
      <c r="AC250" s="358"/>
      <c r="AD250" s="358"/>
      <c r="AE250" s="358"/>
      <c r="AF250" s="358"/>
      <c r="AG250" s="359"/>
    </row>
    <row r="251" spans="1:33" ht="27" customHeight="1">
      <c r="A251" s="357"/>
      <c r="B251" s="357"/>
      <c r="C251" s="357"/>
      <c r="D251" s="1784"/>
      <c r="E251" s="1781" t="s">
        <v>1081</v>
      </c>
      <c r="F251" s="1782" t="s">
        <v>1217</v>
      </c>
      <c r="G251" s="1241" t="s">
        <v>1160</v>
      </c>
      <c r="H251" s="1783" t="s">
        <v>1100</v>
      </c>
      <c r="I251" s="1783" t="s">
        <v>1162</v>
      </c>
      <c r="J251" s="1783" t="s">
        <v>1218</v>
      </c>
      <c r="K251" s="1783" t="s">
        <v>1164</v>
      </c>
      <c r="L251" s="1783" t="s">
        <v>1165</v>
      </c>
      <c r="M251" s="1783" t="s">
        <v>1167</v>
      </c>
      <c r="N251" s="1783" t="s">
        <v>1168</v>
      </c>
      <c r="O251" s="1783" t="s">
        <v>1169</v>
      </c>
      <c r="P251" s="1783" t="s">
        <v>1170</v>
      </c>
      <c r="Q251" s="1783" t="s">
        <v>1096</v>
      </c>
      <c r="R251" s="1783" t="s">
        <v>1224</v>
      </c>
      <c r="S251" s="1783" t="s">
        <v>1242</v>
      </c>
      <c r="T251" s="1783" t="s">
        <v>1220</v>
      </c>
      <c r="U251" s="1783" t="s">
        <v>1240</v>
      </c>
      <c r="V251" s="1783" t="s">
        <v>1219</v>
      </c>
      <c r="W251" s="753"/>
      <c r="X251" s="743"/>
      <c r="Y251" s="676"/>
      <c r="Z251" s="377"/>
      <c r="AA251" s="358"/>
      <c r="AB251" s="358"/>
      <c r="AC251" s="358"/>
      <c r="AD251" s="358"/>
      <c r="AE251" s="358"/>
      <c r="AF251" s="358"/>
      <c r="AG251" s="359"/>
    </row>
    <row r="252" spans="1:33" ht="15" thickBot="1">
      <c r="A252" s="357"/>
      <c r="B252" s="357"/>
      <c r="C252" s="357"/>
      <c r="D252" s="1784"/>
      <c r="E252" s="1785">
        <v>137610.9855361543</v>
      </c>
      <c r="F252" s="1593">
        <v>2276047.1095261462</v>
      </c>
      <c r="G252" s="1593">
        <v>4689308.695570806</v>
      </c>
      <c r="H252" s="1596">
        <v>182839.57973516471</v>
      </c>
      <c r="I252" s="1596">
        <v>3693848.7062743148</v>
      </c>
      <c r="J252" s="1596">
        <v>167444.26265655854</v>
      </c>
      <c r="K252" s="1596">
        <v>104031.8836760171</v>
      </c>
      <c r="L252" s="1596">
        <v>944170.03857026168</v>
      </c>
      <c r="M252" s="1596">
        <v>2344533.4942660043</v>
      </c>
      <c r="N252" s="1596">
        <v>3995810.3227393427</v>
      </c>
      <c r="O252" s="1596">
        <v>218931.90072773333</v>
      </c>
      <c r="P252" s="1596">
        <v>115414.16369605658</v>
      </c>
      <c r="Q252" s="1596">
        <v>277105.3687232848</v>
      </c>
      <c r="R252" s="1596">
        <v>13775615.253900496</v>
      </c>
      <c r="S252" s="1596">
        <v>6195549.5831050649</v>
      </c>
      <c r="T252" s="1596">
        <v>6047989.1413780637</v>
      </c>
      <c r="U252" s="1596">
        <v>4883077.5649545379</v>
      </c>
      <c r="V252" s="1596">
        <v>9538119.5542954244</v>
      </c>
      <c r="W252" s="753"/>
      <c r="X252" s="743"/>
      <c r="Y252" s="676"/>
      <c r="Z252" s="377"/>
      <c r="AA252" s="358"/>
      <c r="AB252" s="358"/>
      <c r="AC252" s="358"/>
      <c r="AD252" s="358"/>
      <c r="AE252" s="358"/>
      <c r="AF252" s="358"/>
      <c r="AG252" s="359"/>
    </row>
    <row r="253" spans="1:33" ht="15" thickBot="1">
      <c r="A253" s="357"/>
      <c r="B253" s="357"/>
      <c r="C253" s="357"/>
      <c r="D253" s="1784"/>
      <c r="E253" s="1601"/>
      <c r="F253" s="1601"/>
      <c r="G253" s="1601"/>
      <c r="H253" s="1601"/>
      <c r="I253" s="1601"/>
      <c r="J253" s="1601"/>
      <c r="K253" s="1601"/>
      <c r="L253" s="1601"/>
      <c r="M253" s="1601"/>
      <c r="N253" s="1601"/>
      <c r="O253" s="1601"/>
      <c r="P253" s="1601"/>
      <c r="Q253" s="1601"/>
      <c r="R253" s="1601"/>
      <c r="S253" s="1601"/>
      <c r="T253" s="1601"/>
      <c r="U253" s="1601"/>
      <c r="V253" s="1601"/>
      <c r="W253" s="753"/>
      <c r="X253" s="743"/>
      <c r="Y253" s="676"/>
      <c r="Z253" s="377"/>
      <c r="AA253" s="358"/>
      <c r="AB253" s="358"/>
      <c r="AC253" s="358"/>
      <c r="AD253" s="358"/>
      <c r="AE253" s="358"/>
      <c r="AF253" s="358"/>
      <c r="AG253" s="359"/>
    </row>
    <row r="254" spans="1:33" ht="14.4">
      <c r="A254" s="357"/>
      <c r="B254" s="357"/>
      <c r="C254" s="357"/>
      <c r="D254" s="1784"/>
      <c r="E254" s="1781" t="s">
        <v>1256</v>
      </c>
      <c r="F254" s="1782" t="s">
        <v>1251</v>
      </c>
      <c r="G254" s="1782" t="s">
        <v>1253</v>
      </c>
      <c r="H254" s="1782" t="s">
        <v>1276</v>
      </c>
      <c r="I254" s="1601"/>
      <c r="J254" s="1601"/>
      <c r="K254" s="1601"/>
      <c r="L254" s="1601"/>
      <c r="M254" s="1601"/>
      <c r="N254" s="1601"/>
      <c r="O254" s="1601"/>
      <c r="P254" s="1601"/>
      <c r="Q254" s="1601"/>
      <c r="R254" s="1601"/>
      <c r="S254" s="1601"/>
      <c r="T254" s="1601"/>
      <c r="U254" s="1601"/>
      <c r="V254" s="1601"/>
      <c r="W254" s="753"/>
      <c r="X254" s="743"/>
      <c r="Y254" s="676"/>
      <c r="Z254" s="377"/>
      <c r="AA254" s="358"/>
      <c r="AB254" s="358"/>
      <c r="AC254" s="358"/>
      <c r="AD254" s="358"/>
      <c r="AE254" s="358"/>
      <c r="AF254" s="358"/>
      <c r="AG254" s="359"/>
    </row>
    <row r="255" spans="1:33" ht="15" thickBot="1">
      <c r="A255" s="357"/>
      <c r="B255" s="357"/>
      <c r="C255" s="357"/>
      <c r="D255" s="1784"/>
      <c r="E255" s="1785">
        <v>196319.64377491147</v>
      </c>
      <c r="F255" s="1593">
        <v>3038975.3290177714</v>
      </c>
      <c r="G255" s="1593">
        <v>0</v>
      </c>
      <c r="H255" s="1593">
        <v>1348312.081656408</v>
      </c>
      <c r="I255" s="1601"/>
      <c r="J255" s="1601"/>
      <c r="K255" s="1601"/>
      <c r="L255" s="1601"/>
      <c r="M255" s="1601"/>
      <c r="N255" s="1601"/>
      <c r="O255" s="1601"/>
      <c r="P255" s="1601"/>
      <c r="Q255" s="1601"/>
      <c r="R255" s="1601"/>
      <c r="S255" s="1601"/>
      <c r="T255" s="1601"/>
      <c r="U255" s="1601"/>
      <c r="V255" s="1601"/>
      <c r="W255" s="753"/>
      <c r="X255" s="743"/>
      <c r="Y255" s="676"/>
      <c r="Z255" s="377"/>
      <c r="AA255" s="358"/>
      <c r="AB255" s="358"/>
      <c r="AC255" s="358"/>
      <c r="AD255" s="358"/>
      <c r="AE255" s="358"/>
      <c r="AF255" s="358"/>
      <c r="AG255" s="359"/>
    </row>
    <row r="256" spans="1:33" ht="14.4">
      <c r="A256" s="357"/>
      <c r="B256" s="357"/>
      <c r="C256" s="357"/>
      <c r="D256" s="1784"/>
      <c r="E256" s="1601"/>
      <c r="F256" s="1601"/>
      <c r="G256" s="1601"/>
      <c r="H256" s="1601"/>
      <c r="I256" s="1601"/>
      <c r="J256" s="1601"/>
      <c r="K256" s="1601"/>
      <c r="L256" s="1601"/>
      <c r="M256" s="1601"/>
      <c r="N256" s="1601"/>
      <c r="O256" s="1601"/>
      <c r="P256" s="1602"/>
      <c r="Q256" s="1601"/>
      <c r="R256" s="1601"/>
      <c r="S256" s="1601"/>
      <c r="T256" s="1601"/>
      <c r="U256" s="1603"/>
      <c r="V256" s="1601"/>
      <c r="W256" s="753"/>
      <c r="X256" s="743"/>
      <c r="Y256" s="676"/>
      <c r="Z256" s="377"/>
      <c r="AA256" s="358"/>
      <c r="AB256" s="358"/>
      <c r="AC256" s="358"/>
      <c r="AD256" s="358"/>
      <c r="AE256" s="358"/>
      <c r="AF256" s="358"/>
      <c r="AG256" s="359"/>
    </row>
    <row r="257" spans="1:33" ht="13.8">
      <c r="A257" s="357"/>
      <c r="B257" s="357"/>
      <c r="C257" s="357"/>
      <c r="D257" s="357"/>
      <c r="E257" s="373"/>
      <c r="F257" s="374"/>
      <c r="G257" s="374"/>
      <c r="H257" s="374"/>
      <c r="I257" s="374"/>
      <c r="J257" s="374"/>
      <c r="K257" s="374"/>
      <c r="L257" s="374"/>
      <c r="M257" s="374"/>
      <c r="N257" s="374"/>
      <c r="O257" s="374"/>
      <c r="P257" s="376"/>
      <c r="Q257" s="374"/>
      <c r="R257" s="2"/>
      <c r="S257" s="2"/>
      <c r="T257" s="2"/>
      <c r="U257" s="487"/>
      <c r="V257" s="487"/>
      <c r="W257" s="377"/>
      <c r="X257" s="752"/>
      <c r="Y257" s="377"/>
      <c r="Z257" s="377"/>
      <c r="AA257" s="358"/>
      <c r="AB257" s="358"/>
      <c r="AC257" s="358"/>
      <c r="AD257" s="358"/>
      <c r="AE257" s="358"/>
      <c r="AF257" s="358"/>
      <c r="AG257" s="359"/>
    </row>
    <row r="258" spans="1:33" ht="31.5" customHeight="1">
      <c r="A258" s="494">
        <f>A18</f>
        <v>8</v>
      </c>
      <c r="B258" s="494" t="str">
        <f>+B18</f>
        <v>April</v>
      </c>
      <c r="C258" s="495" t="str">
        <f>C18</f>
        <v>Year 3</v>
      </c>
      <c r="D258" s="1089"/>
      <c r="E258" s="2086" t="str">
        <f>+E18</f>
        <v>Reconciliation - TO adds the difference between the Reconciliation in Step 7 and the forecast in Step 5 with interest to the result of Step 7 (this difference is also added to Step 7 in the subsequent year)</v>
      </c>
      <c r="F258" s="2075"/>
      <c r="G258" s="2075"/>
      <c r="H258" s="2075"/>
      <c r="I258" s="2075"/>
      <c r="J258" s="2075"/>
      <c r="K258" s="2075"/>
      <c r="L258" s="2075"/>
      <c r="M258" s="2075"/>
      <c r="N258" s="2075"/>
      <c r="O258" s="2075"/>
      <c r="P258" s="627"/>
      <c r="Q258" s="494"/>
      <c r="R258" s="495"/>
      <c r="S258" s="495"/>
      <c r="T258" s="1813"/>
      <c r="U258" s="627"/>
      <c r="V258" s="627"/>
      <c r="W258" s="627"/>
      <c r="X258" s="627"/>
      <c r="Y258" s="627"/>
      <c r="Z258" s="627"/>
      <c r="AA258" s="627"/>
      <c r="AB258" s="627"/>
      <c r="AC258" s="627"/>
      <c r="AD258" s="627"/>
      <c r="AE258" s="358"/>
      <c r="AF258" s="358"/>
      <c r="AG258" s="359"/>
    </row>
    <row r="259" spans="1:33" ht="13.8">
      <c r="A259" s="357"/>
      <c r="B259" s="357"/>
      <c r="C259" s="357"/>
      <c r="D259" s="357"/>
      <c r="E259" s="363"/>
      <c r="F259" s="358"/>
      <c r="G259" s="358"/>
      <c r="H259" s="358"/>
      <c r="I259" s="358"/>
      <c r="J259" s="358"/>
      <c r="K259" s="358"/>
      <c r="L259" s="358"/>
      <c r="M259" s="358"/>
      <c r="N259" s="358"/>
      <c r="O259" s="358"/>
      <c r="P259" s="358"/>
      <c r="Q259" s="357"/>
      <c r="R259" s="357"/>
      <c r="S259" s="357"/>
      <c r="T259" s="363"/>
      <c r="U259" s="358"/>
      <c r="V259" s="358"/>
      <c r="W259" s="358"/>
      <c r="X259" s="358"/>
      <c r="Y259" s="358"/>
      <c r="Z259" s="358"/>
      <c r="AA259" s="358"/>
      <c r="AB259" s="358"/>
      <c r="AC259" s="358"/>
      <c r="AD259" s="358"/>
      <c r="AE259" s="358"/>
      <c r="AF259" s="358"/>
      <c r="AG259" s="359"/>
    </row>
    <row r="260" spans="1:33" ht="13.8">
      <c r="A260" s="357"/>
      <c r="B260" s="357"/>
      <c r="C260" s="357"/>
      <c r="D260" s="357"/>
      <c r="E260" s="363" t="s">
        <v>619</v>
      </c>
      <c r="F260" s="358"/>
      <c r="G260" s="358"/>
      <c r="H260" s="358"/>
      <c r="I260" s="358"/>
      <c r="J260" s="358" t="s">
        <v>400</v>
      </c>
      <c r="K260" s="358"/>
      <c r="L260" s="358"/>
      <c r="M260" s="780"/>
      <c r="N260" s="215"/>
      <c r="O260" s="215"/>
      <c r="P260" s="215"/>
      <c r="Q260" s="357"/>
      <c r="R260" s="357"/>
      <c r="S260" s="357"/>
      <c r="T260" s="363"/>
      <c r="U260" s="358"/>
      <c r="V260" s="358"/>
      <c r="W260" s="358"/>
      <c r="X260" s="358"/>
      <c r="Y260" s="358"/>
      <c r="Z260" s="358"/>
      <c r="AA260" s="358"/>
      <c r="AB260" s="358"/>
      <c r="AC260" s="215"/>
      <c r="AD260" s="215"/>
      <c r="AE260" s="358"/>
      <c r="AF260" s="358"/>
      <c r="AG260" s="359"/>
    </row>
    <row r="261" spans="1:33" ht="13.8">
      <c r="A261" s="357"/>
      <c r="B261" s="357"/>
      <c r="C261" s="357"/>
      <c r="D261" s="357"/>
      <c r="E261" s="376">
        <f>D246</f>
        <v>248756431.18754366</v>
      </c>
      <c r="F261" s="357" t="str">
        <f>"-"</f>
        <v>-</v>
      </c>
      <c r="G261" s="357"/>
      <c r="H261" s="357"/>
      <c r="I261" s="357"/>
      <c r="J261" s="376">
        <f>D119</f>
        <v>242807448.04349849</v>
      </c>
      <c r="K261" s="376"/>
      <c r="L261" s="357" t="str">
        <f>"="</f>
        <v>=</v>
      </c>
      <c r="M261" s="364">
        <f>(IF(E261=0,0,E261-J261))</f>
        <v>5948983.1440451741</v>
      </c>
      <c r="N261" s="215" t="s">
        <v>829</v>
      </c>
      <c r="O261" s="215"/>
      <c r="P261" s="215"/>
      <c r="Q261" s="357"/>
      <c r="R261" s="357"/>
      <c r="S261" s="357"/>
      <c r="T261" s="376"/>
      <c r="U261" s="357"/>
      <c r="V261" s="357"/>
      <c r="W261" s="357"/>
      <c r="X261" s="357"/>
      <c r="Y261" s="376"/>
      <c r="Z261" s="376"/>
      <c r="AA261" s="357"/>
      <c r="AB261" s="364"/>
      <c r="AC261" s="215"/>
      <c r="AD261" s="215"/>
      <c r="AE261" s="358"/>
      <c r="AF261" s="358"/>
      <c r="AG261" s="359"/>
    </row>
    <row r="262" spans="1:33" ht="13.8">
      <c r="A262" s="357"/>
      <c r="B262" s="357"/>
      <c r="C262" s="357"/>
      <c r="D262" s="357"/>
      <c r="E262" s="376"/>
      <c r="F262" s="357"/>
      <c r="G262" s="357"/>
      <c r="H262" s="357"/>
      <c r="I262" s="357"/>
      <c r="J262" s="376"/>
      <c r="K262" s="376"/>
      <c r="L262" s="357"/>
      <c r="M262" s="364"/>
      <c r="N262" s="215" t="s">
        <v>830</v>
      </c>
      <c r="O262" s="215"/>
      <c r="P262" s="215"/>
      <c r="Q262" s="357"/>
      <c r="R262" s="357"/>
      <c r="S262" s="357"/>
      <c r="T262" s="376"/>
      <c r="U262" s="357"/>
      <c r="V262" s="357"/>
      <c r="W262" s="357"/>
      <c r="X262" s="357"/>
      <c r="Y262" s="376"/>
      <c r="Z262" s="376"/>
      <c r="AA262" s="357"/>
      <c r="AB262" s="364"/>
      <c r="AC262" s="215"/>
      <c r="AD262" s="215"/>
      <c r="AE262" s="358"/>
      <c r="AF262" s="358"/>
      <c r="AG262" s="359"/>
    </row>
    <row r="263" spans="1:33" ht="13.8">
      <c r="A263" s="357"/>
      <c r="B263" s="357"/>
      <c r="C263" s="357"/>
      <c r="D263" s="357"/>
      <c r="E263" s="376"/>
      <c r="F263" s="357"/>
      <c r="G263" s="357"/>
      <c r="H263" s="357"/>
      <c r="I263" s="357"/>
      <c r="J263" s="376"/>
      <c r="K263" s="376"/>
      <c r="L263" s="357"/>
      <c r="M263" s="364"/>
      <c r="N263" s="215" t="s">
        <v>831</v>
      </c>
      <c r="O263" s="215"/>
      <c r="P263" s="215"/>
      <c r="Q263" s="357"/>
      <c r="R263" s="357"/>
      <c r="S263" s="357"/>
      <c r="T263" s="376"/>
      <c r="U263" s="357"/>
      <c r="V263" s="357"/>
      <c r="W263" s="357"/>
      <c r="X263" s="357"/>
      <c r="Y263" s="376"/>
      <c r="Z263" s="376"/>
      <c r="AA263" s="357"/>
      <c r="AB263" s="364"/>
      <c r="AC263" s="215"/>
      <c r="AD263" s="215"/>
      <c r="AE263" s="358"/>
      <c r="AF263" s="358"/>
      <c r="AG263" s="359"/>
    </row>
    <row r="264" spans="1:33" ht="13.8">
      <c r="A264" s="357"/>
      <c r="B264" s="357"/>
      <c r="C264" s="357"/>
      <c r="D264" s="357"/>
      <c r="E264" s="367"/>
      <c r="F264" s="357"/>
      <c r="G264" s="357"/>
      <c r="H264" s="357"/>
      <c r="I264" s="357"/>
      <c r="J264" s="364"/>
      <c r="K264" s="364"/>
      <c r="L264" s="357"/>
      <c r="M264" s="364"/>
      <c r="N264" s="215" t="s">
        <v>849</v>
      </c>
      <c r="O264" s="215"/>
      <c r="P264" s="215"/>
      <c r="Q264" s="357"/>
      <c r="R264" s="357"/>
      <c r="S264" s="357"/>
      <c r="T264" s="367"/>
      <c r="U264" s="357"/>
      <c r="V264" s="357"/>
      <c r="W264" s="357"/>
      <c r="X264" s="357"/>
      <c r="Y264" s="364"/>
      <c r="Z264" s="364"/>
      <c r="AA264" s="357"/>
      <c r="AB264" s="364"/>
      <c r="AC264" s="215"/>
      <c r="AD264" s="215"/>
      <c r="AE264" s="358"/>
      <c r="AF264" s="358"/>
      <c r="AG264" s="359"/>
    </row>
    <row r="265" spans="1:33" ht="13.8">
      <c r="A265" s="357"/>
      <c r="B265" s="357"/>
      <c r="C265" s="357"/>
      <c r="D265" s="357"/>
      <c r="E265" s="378" t="s">
        <v>337</v>
      </c>
      <c r="F265" s="357"/>
      <c r="G265" s="357"/>
      <c r="H265" s="357"/>
      <c r="I265" s="357"/>
      <c r="J265" s="364"/>
      <c r="K265" s="364"/>
      <c r="L265" s="357"/>
      <c r="M265" s="364"/>
      <c r="N265" s="215"/>
      <c r="O265" s="2"/>
      <c r="P265" s="2"/>
      <c r="Q265" s="357"/>
      <c r="R265" s="357"/>
      <c r="S265" s="357"/>
      <c r="T265" s="378"/>
      <c r="U265" s="357"/>
      <c r="V265" s="357"/>
      <c r="W265" s="357"/>
      <c r="X265" s="357"/>
      <c r="Y265" s="364"/>
      <c r="Z265" s="364"/>
      <c r="AA265" s="357"/>
      <c r="AB265" s="364"/>
      <c r="AC265" s="2"/>
      <c r="AD265" s="2"/>
      <c r="AE265" s="358"/>
      <c r="AF265" s="358"/>
      <c r="AG265" s="359"/>
    </row>
    <row r="266" spans="1:33" ht="13.8">
      <c r="A266" s="357"/>
      <c r="B266" s="357"/>
      <c r="C266" s="357"/>
      <c r="D266" s="357"/>
      <c r="E266" s="378" t="s">
        <v>399</v>
      </c>
      <c r="F266" s="357"/>
      <c r="G266" s="357"/>
      <c r="H266" s="357"/>
      <c r="I266" s="357"/>
      <c r="J266" s="372">
        <v>4.1999999999999997E-3</v>
      </c>
      <c r="K266" s="372"/>
      <c r="L266" s="357"/>
      <c r="M266" s="364"/>
      <c r="Q266" s="357"/>
      <c r="R266" s="357"/>
      <c r="S266" s="357"/>
      <c r="T266" s="378"/>
      <c r="U266" s="357"/>
      <c r="V266" s="357"/>
      <c r="W266" s="357"/>
      <c r="X266" s="357"/>
      <c r="Y266" s="372"/>
      <c r="Z266" s="372"/>
      <c r="AA266" s="357"/>
      <c r="AB266" s="364"/>
      <c r="AE266" s="358"/>
      <c r="AF266" s="358"/>
      <c r="AG266" s="359"/>
    </row>
    <row r="267" spans="1:33" ht="13.8">
      <c r="A267" s="357"/>
      <c r="B267" s="357"/>
      <c r="C267" s="357"/>
      <c r="D267" s="357"/>
      <c r="E267" s="368" t="s">
        <v>291</v>
      </c>
      <c r="F267" s="357" t="s">
        <v>338</v>
      </c>
      <c r="G267" s="357"/>
      <c r="H267" s="357"/>
      <c r="I267" s="357"/>
      <c r="J267" s="357" t="s">
        <v>339</v>
      </c>
      <c r="K267" s="357"/>
      <c r="L267" s="368" t="s">
        <v>340</v>
      </c>
      <c r="M267" s="357"/>
      <c r="N267" s="368" t="s">
        <v>341</v>
      </c>
      <c r="O267" s="368"/>
      <c r="P267" s="451" t="s">
        <v>971</v>
      </c>
      <c r="Q267" s="357"/>
      <c r="R267" s="357"/>
      <c r="S267" s="357"/>
      <c r="T267" s="368"/>
      <c r="U267" s="357"/>
      <c r="V267" s="357"/>
      <c r="W267" s="357"/>
      <c r="X267" s="357"/>
      <c r="Y267" s="357"/>
      <c r="Z267" s="357"/>
      <c r="AA267" s="368"/>
      <c r="AB267" s="357"/>
      <c r="AC267" s="368"/>
      <c r="AD267" s="368"/>
      <c r="AE267" s="358"/>
      <c r="AF267" s="358"/>
      <c r="AG267" s="359"/>
    </row>
    <row r="268" spans="1:33" ht="13.8">
      <c r="A268" s="357"/>
      <c r="B268" s="357"/>
      <c r="C268" s="357"/>
      <c r="D268" s="357"/>
      <c r="E268" s="357"/>
      <c r="F268" s="357"/>
      <c r="G268" s="357"/>
      <c r="H268" s="357"/>
      <c r="I268" s="357"/>
      <c r="J268" s="357"/>
      <c r="K268" s="357"/>
      <c r="L268" s="357" t="s">
        <v>342</v>
      </c>
      <c r="M268" s="357" t="s">
        <v>343</v>
      </c>
      <c r="N268" s="357"/>
      <c r="O268" s="357"/>
      <c r="P268" s="357"/>
      <c r="Q268" s="357"/>
      <c r="R268" s="357"/>
      <c r="S268" s="357"/>
      <c r="T268" s="357"/>
      <c r="U268" s="357"/>
      <c r="V268" s="357"/>
      <c r="W268" s="357"/>
      <c r="X268" s="357"/>
      <c r="Y268" s="357"/>
      <c r="Z268" s="357"/>
      <c r="AA268" s="357"/>
      <c r="AB268" s="357"/>
      <c r="AC268" s="357"/>
      <c r="AD268" s="357"/>
      <c r="AE268" s="358"/>
      <c r="AF268" s="358"/>
      <c r="AG268" s="359"/>
    </row>
    <row r="269" spans="1:33" ht="13.8">
      <c r="A269" s="357"/>
      <c r="B269" s="357"/>
      <c r="C269" s="357"/>
      <c r="D269" s="357"/>
      <c r="E269" s="358" t="s">
        <v>330</v>
      </c>
      <c r="F269" s="358" t="s">
        <v>975</v>
      </c>
      <c r="G269" s="358"/>
      <c r="H269" s="358"/>
      <c r="I269" s="358"/>
      <c r="J269" s="361">
        <f>+M261/12</f>
        <v>495748.59533709782</v>
      </c>
      <c r="K269" s="361"/>
      <c r="L269" s="375">
        <f>+J266</f>
        <v>4.1999999999999997E-3</v>
      </c>
      <c r="M269" s="358">
        <v>11.5</v>
      </c>
      <c r="N269" s="361">
        <f>+M269*L269*J269</f>
        <v>23944.657154781824</v>
      </c>
      <c r="O269" s="361"/>
      <c r="P269" s="361">
        <f t="shared" ref="P269:P280" si="94">+J269+N269</f>
        <v>519693.25249187963</v>
      </c>
      <c r="Q269" s="357"/>
      <c r="R269" s="357"/>
      <c r="S269" s="357"/>
      <c r="T269" s="358"/>
      <c r="U269" s="358"/>
      <c r="V269" s="358"/>
      <c r="W269" s="358"/>
      <c r="X269" s="358"/>
      <c r="Y269" s="361"/>
      <c r="Z269" s="361"/>
      <c r="AA269" s="375"/>
      <c r="AB269" s="358"/>
      <c r="AC269" s="361"/>
      <c r="AD269" s="361"/>
      <c r="AE269" s="358"/>
      <c r="AF269" s="358"/>
      <c r="AG269" s="359"/>
    </row>
    <row r="270" spans="1:33" ht="13.8">
      <c r="A270" s="357"/>
      <c r="B270" s="357"/>
      <c r="C270" s="357"/>
      <c r="D270" s="357"/>
      <c r="E270" s="358" t="s">
        <v>331</v>
      </c>
      <c r="F270" s="358" t="str">
        <f t="shared" ref="F270:F275" si="95">+F269</f>
        <v>Year 1</v>
      </c>
      <c r="G270" s="358"/>
      <c r="H270" s="358"/>
      <c r="I270" s="358"/>
      <c r="J270" s="364">
        <f t="shared" ref="J270:L280" si="96">+J269</f>
        <v>495748.59533709782</v>
      </c>
      <c r="K270" s="364"/>
      <c r="L270" s="369">
        <f t="shared" si="96"/>
        <v>4.1999999999999997E-3</v>
      </c>
      <c r="M270" s="358">
        <f t="shared" ref="M270:M280" si="97">+M269-1</f>
        <v>10.5</v>
      </c>
      <c r="N270" s="361">
        <f t="shared" ref="N270:N280" si="98">+M270*L270*J270</f>
        <v>21862.513054366013</v>
      </c>
      <c r="O270" s="361"/>
      <c r="P270" s="361">
        <f t="shared" si="94"/>
        <v>517611.10839146381</v>
      </c>
      <c r="Q270" s="357"/>
      <c r="R270" s="357"/>
      <c r="S270" s="357"/>
      <c r="T270" s="358"/>
      <c r="U270" s="358"/>
      <c r="V270" s="358"/>
      <c r="W270" s="358"/>
      <c r="X270" s="358"/>
      <c r="Y270" s="364"/>
      <c r="Z270" s="364"/>
      <c r="AA270" s="369"/>
      <c r="AB270" s="358"/>
      <c r="AC270" s="361"/>
      <c r="AD270" s="361"/>
      <c r="AE270" s="358"/>
      <c r="AF270" s="358"/>
      <c r="AG270" s="359"/>
    </row>
    <row r="271" spans="1:33" ht="13.8">
      <c r="A271" s="357"/>
      <c r="B271" s="357"/>
      <c r="C271" s="357"/>
      <c r="D271" s="357"/>
      <c r="E271" s="358" t="s">
        <v>332</v>
      </c>
      <c r="F271" s="358" t="str">
        <f t="shared" si="95"/>
        <v>Year 1</v>
      </c>
      <c r="G271" s="358"/>
      <c r="H271" s="358"/>
      <c r="I271" s="358"/>
      <c r="J271" s="364">
        <f t="shared" si="96"/>
        <v>495748.59533709782</v>
      </c>
      <c r="K271" s="364"/>
      <c r="L271" s="369">
        <f t="shared" si="96"/>
        <v>4.1999999999999997E-3</v>
      </c>
      <c r="M271" s="358">
        <f t="shared" si="97"/>
        <v>9.5</v>
      </c>
      <c r="N271" s="361">
        <f t="shared" si="98"/>
        <v>19780.368953950201</v>
      </c>
      <c r="O271" s="361"/>
      <c r="P271" s="361">
        <f t="shared" si="94"/>
        <v>515528.964291048</v>
      </c>
      <c r="Q271" s="357"/>
      <c r="R271" s="357"/>
      <c r="S271" s="357"/>
      <c r="T271" s="358"/>
      <c r="U271" s="358"/>
      <c r="V271" s="358"/>
      <c r="W271" s="358"/>
      <c r="X271" s="358"/>
      <c r="Y271" s="364"/>
      <c r="Z271" s="364"/>
      <c r="AA271" s="369"/>
      <c r="AB271" s="358"/>
      <c r="AC271" s="361"/>
      <c r="AD271" s="361"/>
      <c r="AE271" s="358"/>
      <c r="AF271" s="358"/>
      <c r="AG271" s="359"/>
    </row>
    <row r="272" spans="1:33" ht="13.8">
      <c r="A272" s="357"/>
      <c r="B272" s="357"/>
      <c r="C272" s="357"/>
      <c r="D272" s="357"/>
      <c r="E272" s="358" t="s">
        <v>333</v>
      </c>
      <c r="F272" s="358" t="str">
        <f t="shared" si="95"/>
        <v>Year 1</v>
      </c>
      <c r="G272" s="358"/>
      <c r="H272" s="358"/>
      <c r="I272" s="358"/>
      <c r="J272" s="364">
        <f t="shared" si="96"/>
        <v>495748.59533709782</v>
      </c>
      <c r="K272" s="364"/>
      <c r="L272" s="369">
        <f t="shared" si="96"/>
        <v>4.1999999999999997E-3</v>
      </c>
      <c r="M272" s="358">
        <f t="shared" si="97"/>
        <v>8.5</v>
      </c>
      <c r="N272" s="361">
        <f t="shared" si="98"/>
        <v>17698.22485353439</v>
      </c>
      <c r="O272" s="361"/>
      <c r="P272" s="361">
        <f t="shared" si="94"/>
        <v>513446.82019063219</v>
      </c>
      <c r="Q272" s="357"/>
      <c r="R272" s="357"/>
      <c r="S272" s="357"/>
      <c r="T272" s="358"/>
      <c r="U272" s="358"/>
      <c r="V272" s="358"/>
      <c r="W272" s="358"/>
      <c r="X272" s="358"/>
      <c r="Y272" s="364"/>
      <c r="Z272" s="364"/>
      <c r="AA272" s="369"/>
      <c r="AB272" s="358"/>
      <c r="AC272" s="361"/>
      <c r="AD272" s="361"/>
      <c r="AE272" s="358"/>
      <c r="AF272" s="358"/>
      <c r="AG272" s="359"/>
    </row>
    <row r="273" spans="1:33" ht="13.8">
      <c r="A273" s="357"/>
      <c r="B273" s="357"/>
      <c r="C273" s="357"/>
      <c r="D273" s="357"/>
      <c r="E273" s="358" t="s">
        <v>334</v>
      </c>
      <c r="F273" s="358" t="str">
        <f t="shared" si="95"/>
        <v>Year 1</v>
      </c>
      <c r="G273" s="358"/>
      <c r="H273" s="358"/>
      <c r="I273" s="358"/>
      <c r="J273" s="364">
        <f t="shared" si="96"/>
        <v>495748.59533709782</v>
      </c>
      <c r="K273" s="364"/>
      <c r="L273" s="369">
        <f t="shared" si="96"/>
        <v>4.1999999999999997E-3</v>
      </c>
      <c r="M273" s="358">
        <f t="shared" si="97"/>
        <v>7.5</v>
      </c>
      <c r="N273" s="361">
        <f t="shared" si="98"/>
        <v>15616.080753118582</v>
      </c>
      <c r="O273" s="361"/>
      <c r="P273" s="361">
        <f t="shared" si="94"/>
        <v>511364.67609021638</v>
      </c>
      <c r="Q273" s="357"/>
      <c r="R273" s="357"/>
      <c r="S273" s="357"/>
      <c r="T273" s="358"/>
      <c r="U273" s="358"/>
      <c r="V273" s="358"/>
      <c r="W273" s="358"/>
      <c r="X273" s="358"/>
      <c r="Y273" s="364"/>
      <c r="Z273" s="364"/>
      <c r="AA273" s="369"/>
      <c r="AB273" s="358"/>
      <c r="AC273" s="361"/>
      <c r="AD273" s="361"/>
      <c r="AE273" s="358"/>
      <c r="AF273" s="358"/>
      <c r="AG273" s="359"/>
    </row>
    <row r="274" spans="1:33" ht="13.8">
      <c r="A274" s="357"/>
      <c r="B274" s="357"/>
      <c r="C274" s="357"/>
      <c r="D274" s="357"/>
      <c r="E274" s="358" t="s">
        <v>335</v>
      </c>
      <c r="F274" s="358" t="str">
        <f t="shared" si="95"/>
        <v>Year 1</v>
      </c>
      <c r="G274" s="358"/>
      <c r="H274" s="358"/>
      <c r="I274" s="358"/>
      <c r="J274" s="364">
        <f t="shared" si="96"/>
        <v>495748.59533709782</v>
      </c>
      <c r="K274" s="364"/>
      <c r="L274" s="369">
        <f t="shared" si="96"/>
        <v>4.1999999999999997E-3</v>
      </c>
      <c r="M274" s="358">
        <f t="shared" si="97"/>
        <v>6.5</v>
      </c>
      <c r="N274" s="361">
        <f t="shared" si="98"/>
        <v>13533.936652702769</v>
      </c>
      <c r="O274" s="361"/>
      <c r="P274" s="361">
        <f t="shared" si="94"/>
        <v>509282.53198980057</v>
      </c>
      <c r="Q274" s="357"/>
      <c r="R274" s="357"/>
      <c r="S274" s="357"/>
      <c r="T274" s="358"/>
      <c r="U274" s="358"/>
      <c r="V274" s="358"/>
      <c r="W274" s="358"/>
      <c r="X274" s="358"/>
      <c r="Y274" s="364"/>
      <c r="Z274" s="364"/>
      <c r="AA274" s="369"/>
      <c r="AB274" s="358"/>
      <c r="AC274" s="361"/>
      <c r="AD274" s="361"/>
      <c r="AE274" s="358"/>
      <c r="AF274" s="358"/>
      <c r="AG274" s="359"/>
    </row>
    <row r="275" spans="1:33" ht="13.8">
      <c r="A275" s="357"/>
      <c r="B275" s="357"/>
      <c r="C275" s="357"/>
      <c r="D275" s="357"/>
      <c r="E275" s="358" t="s">
        <v>336</v>
      </c>
      <c r="F275" s="358" t="str">
        <f t="shared" si="95"/>
        <v>Year 1</v>
      </c>
      <c r="G275" s="358"/>
      <c r="H275" s="358"/>
      <c r="I275" s="358"/>
      <c r="J275" s="364">
        <f t="shared" si="96"/>
        <v>495748.59533709782</v>
      </c>
      <c r="K275" s="364"/>
      <c r="L275" s="369">
        <f t="shared" si="96"/>
        <v>4.1999999999999997E-3</v>
      </c>
      <c r="M275" s="358">
        <f t="shared" si="97"/>
        <v>5.5</v>
      </c>
      <c r="N275" s="361">
        <f t="shared" si="98"/>
        <v>11451.792552286959</v>
      </c>
      <c r="O275" s="361"/>
      <c r="P275" s="361">
        <f t="shared" si="94"/>
        <v>507200.38788938476</v>
      </c>
      <c r="Q275" s="357"/>
      <c r="R275" s="357"/>
      <c r="S275" s="357"/>
      <c r="T275" s="358"/>
      <c r="U275" s="358"/>
      <c r="V275" s="358"/>
      <c r="W275" s="358"/>
      <c r="X275" s="358"/>
      <c r="Y275" s="364"/>
      <c r="Z275" s="364"/>
      <c r="AA275" s="369"/>
      <c r="AB275" s="358"/>
      <c r="AC275" s="361"/>
      <c r="AD275" s="361"/>
      <c r="AE275" s="358"/>
      <c r="AF275" s="358"/>
      <c r="AG275" s="359"/>
    </row>
    <row r="276" spans="1:33" ht="13.8">
      <c r="A276" s="357"/>
      <c r="B276" s="357"/>
      <c r="C276" s="357"/>
      <c r="D276" s="357"/>
      <c r="E276" s="358" t="s">
        <v>326</v>
      </c>
      <c r="F276" s="358" t="s">
        <v>285</v>
      </c>
      <c r="G276" s="358"/>
      <c r="H276" s="358"/>
      <c r="I276" s="358"/>
      <c r="J276" s="364">
        <f t="shared" si="96"/>
        <v>495748.59533709782</v>
      </c>
      <c r="K276" s="364"/>
      <c r="L276" s="369">
        <f t="shared" si="96"/>
        <v>4.1999999999999997E-3</v>
      </c>
      <c r="M276" s="358">
        <f t="shared" si="97"/>
        <v>4.5</v>
      </c>
      <c r="N276" s="361">
        <f t="shared" si="98"/>
        <v>9369.6484518711495</v>
      </c>
      <c r="O276" s="361"/>
      <c r="P276" s="361">
        <f t="shared" si="94"/>
        <v>505118.24378896895</v>
      </c>
      <c r="Q276" s="357"/>
      <c r="R276" s="357"/>
      <c r="S276" s="357"/>
      <c r="T276" s="358"/>
      <c r="U276" s="358"/>
      <c r="V276" s="358"/>
      <c r="W276" s="358"/>
      <c r="X276" s="358"/>
      <c r="Y276" s="364"/>
      <c r="Z276" s="364"/>
      <c r="AA276" s="369"/>
      <c r="AB276" s="358"/>
      <c r="AC276" s="361"/>
      <c r="AD276" s="361"/>
      <c r="AE276" s="358"/>
      <c r="AF276" s="358"/>
      <c r="AG276" s="359"/>
    </row>
    <row r="277" spans="1:33" ht="13.8">
      <c r="A277" s="357"/>
      <c r="B277" s="357"/>
      <c r="C277" s="357"/>
      <c r="D277" s="357"/>
      <c r="E277" s="358" t="s">
        <v>327</v>
      </c>
      <c r="F277" s="358" t="str">
        <f>+F276</f>
        <v>Year 2</v>
      </c>
      <c r="G277" s="358"/>
      <c r="H277" s="358"/>
      <c r="I277" s="358"/>
      <c r="J277" s="364">
        <f t="shared" si="96"/>
        <v>495748.59533709782</v>
      </c>
      <c r="K277" s="364"/>
      <c r="L277" s="369">
        <f t="shared" si="96"/>
        <v>4.1999999999999997E-3</v>
      </c>
      <c r="M277" s="358">
        <f t="shared" si="97"/>
        <v>3.5</v>
      </c>
      <c r="N277" s="361">
        <f t="shared" si="98"/>
        <v>7287.5043514553381</v>
      </c>
      <c r="O277" s="361"/>
      <c r="P277" s="361">
        <f t="shared" si="94"/>
        <v>503036.09968855313</v>
      </c>
      <c r="Q277" s="357"/>
      <c r="R277" s="357"/>
      <c r="S277" s="357"/>
      <c r="T277" s="358"/>
      <c r="U277" s="358"/>
      <c r="V277" s="358"/>
      <c r="W277" s="358"/>
      <c r="X277" s="358"/>
      <c r="Y277" s="364"/>
      <c r="Z277" s="364"/>
      <c r="AA277" s="369"/>
      <c r="AB277" s="358"/>
      <c r="AC277" s="361"/>
      <c r="AD277" s="361"/>
      <c r="AE277" s="358"/>
      <c r="AF277" s="358"/>
      <c r="AG277" s="359"/>
    </row>
    <row r="278" spans="1:33" ht="13.8">
      <c r="A278" s="357"/>
      <c r="B278" s="357"/>
      <c r="C278" s="357"/>
      <c r="D278" s="357"/>
      <c r="E278" s="358" t="s">
        <v>328</v>
      </c>
      <c r="F278" s="358" t="str">
        <f>+F277</f>
        <v>Year 2</v>
      </c>
      <c r="G278" s="358"/>
      <c r="H278" s="358"/>
      <c r="I278" s="358"/>
      <c r="J278" s="364">
        <f t="shared" si="96"/>
        <v>495748.59533709782</v>
      </c>
      <c r="K278" s="364"/>
      <c r="L278" s="369">
        <f t="shared" si="96"/>
        <v>4.1999999999999997E-3</v>
      </c>
      <c r="M278" s="358">
        <f t="shared" si="97"/>
        <v>2.5</v>
      </c>
      <c r="N278" s="361">
        <f t="shared" si="98"/>
        <v>5205.3602510395267</v>
      </c>
      <c r="O278" s="361"/>
      <c r="P278" s="361">
        <f t="shared" si="94"/>
        <v>500953.95558813732</v>
      </c>
      <c r="Q278" s="357"/>
      <c r="R278" s="357"/>
      <c r="S278" s="357"/>
      <c r="T278" s="358"/>
      <c r="U278" s="358"/>
      <c r="V278" s="358"/>
      <c r="W278" s="358"/>
      <c r="X278" s="358"/>
      <c r="Y278" s="364"/>
      <c r="Z278" s="364"/>
      <c r="AA278" s="369"/>
      <c r="AB278" s="358"/>
      <c r="AC278" s="361"/>
      <c r="AD278" s="361"/>
      <c r="AE278" s="358"/>
      <c r="AF278" s="358"/>
      <c r="AG278" s="359"/>
    </row>
    <row r="279" spans="1:33" ht="13.8">
      <c r="A279" s="357"/>
      <c r="B279" s="357"/>
      <c r="C279" s="357"/>
      <c r="D279" s="357"/>
      <c r="E279" s="358" t="s">
        <v>329</v>
      </c>
      <c r="F279" s="358" t="str">
        <f>+F278</f>
        <v>Year 2</v>
      </c>
      <c r="G279" s="358"/>
      <c r="H279" s="358"/>
      <c r="I279" s="358"/>
      <c r="J279" s="364">
        <f t="shared" si="96"/>
        <v>495748.59533709782</v>
      </c>
      <c r="K279" s="364"/>
      <c r="L279" s="369">
        <f t="shared" si="96"/>
        <v>4.1999999999999997E-3</v>
      </c>
      <c r="M279" s="358">
        <f t="shared" si="97"/>
        <v>1.5</v>
      </c>
      <c r="N279" s="361">
        <f t="shared" si="98"/>
        <v>3123.2161506237162</v>
      </c>
      <c r="O279" s="361"/>
      <c r="P279" s="361">
        <f t="shared" si="94"/>
        <v>498871.81148772151</v>
      </c>
      <c r="Q279" s="357"/>
      <c r="R279" s="357"/>
      <c r="S279" s="357"/>
      <c r="T279" s="358"/>
      <c r="U279" s="358"/>
      <c r="V279" s="358"/>
      <c r="W279" s="358"/>
      <c r="X279" s="358"/>
      <c r="Y279" s="364"/>
      <c r="Z279" s="364"/>
      <c r="AA279" s="369"/>
      <c r="AB279" s="358"/>
      <c r="AC279" s="361"/>
      <c r="AD279" s="361"/>
      <c r="AE279" s="358"/>
      <c r="AF279" s="358"/>
      <c r="AG279" s="359"/>
    </row>
    <row r="280" spans="1:33" ht="13.8">
      <c r="A280" s="357"/>
      <c r="B280" s="357"/>
      <c r="C280" s="357"/>
      <c r="D280" s="357"/>
      <c r="E280" s="358" t="s">
        <v>296</v>
      </c>
      <c r="F280" s="358" t="str">
        <f>+F279</f>
        <v>Year 2</v>
      </c>
      <c r="G280" s="358"/>
      <c r="H280" s="358"/>
      <c r="I280" s="358"/>
      <c r="J280" s="364">
        <f t="shared" si="96"/>
        <v>495748.59533709782</v>
      </c>
      <c r="K280" s="364"/>
      <c r="L280" s="369">
        <f t="shared" si="96"/>
        <v>4.1999999999999997E-3</v>
      </c>
      <c r="M280" s="358">
        <f t="shared" si="97"/>
        <v>0.5</v>
      </c>
      <c r="N280" s="361">
        <f t="shared" si="98"/>
        <v>1041.0720502079055</v>
      </c>
      <c r="O280" s="361"/>
      <c r="P280" s="361">
        <f t="shared" si="94"/>
        <v>496789.6673873057</v>
      </c>
      <c r="Q280" s="357"/>
      <c r="R280" s="357"/>
      <c r="S280" s="357"/>
      <c r="T280" s="358"/>
      <c r="U280" s="358"/>
      <c r="V280" s="358"/>
      <c r="W280" s="358"/>
      <c r="X280" s="358"/>
      <c r="Y280" s="364"/>
      <c r="Z280" s="364"/>
      <c r="AA280" s="369"/>
      <c r="AB280" s="358"/>
      <c r="AC280" s="361"/>
      <c r="AD280" s="361"/>
      <c r="AE280" s="358"/>
      <c r="AF280" s="358"/>
      <c r="AG280" s="359"/>
    </row>
    <row r="281" spans="1:33" ht="13.8">
      <c r="A281" s="357"/>
      <c r="B281" s="357"/>
      <c r="C281" s="357"/>
      <c r="D281" s="357"/>
      <c r="E281" s="358" t="s">
        <v>603</v>
      </c>
      <c r="F281" s="358"/>
      <c r="G281" s="358"/>
      <c r="H281" s="358"/>
      <c r="I281" s="358"/>
      <c r="J281" s="364">
        <f>SUM(J269:J280)</f>
        <v>5948983.1440451732</v>
      </c>
      <c r="K281" s="364"/>
      <c r="L281" s="358"/>
      <c r="M281" s="358"/>
      <c r="N281" s="358"/>
      <c r="O281" s="358"/>
      <c r="P281" s="361">
        <f>SUM(P269:P280)</f>
        <v>6098897.5192751121</v>
      </c>
      <c r="Q281" s="357"/>
      <c r="R281" s="357"/>
      <c r="S281" s="357"/>
      <c r="T281" s="358"/>
      <c r="U281" s="358"/>
      <c r="V281" s="358"/>
      <c r="W281" s="358"/>
      <c r="X281" s="358"/>
      <c r="Y281" s="364"/>
      <c r="Z281" s="364"/>
      <c r="AA281" s="358"/>
      <c r="AB281" s="358"/>
      <c r="AC281" s="358"/>
      <c r="AD281" s="358"/>
      <c r="AE281" s="358"/>
      <c r="AF281" s="358"/>
      <c r="AG281" s="359"/>
    </row>
    <row r="282" spans="1:33" ht="13.8">
      <c r="A282" s="357"/>
      <c r="B282" s="357"/>
      <c r="C282" s="357"/>
      <c r="D282" s="357"/>
      <c r="E282" s="358"/>
      <c r="F282" s="358"/>
      <c r="G282" s="358"/>
      <c r="H282" s="358"/>
      <c r="I282" s="358"/>
      <c r="J282" s="364"/>
      <c r="K282" s="364"/>
      <c r="L282" s="358"/>
      <c r="M282" s="358"/>
      <c r="N282" s="358"/>
      <c r="O282" s="358"/>
      <c r="P282" s="361"/>
      <c r="Q282" s="357"/>
      <c r="R282" s="357"/>
      <c r="S282" s="357"/>
      <c r="T282" s="358"/>
      <c r="U282" s="358"/>
      <c r="V282" s="358"/>
      <c r="W282" s="358"/>
      <c r="X282" s="358"/>
      <c r="Y282" s="364"/>
      <c r="Z282" s="364"/>
      <c r="AA282" s="358"/>
      <c r="AB282" s="358"/>
      <c r="AC282" s="358"/>
      <c r="AD282" s="358"/>
      <c r="AE282" s="358"/>
      <c r="AF282" s="358"/>
      <c r="AG282" s="359"/>
    </row>
    <row r="283" spans="1:33" ht="13.8">
      <c r="A283" s="357"/>
      <c r="B283" s="357"/>
      <c r="C283" s="357"/>
      <c r="D283" s="357"/>
      <c r="E283" s="358"/>
      <c r="F283" s="358"/>
      <c r="G283" s="358"/>
      <c r="H283" s="358"/>
      <c r="I283" s="358"/>
      <c r="J283" s="368" t="s">
        <v>344</v>
      </c>
      <c r="K283" s="368"/>
      <c r="L283" s="357" t="s">
        <v>341</v>
      </c>
      <c r="M283" s="357" t="s">
        <v>345</v>
      </c>
      <c r="N283" s="357" t="s">
        <v>344</v>
      </c>
      <c r="O283" s="357"/>
      <c r="P283" s="358"/>
      <c r="Q283" s="357"/>
      <c r="R283" s="357"/>
      <c r="S283" s="357"/>
      <c r="T283" s="358"/>
      <c r="U283" s="358"/>
      <c r="V283" s="358"/>
      <c r="W283" s="358"/>
      <c r="X283" s="358"/>
      <c r="Y283" s="368"/>
      <c r="Z283" s="368"/>
      <c r="AA283" s="357"/>
      <c r="AB283" s="357"/>
      <c r="AC283" s="357"/>
      <c r="AD283" s="357"/>
      <c r="AE283" s="358"/>
      <c r="AF283" s="358"/>
      <c r="AG283" s="359"/>
    </row>
    <row r="284" spans="1:33" ht="13.8">
      <c r="A284" s="357"/>
      <c r="B284" s="357"/>
      <c r="C284" s="357"/>
      <c r="D284" s="357"/>
      <c r="E284" s="358" t="str">
        <f t="shared" ref="E284:E295" si="99">+E269</f>
        <v>Jun</v>
      </c>
      <c r="F284" s="358" t="str">
        <f>+F280</f>
        <v>Year 2</v>
      </c>
      <c r="G284" s="358"/>
      <c r="H284" s="358"/>
      <c r="I284" s="358"/>
      <c r="J284" s="364">
        <f>+P281</f>
        <v>6098897.5192751121</v>
      </c>
      <c r="K284" s="364"/>
      <c r="L284" s="844">
        <f>+L280</f>
        <v>4.1999999999999997E-3</v>
      </c>
      <c r="M284" s="361">
        <f>-PMT(L284,12,P281)</f>
        <v>522223.060975197</v>
      </c>
      <c r="N284" s="361">
        <f>+J284+J284*L284-M284</f>
        <v>5602289.8278808706</v>
      </c>
      <c r="O284" s="361"/>
      <c r="P284" s="358"/>
      <c r="Q284" s="357"/>
      <c r="R284" s="357"/>
      <c r="S284" s="357"/>
      <c r="T284" s="358"/>
      <c r="U284" s="358"/>
      <c r="V284" s="358"/>
      <c r="W284" s="358"/>
      <c r="X284" s="358"/>
      <c r="Y284" s="364"/>
      <c r="Z284" s="364"/>
      <c r="AA284" s="844"/>
      <c r="AB284" s="361"/>
      <c r="AC284" s="361"/>
      <c r="AD284" s="361"/>
      <c r="AE284" s="358"/>
      <c r="AF284" s="358"/>
      <c r="AG284" s="359"/>
    </row>
    <row r="285" spans="1:33" ht="13.8">
      <c r="A285" s="357"/>
      <c r="B285" s="357"/>
      <c r="C285" s="357"/>
      <c r="D285" s="357"/>
      <c r="E285" s="358" t="str">
        <f t="shared" si="99"/>
        <v>Jul</v>
      </c>
      <c r="F285" s="358" t="str">
        <f t="shared" ref="F285:F290" si="100">+F284</f>
        <v>Year 2</v>
      </c>
      <c r="G285" s="358"/>
      <c r="H285" s="358"/>
      <c r="I285" s="358"/>
      <c r="J285" s="364">
        <f t="shared" ref="J285:J295" si="101">+N284</f>
        <v>5602289.8278808706</v>
      </c>
      <c r="K285" s="364"/>
      <c r="L285" s="369">
        <f t="shared" ref="L285:M295" si="102">+L284</f>
        <v>4.1999999999999997E-3</v>
      </c>
      <c r="M285" s="364">
        <f t="shared" si="102"/>
        <v>522223.060975197</v>
      </c>
      <c r="N285" s="361">
        <f t="shared" ref="N285:N295" si="103">+J285+J285*L285-M285</f>
        <v>5103596.3841827735</v>
      </c>
      <c r="O285" s="361"/>
      <c r="P285" s="358"/>
      <c r="Q285" s="357"/>
      <c r="R285" s="357"/>
      <c r="S285" s="357"/>
      <c r="T285" s="358"/>
      <c r="U285" s="358"/>
      <c r="V285" s="358"/>
      <c r="W285" s="358"/>
      <c r="X285" s="358"/>
      <c r="Y285" s="364"/>
      <c r="Z285" s="364"/>
      <c r="AA285" s="369"/>
      <c r="AB285" s="364"/>
      <c r="AC285" s="361"/>
      <c r="AD285" s="361"/>
      <c r="AE285" s="358"/>
      <c r="AF285" s="358"/>
      <c r="AG285" s="359"/>
    </row>
    <row r="286" spans="1:33" ht="13.8">
      <c r="A286" s="357"/>
      <c r="B286" s="357"/>
      <c r="C286" s="357"/>
      <c r="D286" s="357"/>
      <c r="E286" s="358" t="str">
        <f t="shared" si="99"/>
        <v>Aug</v>
      </c>
      <c r="F286" s="358" t="str">
        <f t="shared" si="100"/>
        <v>Year 2</v>
      </c>
      <c r="G286" s="358"/>
      <c r="H286" s="358"/>
      <c r="I286" s="358"/>
      <c r="J286" s="364">
        <f t="shared" si="101"/>
        <v>5103596.3841827735</v>
      </c>
      <c r="K286" s="364"/>
      <c r="L286" s="369">
        <f t="shared" si="102"/>
        <v>4.1999999999999997E-3</v>
      </c>
      <c r="M286" s="364">
        <f t="shared" si="102"/>
        <v>522223.060975197</v>
      </c>
      <c r="N286" s="361">
        <f t="shared" si="103"/>
        <v>4602808.4280211441</v>
      </c>
      <c r="O286" s="361"/>
      <c r="P286" s="358"/>
      <c r="Q286" s="357"/>
      <c r="R286" s="357"/>
      <c r="S286" s="357"/>
      <c r="T286" s="358"/>
      <c r="U286" s="358"/>
      <c r="V286" s="358"/>
      <c r="W286" s="358"/>
      <c r="X286" s="358"/>
      <c r="Y286" s="364"/>
      <c r="Z286" s="364"/>
      <c r="AA286" s="369"/>
      <c r="AB286" s="364"/>
      <c r="AC286" s="361"/>
      <c r="AD286" s="361"/>
      <c r="AE286" s="358"/>
      <c r="AF286" s="358"/>
      <c r="AG286" s="359"/>
    </row>
    <row r="287" spans="1:33" ht="13.8">
      <c r="A287" s="357"/>
      <c r="B287" s="357"/>
      <c r="C287" s="357"/>
      <c r="D287" s="357"/>
      <c r="E287" s="358" t="str">
        <f t="shared" si="99"/>
        <v>Sep</v>
      </c>
      <c r="F287" s="358" t="str">
        <f t="shared" si="100"/>
        <v>Year 2</v>
      </c>
      <c r="G287" s="358"/>
      <c r="H287" s="358"/>
      <c r="I287" s="358"/>
      <c r="J287" s="364">
        <f t="shared" si="101"/>
        <v>4602808.4280211441</v>
      </c>
      <c r="K287" s="364"/>
      <c r="L287" s="369">
        <f t="shared" si="102"/>
        <v>4.1999999999999997E-3</v>
      </c>
      <c r="M287" s="364">
        <f t="shared" si="102"/>
        <v>522223.060975197</v>
      </c>
      <c r="N287" s="361">
        <f t="shared" si="103"/>
        <v>4099917.162443636</v>
      </c>
      <c r="O287" s="361"/>
      <c r="P287" s="358"/>
      <c r="Q287" s="357"/>
      <c r="R287" s="357"/>
      <c r="S287" s="357"/>
      <c r="T287" s="358"/>
      <c r="U287" s="358"/>
      <c r="V287" s="358"/>
      <c r="W287" s="358"/>
      <c r="X287" s="358"/>
      <c r="Y287" s="364"/>
      <c r="Z287" s="364"/>
      <c r="AA287" s="369"/>
      <c r="AB287" s="364"/>
      <c r="AC287" s="361"/>
      <c r="AD287" s="361"/>
      <c r="AE287" s="358"/>
      <c r="AF287" s="358"/>
      <c r="AG287" s="359"/>
    </row>
    <row r="288" spans="1:33" ht="13.8">
      <c r="A288" s="357"/>
      <c r="B288" s="357"/>
      <c r="C288" s="357"/>
      <c r="D288" s="357"/>
      <c r="E288" s="358" t="str">
        <f t="shared" si="99"/>
        <v>Oct</v>
      </c>
      <c r="F288" s="358" t="str">
        <f t="shared" si="100"/>
        <v>Year 2</v>
      </c>
      <c r="G288" s="358"/>
      <c r="H288" s="358"/>
      <c r="I288" s="358"/>
      <c r="J288" s="364">
        <f t="shared" si="101"/>
        <v>4099917.162443636</v>
      </c>
      <c r="K288" s="364"/>
      <c r="L288" s="369">
        <f t="shared" si="102"/>
        <v>4.1999999999999997E-3</v>
      </c>
      <c r="M288" s="364">
        <f t="shared" si="102"/>
        <v>522223.060975197</v>
      </c>
      <c r="N288" s="361">
        <f t="shared" si="103"/>
        <v>3594913.7535507027</v>
      </c>
      <c r="O288" s="361"/>
      <c r="P288" s="358"/>
      <c r="Q288" s="357"/>
      <c r="R288" s="357"/>
      <c r="S288" s="357"/>
      <c r="T288" s="358"/>
      <c r="U288" s="358"/>
      <c r="V288" s="358"/>
      <c r="W288" s="358"/>
      <c r="X288" s="358"/>
      <c r="Y288" s="364"/>
      <c r="Z288" s="364"/>
      <c r="AA288" s="369"/>
      <c r="AB288" s="364"/>
      <c r="AC288" s="361"/>
      <c r="AD288" s="361"/>
      <c r="AE288" s="358"/>
      <c r="AF288" s="358"/>
      <c r="AG288" s="359"/>
    </row>
    <row r="289" spans="1:33" ht="13.8">
      <c r="A289" s="357"/>
      <c r="B289" s="357"/>
      <c r="C289" s="357"/>
      <c r="D289" s="357"/>
      <c r="E289" s="358" t="str">
        <f t="shared" si="99"/>
        <v>Nov</v>
      </c>
      <c r="F289" s="358" t="str">
        <f t="shared" si="100"/>
        <v>Year 2</v>
      </c>
      <c r="G289" s="358"/>
      <c r="H289" s="358"/>
      <c r="I289" s="358"/>
      <c r="J289" s="364">
        <f t="shared" si="101"/>
        <v>3594913.7535507027</v>
      </c>
      <c r="K289" s="364"/>
      <c r="L289" s="369">
        <f t="shared" si="102"/>
        <v>4.1999999999999997E-3</v>
      </c>
      <c r="M289" s="364">
        <f t="shared" si="102"/>
        <v>522223.060975197</v>
      </c>
      <c r="N289" s="361">
        <f t="shared" si="103"/>
        <v>3087789.330340419</v>
      </c>
      <c r="O289" s="361"/>
      <c r="P289" s="358"/>
      <c r="Q289" s="357"/>
      <c r="R289" s="357"/>
      <c r="S289" s="357"/>
      <c r="T289" s="358"/>
      <c r="U289" s="358"/>
      <c r="V289" s="358"/>
      <c r="W289" s="358"/>
      <c r="X289" s="358"/>
      <c r="Y289" s="364"/>
      <c r="Z289" s="364"/>
      <c r="AA289" s="369"/>
      <c r="AB289" s="364"/>
      <c r="AC289" s="361"/>
      <c r="AD289" s="361"/>
      <c r="AE289" s="358"/>
      <c r="AF289" s="358"/>
      <c r="AG289" s="359"/>
    </row>
    <row r="290" spans="1:33" ht="13.8">
      <c r="A290" s="357"/>
      <c r="B290" s="357"/>
      <c r="C290" s="357"/>
      <c r="D290" s="357"/>
      <c r="E290" s="358" t="str">
        <f t="shared" si="99"/>
        <v>Dec</v>
      </c>
      <c r="F290" s="358" t="str">
        <f t="shared" si="100"/>
        <v>Year 2</v>
      </c>
      <c r="G290" s="358"/>
      <c r="H290" s="358"/>
      <c r="I290" s="358"/>
      <c r="J290" s="364">
        <f t="shared" si="101"/>
        <v>3087789.330340419</v>
      </c>
      <c r="K290" s="364"/>
      <c r="L290" s="369">
        <f t="shared" si="102"/>
        <v>4.1999999999999997E-3</v>
      </c>
      <c r="M290" s="364">
        <f t="shared" si="102"/>
        <v>522223.060975197</v>
      </c>
      <c r="N290" s="361">
        <f t="shared" si="103"/>
        <v>2578534.9845526516</v>
      </c>
      <c r="O290" s="361"/>
      <c r="P290" s="358"/>
      <c r="Q290" s="357"/>
      <c r="R290" s="357"/>
      <c r="S290" s="357"/>
      <c r="T290" s="358"/>
      <c r="U290" s="358"/>
      <c r="V290" s="358"/>
      <c r="W290" s="358"/>
      <c r="X290" s="358"/>
      <c r="Y290" s="364"/>
      <c r="Z290" s="364"/>
      <c r="AA290" s="369"/>
      <c r="AB290" s="364"/>
      <c r="AC290" s="361"/>
      <c r="AD290" s="361"/>
      <c r="AE290" s="358"/>
      <c r="AF290" s="358"/>
      <c r="AG290" s="359"/>
    </row>
    <row r="291" spans="1:33" ht="13.8">
      <c r="A291" s="357"/>
      <c r="B291" s="357"/>
      <c r="C291" s="357"/>
      <c r="D291" s="357"/>
      <c r="E291" s="358" t="str">
        <f t="shared" si="99"/>
        <v>Jan</v>
      </c>
      <c r="F291" s="358" t="s">
        <v>288</v>
      </c>
      <c r="G291" s="358"/>
      <c r="H291" s="358"/>
      <c r="I291" s="358"/>
      <c r="J291" s="364">
        <f t="shared" si="101"/>
        <v>2578534.9845526516</v>
      </c>
      <c r="K291" s="364"/>
      <c r="L291" s="369">
        <f t="shared" si="102"/>
        <v>4.1999999999999997E-3</v>
      </c>
      <c r="M291" s="364">
        <f t="shared" si="102"/>
        <v>522223.060975197</v>
      </c>
      <c r="N291" s="361">
        <f t="shared" si="103"/>
        <v>2067141.770512576</v>
      </c>
      <c r="O291" s="361"/>
      <c r="P291" s="358"/>
      <c r="Q291" s="357"/>
      <c r="R291" s="357"/>
      <c r="S291" s="357"/>
      <c r="T291" s="358"/>
      <c r="U291" s="358"/>
      <c r="V291" s="358"/>
      <c r="W291" s="358"/>
      <c r="X291" s="358"/>
      <c r="Y291" s="364"/>
      <c r="Z291" s="364"/>
      <c r="AA291" s="369"/>
      <c r="AB291" s="364"/>
      <c r="AC291" s="361"/>
      <c r="AD291" s="361"/>
      <c r="AE291" s="358"/>
      <c r="AF291" s="358"/>
      <c r="AG291" s="359"/>
    </row>
    <row r="292" spans="1:33" ht="13.8">
      <c r="A292" s="357"/>
      <c r="B292" s="357"/>
      <c r="C292" s="357"/>
      <c r="D292" s="357"/>
      <c r="E292" s="358" t="str">
        <f t="shared" si="99"/>
        <v>Feb</v>
      </c>
      <c r="F292" s="358" t="str">
        <f>+F291</f>
        <v>Year 3</v>
      </c>
      <c r="G292" s="358"/>
      <c r="H292" s="358"/>
      <c r="I292" s="358"/>
      <c r="J292" s="364">
        <f t="shared" si="101"/>
        <v>2067141.770512576</v>
      </c>
      <c r="K292" s="364"/>
      <c r="L292" s="369">
        <f t="shared" si="102"/>
        <v>4.1999999999999997E-3</v>
      </c>
      <c r="M292" s="364">
        <f t="shared" si="102"/>
        <v>522223.060975197</v>
      </c>
      <c r="N292" s="361">
        <f t="shared" si="103"/>
        <v>1553600.7049735319</v>
      </c>
      <c r="O292" s="361"/>
      <c r="P292" s="358"/>
      <c r="Q292" s="357"/>
      <c r="R292" s="357"/>
      <c r="S292" s="357"/>
      <c r="T292" s="358"/>
      <c r="U292" s="358"/>
      <c r="V292" s="358"/>
      <c r="W292" s="358"/>
      <c r="X292" s="358"/>
      <c r="Y292" s="364"/>
      <c r="Z292" s="364"/>
      <c r="AA292" s="369"/>
      <c r="AB292" s="364"/>
      <c r="AC292" s="361"/>
      <c r="AD292" s="361"/>
      <c r="AE292" s="358"/>
      <c r="AF292" s="358"/>
      <c r="AG292" s="359"/>
    </row>
    <row r="293" spans="1:33" ht="13.8">
      <c r="A293" s="357"/>
      <c r="B293" s="357"/>
      <c r="C293" s="357"/>
      <c r="D293" s="357"/>
      <c r="E293" s="358" t="str">
        <f t="shared" si="99"/>
        <v>Mar</v>
      </c>
      <c r="F293" s="358" t="str">
        <f>+F292</f>
        <v>Year 3</v>
      </c>
      <c r="G293" s="358"/>
      <c r="H293" s="358"/>
      <c r="I293" s="358"/>
      <c r="J293" s="364">
        <f t="shared" si="101"/>
        <v>1553600.7049735319</v>
      </c>
      <c r="K293" s="364"/>
      <c r="L293" s="369">
        <f t="shared" si="102"/>
        <v>4.1999999999999997E-3</v>
      </c>
      <c r="M293" s="364">
        <f t="shared" si="102"/>
        <v>522223.060975197</v>
      </c>
      <c r="N293" s="361">
        <f t="shared" si="103"/>
        <v>1037902.7669592237</v>
      </c>
      <c r="O293" s="361"/>
      <c r="P293" s="358"/>
      <c r="Q293" s="357"/>
      <c r="R293" s="357"/>
      <c r="S293" s="357"/>
      <c r="T293" s="358"/>
      <c r="U293" s="358"/>
      <c r="V293" s="358"/>
      <c r="W293" s="358"/>
      <c r="X293" s="358"/>
      <c r="Y293" s="364"/>
      <c r="Z293" s="364"/>
      <c r="AA293" s="369"/>
      <c r="AB293" s="364"/>
      <c r="AC293" s="361"/>
      <c r="AD293" s="361"/>
      <c r="AE293" s="358"/>
      <c r="AF293" s="358"/>
      <c r="AG293" s="359"/>
    </row>
    <row r="294" spans="1:33" ht="13.8">
      <c r="A294" s="357"/>
      <c r="B294" s="357"/>
      <c r="C294" s="357"/>
      <c r="D294" s="357"/>
      <c r="E294" s="358" t="str">
        <f t="shared" si="99"/>
        <v>Apr</v>
      </c>
      <c r="F294" s="358" t="str">
        <f>+F293</f>
        <v>Year 3</v>
      </c>
      <c r="G294" s="358"/>
      <c r="H294" s="358"/>
      <c r="I294" s="358"/>
      <c r="J294" s="364">
        <f t="shared" si="101"/>
        <v>1037902.7669592237</v>
      </c>
      <c r="K294" s="364"/>
      <c r="L294" s="369">
        <f t="shared" si="102"/>
        <v>4.1999999999999997E-3</v>
      </c>
      <c r="M294" s="364">
        <f t="shared" si="102"/>
        <v>522223.060975197</v>
      </c>
      <c r="N294" s="361">
        <f t="shared" si="103"/>
        <v>520038.89760525536</v>
      </c>
      <c r="O294" s="361"/>
      <c r="P294" s="358"/>
      <c r="Q294" s="357"/>
      <c r="R294" s="357"/>
      <c r="S294" s="357"/>
      <c r="T294" s="358"/>
      <c r="U294" s="358"/>
      <c r="V294" s="358"/>
      <c r="W294" s="358"/>
      <c r="X294" s="358"/>
      <c r="Y294" s="364"/>
      <c r="Z294" s="364"/>
      <c r="AA294" s="369"/>
      <c r="AB294" s="364"/>
      <c r="AC294" s="361"/>
      <c r="AD294" s="361"/>
      <c r="AE294" s="358"/>
      <c r="AF294" s="358"/>
      <c r="AG294" s="359"/>
    </row>
    <row r="295" spans="1:33" ht="13.8">
      <c r="A295" s="357"/>
      <c r="B295" s="357"/>
      <c r="C295" s="357"/>
      <c r="D295" s="357"/>
      <c r="E295" s="358" t="str">
        <f t="shared" si="99"/>
        <v>May</v>
      </c>
      <c r="F295" s="358" t="str">
        <f>+F294</f>
        <v>Year 3</v>
      </c>
      <c r="G295" s="358"/>
      <c r="H295" s="358"/>
      <c r="I295" s="358"/>
      <c r="J295" s="364">
        <f t="shared" si="101"/>
        <v>520038.89760525536</v>
      </c>
      <c r="K295" s="364"/>
      <c r="L295" s="369">
        <f t="shared" si="102"/>
        <v>4.1999999999999997E-3</v>
      </c>
      <c r="M295" s="364">
        <f t="shared" si="102"/>
        <v>522223.060975197</v>
      </c>
      <c r="N295" s="361">
        <f t="shared" si="103"/>
        <v>0</v>
      </c>
      <c r="O295" s="361"/>
      <c r="P295" s="358"/>
      <c r="Q295" s="357"/>
      <c r="R295" s="357"/>
      <c r="S295" s="357"/>
      <c r="T295" s="358"/>
      <c r="U295" s="358"/>
      <c r="V295" s="358"/>
      <c r="W295" s="358"/>
      <c r="X295" s="358"/>
      <c r="Y295" s="364"/>
      <c r="Z295" s="364"/>
      <c r="AA295" s="369"/>
      <c r="AB295" s="364"/>
      <c r="AC295" s="361"/>
      <c r="AD295" s="361"/>
      <c r="AE295" s="358"/>
      <c r="AF295" s="358"/>
      <c r="AG295" s="359"/>
    </row>
    <row r="296" spans="1:33" ht="13.8">
      <c r="A296" s="357"/>
      <c r="B296" s="357"/>
      <c r="C296" s="357"/>
      <c r="D296" s="357"/>
      <c r="E296" s="358" t="s">
        <v>401</v>
      </c>
      <c r="F296" s="358"/>
      <c r="G296" s="358"/>
      <c r="H296" s="358"/>
      <c r="I296" s="358"/>
      <c r="J296" s="358"/>
      <c r="K296" s="358"/>
      <c r="L296" s="358"/>
      <c r="M296" s="364">
        <f>SUM(M284:M295)</f>
        <v>6266676.7317023622</v>
      </c>
      <c r="Q296" s="357"/>
      <c r="R296" s="357"/>
      <c r="S296" s="357"/>
      <c r="T296" s="358"/>
      <c r="U296" s="358"/>
      <c r="V296" s="358"/>
      <c r="W296" s="358"/>
      <c r="X296" s="358"/>
      <c r="Y296" s="358"/>
      <c r="Z296" s="358"/>
      <c r="AA296" s="358"/>
      <c r="AB296" s="364"/>
      <c r="AE296" s="358"/>
      <c r="AF296" s="358"/>
      <c r="AG296" s="359"/>
    </row>
    <row r="297" spans="1:33" ht="13.8">
      <c r="A297" s="357"/>
      <c r="B297" s="357"/>
      <c r="C297" s="357"/>
      <c r="D297" s="357"/>
      <c r="E297" s="358"/>
      <c r="F297" s="358"/>
      <c r="G297" s="358"/>
      <c r="H297" s="358"/>
      <c r="I297" s="358"/>
      <c r="J297" s="358"/>
      <c r="K297" s="358"/>
      <c r="L297" s="358"/>
      <c r="M297" s="358"/>
      <c r="N297" s="358"/>
      <c r="O297" s="358"/>
      <c r="P297" s="358"/>
      <c r="Q297" s="357"/>
      <c r="R297" s="357"/>
      <c r="S297" s="357"/>
      <c r="T297" s="358"/>
      <c r="U297" s="358"/>
      <c r="V297" s="358"/>
      <c r="W297" s="358"/>
      <c r="X297" s="358"/>
      <c r="Y297" s="358"/>
      <c r="Z297" s="358"/>
      <c r="AA297" s="358"/>
      <c r="AB297" s="358"/>
      <c r="AC297" s="358"/>
      <c r="AD297" s="358"/>
      <c r="AE297" s="358"/>
      <c r="AF297" s="358"/>
      <c r="AG297" s="359"/>
    </row>
    <row r="298" spans="1:33" ht="13.8">
      <c r="B298" s="357"/>
      <c r="C298" s="357"/>
      <c r="D298" s="357"/>
      <c r="E298" s="1087" t="s">
        <v>620</v>
      </c>
      <c r="F298" s="781"/>
      <c r="G298" s="781"/>
      <c r="H298" s="781"/>
      <c r="I298" s="781"/>
      <c r="J298" s="781"/>
      <c r="K298" s="781"/>
      <c r="L298" s="781"/>
      <c r="M298" s="376">
        <f>+M296</f>
        <v>6266676.7317023622</v>
      </c>
      <c r="N298" s="450" t="s">
        <v>1238</v>
      </c>
      <c r="O298" s="357"/>
      <c r="Q298" s="357"/>
      <c r="R298" s="357"/>
      <c r="S298" s="357"/>
      <c r="T298" s="1087"/>
      <c r="U298" s="781"/>
      <c r="V298" s="781"/>
      <c r="W298" s="781"/>
      <c r="X298" s="781"/>
      <c r="Y298" s="781"/>
      <c r="Z298" s="781"/>
      <c r="AA298" s="781"/>
      <c r="AB298" s="376"/>
      <c r="AC298" s="450"/>
      <c r="AD298" s="357"/>
      <c r="AE298" s="358"/>
      <c r="AF298" s="358"/>
      <c r="AG298" s="359"/>
    </row>
    <row r="299" spans="1:33" ht="13.8">
      <c r="B299" s="357"/>
      <c r="C299" s="357"/>
      <c r="D299" s="357"/>
      <c r="E299" s="1087" t="s">
        <v>286</v>
      </c>
      <c r="F299" s="781"/>
      <c r="G299" s="781"/>
      <c r="H299" s="781"/>
      <c r="I299" s="781"/>
      <c r="J299" s="781"/>
      <c r="K299" s="781"/>
      <c r="L299" s="781"/>
      <c r="M299" s="471">
        <f>D216</f>
        <v>247484300.8421154</v>
      </c>
      <c r="N299" s="357"/>
      <c r="O299" s="357"/>
      <c r="Q299" s="357"/>
      <c r="R299" s="357"/>
      <c r="S299" s="357"/>
      <c r="T299" s="1087"/>
      <c r="U299" s="781"/>
      <c r="V299" s="781"/>
      <c r="W299" s="781"/>
      <c r="X299" s="781"/>
      <c r="Y299" s="781"/>
      <c r="Z299" s="781"/>
      <c r="AA299" s="781"/>
      <c r="AB299" s="471"/>
      <c r="AC299" s="357"/>
      <c r="AD299" s="357"/>
      <c r="AE299" s="358"/>
      <c r="AF299" s="358"/>
      <c r="AG299" s="359"/>
    </row>
    <row r="300" spans="1:33" ht="13.8">
      <c r="B300" s="357"/>
      <c r="C300" s="357"/>
      <c r="D300" s="357"/>
      <c r="E300" s="1087" t="s">
        <v>287</v>
      </c>
      <c r="F300" s="781"/>
      <c r="G300" s="781"/>
      <c r="H300" s="781"/>
      <c r="I300" s="781"/>
      <c r="J300" s="781"/>
      <c r="K300" s="781"/>
      <c r="L300" s="781"/>
      <c r="M300" s="364">
        <f>M298+M299</f>
        <v>253750977.57381776</v>
      </c>
      <c r="N300" s="368"/>
      <c r="O300" s="357"/>
      <c r="Q300" s="357"/>
      <c r="R300" s="357"/>
      <c r="S300" s="357"/>
      <c r="T300" s="1087"/>
      <c r="U300" s="781"/>
      <c r="V300" s="781"/>
      <c r="W300" s="781"/>
      <c r="X300" s="781"/>
      <c r="Y300" s="781"/>
      <c r="Z300" s="781"/>
      <c r="AA300" s="781"/>
      <c r="AB300" s="364"/>
      <c r="AC300" s="357"/>
      <c r="AD300" s="357"/>
      <c r="AE300" s="358"/>
      <c r="AF300" s="358"/>
      <c r="AG300" s="359"/>
    </row>
    <row r="301" spans="1:33" ht="14.4" thickBot="1">
      <c r="B301" s="357"/>
      <c r="C301" s="357"/>
      <c r="D301" s="357"/>
      <c r="E301" s="1088"/>
      <c r="F301" s="781"/>
      <c r="G301" s="781"/>
      <c r="H301" s="781"/>
      <c r="I301" s="781"/>
      <c r="J301" s="781"/>
      <c r="K301" s="781"/>
      <c r="L301" s="781"/>
      <c r="M301" s="364"/>
      <c r="N301" s="357"/>
      <c r="O301" s="357"/>
      <c r="P301" s="212"/>
      <c r="Q301" s="357"/>
      <c r="R301" s="357"/>
      <c r="S301" s="357"/>
      <c r="T301" s="1088"/>
      <c r="U301" s="781"/>
      <c r="V301" s="781"/>
      <c r="W301" s="781"/>
      <c r="X301" s="781"/>
      <c r="Y301" s="781"/>
      <c r="Z301" s="781"/>
      <c r="AA301" s="781"/>
      <c r="AB301" s="364"/>
      <c r="AC301" s="357"/>
      <c r="AD301" s="357"/>
      <c r="AE301" s="358"/>
      <c r="AF301" s="358"/>
      <c r="AG301" s="359"/>
    </row>
    <row r="302" spans="1:33" ht="14.4" thickBot="1">
      <c r="B302" s="357"/>
      <c r="C302" s="357"/>
      <c r="D302" s="2080" t="s">
        <v>322</v>
      </c>
      <c r="E302" s="2081"/>
      <c r="F302" s="2081"/>
      <c r="G302" s="2081"/>
      <c r="H302" s="2081"/>
      <c r="I302" s="2081"/>
      <c r="J302" s="2081"/>
      <c r="K302" s="2081"/>
      <c r="L302" s="2081"/>
      <c r="M302" s="2081"/>
      <c r="N302" s="2081"/>
      <c r="O302" s="2081"/>
      <c r="P302" s="2081"/>
      <c r="Q302" s="2081"/>
      <c r="R302" s="2081"/>
      <c r="S302" s="2081"/>
      <c r="T302" s="2081"/>
      <c r="U302" s="2081"/>
      <c r="V302" s="2082"/>
      <c r="W302" s="358"/>
      <c r="X302" s="358"/>
      <c r="Y302" s="358"/>
      <c r="Z302" s="358"/>
      <c r="AA302" s="358"/>
      <c r="AB302" s="358"/>
      <c r="AC302" s="358"/>
      <c r="AD302" s="358"/>
      <c r="AE302" s="358"/>
      <c r="AF302" s="358"/>
      <c r="AG302" s="359"/>
    </row>
    <row r="303" spans="1:33" ht="57" customHeight="1" thickBot="1">
      <c r="B303" s="357"/>
      <c r="C303" s="357"/>
      <c r="D303" s="1805" t="s">
        <v>952</v>
      </c>
      <c r="E303" s="1543" t="s">
        <v>684</v>
      </c>
      <c r="F303" s="1543" t="s">
        <v>483</v>
      </c>
      <c r="G303" s="1543" t="s">
        <v>743</v>
      </c>
      <c r="H303" s="1543" t="s">
        <v>484</v>
      </c>
      <c r="I303" s="1543" t="s">
        <v>748</v>
      </c>
      <c r="J303" s="1544" t="s">
        <v>463</v>
      </c>
      <c r="K303" s="1543" t="s">
        <v>461</v>
      </c>
      <c r="L303" s="1544" t="s">
        <v>462</v>
      </c>
      <c r="M303" s="1544" t="s">
        <v>884</v>
      </c>
      <c r="N303" s="1544" t="s">
        <v>396</v>
      </c>
      <c r="O303" s="1544" t="s">
        <v>882</v>
      </c>
      <c r="P303" s="1544" t="s">
        <v>883</v>
      </c>
      <c r="Q303" s="1544" t="s">
        <v>1216</v>
      </c>
      <c r="R303" s="1544" t="s">
        <v>1052</v>
      </c>
      <c r="S303" s="1544" t="s">
        <v>1089</v>
      </c>
      <c r="T303" s="1544" t="s">
        <v>1054</v>
      </c>
      <c r="U303" s="1544" t="s">
        <v>1055</v>
      </c>
      <c r="V303" s="1808" t="s">
        <v>1112</v>
      </c>
      <c r="W303" s="358"/>
      <c r="X303" s="358"/>
      <c r="Y303" s="358"/>
      <c r="Z303" s="358"/>
      <c r="AA303" s="358"/>
      <c r="AB303" s="358"/>
      <c r="AC303" s="358"/>
      <c r="AD303" s="358"/>
      <c r="AE303" s="358"/>
      <c r="AF303" s="358"/>
      <c r="AG303" s="359"/>
    </row>
    <row r="304" spans="1:33" ht="15" thickBot="1">
      <c r="B304" s="357"/>
      <c r="C304" s="357"/>
      <c r="D304" s="1806">
        <v>6266676.7317023324</v>
      </c>
      <c r="E304" s="1606">
        <v>6672.7687342870031</v>
      </c>
      <c r="F304" s="1606">
        <v>26519.929426397019</v>
      </c>
      <c r="G304" s="1606">
        <v>12873.037472305949</v>
      </c>
      <c r="H304" s="1606">
        <v>14947.195092161814</v>
      </c>
      <c r="I304" s="1606">
        <v>15345.698192895132</v>
      </c>
      <c r="J304" s="1606">
        <v>104569.49450055354</v>
      </c>
      <c r="K304" s="1606">
        <v>16049.814957911827</v>
      </c>
      <c r="L304" s="1606">
        <v>19841.22319814545</v>
      </c>
      <c r="M304" s="1606">
        <v>18346.6528782651</v>
      </c>
      <c r="N304" s="1606">
        <v>5304.6932521135486</v>
      </c>
      <c r="O304" s="1606">
        <v>90504.686839300761</v>
      </c>
      <c r="P304" s="1606">
        <v>49535.396733767106</v>
      </c>
      <c r="Q304" s="1606">
        <v>2946361.8269589269</v>
      </c>
      <c r="R304" s="1606">
        <v>71088.273305084454</v>
      </c>
      <c r="S304" s="1606">
        <v>48133.531782497572</v>
      </c>
      <c r="T304" s="1606">
        <v>8269.4285293872854</v>
      </c>
      <c r="U304" s="1606">
        <v>2560.8629172227397</v>
      </c>
      <c r="V304" s="1802">
        <v>15020.475080327453</v>
      </c>
      <c r="W304" s="358"/>
      <c r="X304" s="358"/>
      <c r="Y304" s="358"/>
      <c r="Z304" s="358"/>
      <c r="AA304" s="358"/>
      <c r="AB304" s="358"/>
      <c r="AC304" s="358"/>
      <c r="AD304" s="358"/>
      <c r="AE304" s="358"/>
      <c r="AF304" s="358"/>
      <c r="AG304" s="359"/>
    </row>
    <row r="305" spans="1:33" ht="14.4" thickBot="1">
      <c r="B305" s="357"/>
      <c r="C305" s="357"/>
      <c r="D305" s="451"/>
      <c r="E305" s="1807"/>
      <c r="F305" s="782"/>
      <c r="G305" s="782"/>
      <c r="H305" s="782"/>
      <c r="I305" s="782"/>
      <c r="J305" s="782"/>
      <c r="K305" s="782"/>
      <c r="L305" s="782"/>
      <c r="M305" s="376"/>
      <c r="N305" s="451"/>
      <c r="O305" s="451"/>
      <c r="P305" s="2"/>
      <c r="Q305" s="374"/>
      <c r="R305" s="374"/>
      <c r="S305" s="374"/>
      <c r="T305" s="374"/>
      <c r="U305" s="374"/>
      <c r="V305" s="374"/>
      <c r="W305" s="358"/>
      <c r="X305" s="358"/>
      <c r="Y305" s="358"/>
      <c r="Z305" s="358"/>
      <c r="AA305" s="358"/>
      <c r="AB305" s="358"/>
      <c r="AC305" s="358"/>
      <c r="AD305" s="358"/>
      <c r="AE305" s="358"/>
      <c r="AF305" s="358"/>
      <c r="AG305" s="359"/>
    </row>
    <row r="306" spans="1:33" ht="26.4">
      <c r="B306" s="357"/>
      <c r="C306" s="357"/>
      <c r="D306" s="451"/>
      <c r="E306" s="1598" t="s">
        <v>1113</v>
      </c>
      <c r="F306" s="1241" t="s">
        <v>1107</v>
      </c>
      <c r="G306" s="1241" t="s">
        <v>1146</v>
      </c>
      <c r="H306" s="1241" t="s">
        <v>1083</v>
      </c>
      <c r="I306" s="1782" t="s">
        <v>1108</v>
      </c>
      <c r="J306" s="1599" t="s">
        <v>1109</v>
      </c>
      <c r="K306" s="1241" t="s">
        <v>1138</v>
      </c>
      <c r="L306" s="1241" t="s">
        <v>1139</v>
      </c>
      <c r="M306" s="1241" t="s">
        <v>1110</v>
      </c>
      <c r="N306" s="1241" t="s">
        <v>1111</v>
      </c>
      <c r="O306" s="1241" t="s">
        <v>1147</v>
      </c>
      <c r="P306" s="1241" t="s">
        <v>1071</v>
      </c>
      <c r="Q306" s="1241" t="s">
        <v>1140</v>
      </c>
      <c r="R306" s="1241" t="s">
        <v>1092</v>
      </c>
      <c r="S306" s="1241" t="s">
        <v>1141</v>
      </c>
      <c r="T306" s="1241" t="s">
        <v>1142</v>
      </c>
      <c r="U306" s="1241" t="s">
        <v>1143</v>
      </c>
      <c r="V306" s="1850" t="s">
        <v>1161</v>
      </c>
      <c r="W306" s="358"/>
      <c r="X306" s="358"/>
      <c r="Y306" s="358"/>
      <c r="Z306" s="358"/>
      <c r="AA306" s="358"/>
      <c r="AB306" s="358"/>
      <c r="AC306" s="358"/>
      <c r="AD306" s="358"/>
      <c r="AE306" s="358"/>
      <c r="AF306" s="358"/>
      <c r="AG306" s="359"/>
    </row>
    <row r="307" spans="1:33" ht="14.4" thickBot="1">
      <c r="B307" s="357"/>
      <c r="C307" s="357"/>
      <c r="D307" s="451"/>
      <c r="E307" s="1957">
        <v>182759.11215689947</v>
      </c>
      <c r="F307" s="1606">
        <v>1367.9124943015804</v>
      </c>
      <c r="G307" s="1606">
        <v>39244.611481840395</v>
      </c>
      <c r="H307" s="1606">
        <v>1990.2725681915615</v>
      </c>
      <c r="I307" s="1606">
        <v>3738.4626032703873</v>
      </c>
      <c r="J307" s="1606">
        <v>5535.3519605494766</v>
      </c>
      <c r="K307" s="1606">
        <v>112674.89384405308</v>
      </c>
      <c r="L307" s="1606">
        <v>10332.330197558034</v>
      </c>
      <c r="M307" s="1606">
        <v>96748.603198256082</v>
      </c>
      <c r="N307" s="1606">
        <v>84202.404465804429</v>
      </c>
      <c r="O307" s="1606">
        <v>1774.8692830216478</v>
      </c>
      <c r="P307" s="1606">
        <v>136064.83256224648</v>
      </c>
      <c r="Q307" s="1606">
        <v>15359.590991544397</v>
      </c>
      <c r="R307" s="1606">
        <v>32002.256709623438</v>
      </c>
      <c r="S307" s="1606">
        <v>280034.91170784831</v>
      </c>
      <c r="T307" s="1606">
        <v>31436.011026582972</v>
      </c>
      <c r="U307" s="1954">
        <v>2804.4518491497338</v>
      </c>
      <c r="V307" s="1955">
        <v>2262.8352791846387</v>
      </c>
      <c r="W307" s="358"/>
      <c r="X307" s="358"/>
      <c r="Y307" s="358"/>
      <c r="Z307" s="358"/>
      <c r="AA307" s="358"/>
      <c r="AB307" s="358"/>
      <c r="AC307" s="358"/>
      <c r="AD307" s="358"/>
      <c r="AE307" s="358"/>
      <c r="AF307" s="358"/>
      <c r="AG307" s="359"/>
    </row>
    <row r="308" spans="1:33" ht="14.4" thickBot="1">
      <c r="B308" s="357"/>
      <c r="C308" s="357"/>
      <c r="D308" s="451"/>
      <c r="E308" s="1601"/>
      <c r="F308" s="1601"/>
      <c r="G308" s="1601"/>
      <c r="H308" s="1601"/>
      <c r="I308" s="1601"/>
      <c r="J308" s="1601"/>
      <c r="K308" s="1601"/>
      <c r="L308" s="1601"/>
      <c r="M308" s="1601"/>
      <c r="N308" s="1601"/>
      <c r="O308" s="1601"/>
      <c r="P308" s="1601"/>
      <c r="Q308" s="1601"/>
      <c r="R308" s="1601"/>
      <c r="S308" s="1601"/>
      <c r="T308" s="1601"/>
      <c r="U308" s="1601"/>
      <c r="V308" s="1601"/>
      <c r="W308" s="358"/>
      <c r="X308" s="358"/>
      <c r="Y308" s="358"/>
      <c r="Z308" s="358"/>
      <c r="AA308" s="358"/>
      <c r="AB308" s="358"/>
      <c r="AC308" s="358"/>
      <c r="AD308" s="358"/>
      <c r="AE308" s="358"/>
      <c r="AF308" s="358"/>
      <c r="AG308" s="359"/>
    </row>
    <row r="309" spans="1:33" ht="28.5" customHeight="1">
      <c r="B309" s="357"/>
      <c r="C309" s="357"/>
      <c r="D309" s="451"/>
      <c r="E309" s="1781" t="s">
        <v>1081</v>
      </c>
      <c r="F309" s="1782" t="s">
        <v>1217</v>
      </c>
      <c r="G309" s="1241" t="s">
        <v>1160</v>
      </c>
      <c r="H309" s="1783" t="s">
        <v>1100</v>
      </c>
      <c r="I309" s="1783" t="s">
        <v>1162</v>
      </c>
      <c r="J309" s="1783" t="s">
        <v>1226</v>
      </c>
      <c r="K309" s="1783" t="s">
        <v>1164</v>
      </c>
      <c r="L309" s="1783" t="s">
        <v>1165</v>
      </c>
      <c r="M309" s="1783" t="s">
        <v>1167</v>
      </c>
      <c r="N309" s="1783" t="s">
        <v>1168</v>
      </c>
      <c r="O309" s="1783" t="s">
        <v>1169</v>
      </c>
      <c r="P309" s="1783" t="s">
        <v>1170</v>
      </c>
      <c r="Q309" s="1783" t="s">
        <v>1096</v>
      </c>
      <c r="R309" s="1783" t="s">
        <v>1224</v>
      </c>
      <c r="S309" s="1783" t="s">
        <v>1242</v>
      </c>
      <c r="T309" s="1783" t="s">
        <v>1220</v>
      </c>
      <c r="U309" s="1783" t="s">
        <v>1240</v>
      </c>
      <c r="V309" s="1783" t="s">
        <v>1219</v>
      </c>
      <c r="W309" s="358"/>
      <c r="X309" s="358"/>
      <c r="Y309" s="358"/>
      <c r="Z309" s="358"/>
      <c r="AA309" s="358"/>
      <c r="AB309" s="358"/>
      <c r="AC309" s="358"/>
      <c r="AD309" s="358"/>
      <c r="AE309" s="358"/>
      <c r="AF309" s="358"/>
      <c r="AG309" s="359"/>
    </row>
    <row r="310" spans="1:33" ht="14.4" thickBot="1">
      <c r="B310" s="357"/>
      <c r="C310" s="357"/>
      <c r="D310" s="451"/>
      <c r="E310" s="1958">
        <v>1551.0048575182338</v>
      </c>
      <c r="F310" s="1606">
        <v>131087.48395526342</v>
      </c>
      <c r="G310" s="1954">
        <v>122746.68771666037</v>
      </c>
      <c r="H310" s="1802">
        <v>3508.3438374607244</v>
      </c>
      <c r="I310" s="1802">
        <v>89826.60015951973</v>
      </c>
      <c r="J310" s="1802">
        <v>4398.6180742828756</v>
      </c>
      <c r="K310" s="1802">
        <v>3382.0179278916439</v>
      </c>
      <c r="L310" s="1802">
        <v>24693.477841939046</v>
      </c>
      <c r="M310" s="1802">
        <v>53690.343201183285</v>
      </c>
      <c r="N310" s="1802">
        <v>81885.042229751809</v>
      </c>
      <c r="O310" s="1802">
        <v>5102.9030955582184</v>
      </c>
      <c r="P310" s="1802">
        <v>3046.758462372647</v>
      </c>
      <c r="Q310" s="1802">
        <v>7334.9373243032524</v>
      </c>
      <c r="R310" s="1802">
        <v>331074.17927084508</v>
      </c>
      <c r="S310" s="1802">
        <v>145428.79336958966</v>
      </c>
      <c r="T310" s="1802">
        <v>125653.86650315054</v>
      </c>
      <c r="U310" s="1802">
        <v>113304.72768399797</v>
      </c>
      <c r="V310" s="1802">
        <v>230628.62313512529</v>
      </c>
      <c r="W310" s="358"/>
      <c r="X310" s="358"/>
      <c r="Y310" s="358"/>
      <c r="Z310" s="358"/>
      <c r="AA310" s="358"/>
      <c r="AB310" s="358"/>
      <c r="AC310" s="358"/>
      <c r="AD310" s="358"/>
      <c r="AE310" s="358"/>
      <c r="AF310" s="358"/>
      <c r="AG310" s="359"/>
    </row>
    <row r="311" spans="1:33" ht="14.4" thickBot="1">
      <c r="B311" s="357"/>
      <c r="C311" s="357"/>
      <c r="D311" s="357"/>
      <c r="E311" s="1088"/>
      <c r="F311" s="781"/>
      <c r="G311" s="781"/>
      <c r="H311" s="781"/>
      <c r="I311" s="781"/>
      <c r="J311" s="781"/>
      <c r="K311" s="781"/>
      <c r="L311" s="781"/>
      <c r="M311" s="364"/>
      <c r="N311" s="357"/>
      <c r="O311" s="357"/>
      <c r="Q311" s="358"/>
      <c r="R311" s="358"/>
      <c r="S311" s="358"/>
      <c r="T311" s="358"/>
      <c r="U311" s="358"/>
      <c r="V311" s="358"/>
      <c r="W311" s="358"/>
      <c r="X311" s="358"/>
      <c r="Y311" s="358"/>
      <c r="Z311" s="358"/>
      <c r="AA311" s="358"/>
      <c r="AB311" s="358"/>
      <c r="AC311" s="358"/>
      <c r="AD311" s="358"/>
      <c r="AE311" s="358"/>
      <c r="AF311" s="358"/>
      <c r="AG311" s="359"/>
    </row>
    <row r="312" spans="1:33" ht="13.8">
      <c r="B312" s="357"/>
      <c r="C312" s="357"/>
      <c r="D312" s="357"/>
      <c r="E312" s="1781" t="s">
        <v>1256</v>
      </c>
      <c r="F312" s="1782" t="s">
        <v>1251</v>
      </c>
      <c r="G312" s="1241" t="s">
        <v>1242</v>
      </c>
      <c r="H312" s="1241" t="s">
        <v>1277</v>
      </c>
      <c r="I312" s="781"/>
      <c r="J312" s="781"/>
      <c r="K312" s="781"/>
      <c r="L312" s="781"/>
      <c r="M312" s="364"/>
      <c r="N312" s="357"/>
      <c r="O312" s="357"/>
      <c r="Q312" s="358"/>
      <c r="R312" s="358"/>
      <c r="S312" s="358"/>
      <c r="T312" s="358"/>
      <c r="U312" s="358"/>
      <c r="V312" s="358"/>
      <c r="W312" s="358"/>
      <c r="X312" s="358"/>
      <c r="Y312" s="358"/>
      <c r="Z312" s="358"/>
      <c r="AA312" s="358"/>
      <c r="AB312" s="358"/>
      <c r="AC312" s="358"/>
      <c r="AD312" s="358"/>
      <c r="AE312" s="358"/>
      <c r="AF312" s="358"/>
      <c r="AG312" s="359"/>
    </row>
    <row r="313" spans="1:33" ht="14.4" thickBot="1">
      <c r="B313" s="357"/>
      <c r="C313" s="357"/>
      <c r="D313" s="357"/>
      <c r="E313" s="1958">
        <v>43209.595291746868</v>
      </c>
      <c r="F313" s="1606">
        <v>80996.075797537793</v>
      </c>
      <c r="G313" s="1954">
        <v>0</v>
      </c>
      <c r="H313" s="1954">
        <v>151847.94773515759</v>
      </c>
      <c r="I313" s="781"/>
      <c r="J313" s="781"/>
      <c r="K313" s="781"/>
      <c r="L313" s="781"/>
      <c r="M313" s="364"/>
      <c r="N313" s="357"/>
      <c r="O313" s="357"/>
      <c r="Q313" s="358"/>
      <c r="R313" s="358"/>
      <c r="S313" s="358"/>
      <c r="T313" s="358"/>
      <c r="U313" s="358"/>
      <c r="V313" s="358"/>
      <c r="W313" s="358"/>
      <c r="X313" s="358"/>
      <c r="Y313" s="358"/>
      <c r="Z313" s="358"/>
      <c r="AA313" s="358"/>
      <c r="AB313" s="358"/>
      <c r="AC313" s="358"/>
      <c r="AD313" s="358"/>
      <c r="AE313" s="358"/>
      <c r="AF313" s="358"/>
      <c r="AG313" s="359"/>
    </row>
    <row r="314" spans="1:33" ht="13.8">
      <c r="B314" s="357"/>
      <c r="C314" s="357"/>
      <c r="D314" s="451"/>
      <c r="E314" s="1807"/>
      <c r="F314" s="782"/>
      <c r="G314" s="782"/>
      <c r="H314" s="782"/>
      <c r="I314" s="782"/>
      <c r="J314" s="782"/>
      <c r="K314" s="782"/>
      <c r="L314" s="782"/>
      <c r="M314" s="376"/>
      <c r="N314" s="451"/>
      <c r="O314" s="451"/>
      <c r="P314" s="2"/>
      <c r="Q314" s="374"/>
      <c r="R314" s="374"/>
      <c r="S314" s="374"/>
      <c r="T314" s="374"/>
      <c r="U314" s="374"/>
      <c r="V314" s="374"/>
      <c r="W314" s="358"/>
      <c r="X314" s="358"/>
      <c r="Y314" s="358"/>
      <c r="Z314" s="358"/>
      <c r="AA314" s="358"/>
      <c r="AB314" s="358"/>
      <c r="AC314" s="358"/>
      <c r="AD314" s="358"/>
      <c r="AE314" s="358"/>
      <c r="AF314" s="358"/>
      <c r="AG314" s="359"/>
    </row>
    <row r="315" spans="1:33" ht="27" customHeight="1">
      <c r="A315" s="357">
        <f>+A19</f>
        <v>9</v>
      </c>
      <c r="B315" s="357" t="str">
        <f>+B19</f>
        <v>May</v>
      </c>
      <c r="C315" s="357" t="str">
        <f>+C19</f>
        <v>Year 3</v>
      </c>
      <c r="D315" s="1089"/>
      <c r="E315" s="363" t="str">
        <f>+E19</f>
        <v>Post results of Step 8 on PJM web site</v>
      </c>
      <c r="F315" s="358"/>
      <c r="G315" s="358"/>
      <c r="H315" s="358"/>
      <c r="I315" s="358"/>
      <c r="J315" s="358"/>
      <c r="K315" s="358"/>
      <c r="L315" s="358"/>
      <c r="M315" s="358"/>
      <c r="N315" s="358"/>
      <c r="O315" s="358"/>
      <c r="P315" s="358"/>
      <c r="Q315" s="358"/>
      <c r="R315" s="358"/>
      <c r="S315" s="358"/>
      <c r="T315" s="358"/>
      <c r="U315" s="358"/>
      <c r="V315" s="358"/>
      <c r="W315" s="358"/>
      <c r="X315" s="358"/>
      <c r="Y315" s="358"/>
      <c r="Z315" s="358"/>
      <c r="AA315" s="358"/>
      <c r="AB315" s="358"/>
      <c r="AC315" s="358"/>
      <c r="AD315" s="358"/>
      <c r="AE315" s="358"/>
      <c r="AF315" s="358"/>
      <c r="AG315" s="359"/>
    </row>
    <row r="316" spans="1:33" ht="13.8">
      <c r="A316" s="357"/>
      <c r="B316" s="357"/>
      <c r="C316" s="357"/>
      <c r="D316" s="357"/>
      <c r="E316" s="362">
        <f>M300</f>
        <v>253750977.57381776</v>
      </c>
      <c r="F316" s="358"/>
      <c r="G316" s="1920"/>
      <c r="H316" s="358"/>
      <c r="I316" s="780"/>
      <c r="J316" s="358"/>
      <c r="K316" s="358"/>
      <c r="L316" s="358"/>
      <c r="M316" s="358"/>
      <c r="N316" s="358"/>
      <c r="O316" s="358"/>
      <c r="P316" s="358"/>
      <c r="Q316" s="358"/>
      <c r="R316" s="358"/>
      <c r="S316" s="358"/>
      <c r="T316" s="358"/>
      <c r="U316" s="358"/>
      <c r="V316" s="358"/>
      <c r="W316" s="358"/>
      <c r="X316" s="358"/>
      <c r="Y316" s="358"/>
      <c r="Z316" s="358"/>
      <c r="AA316" s="358"/>
      <c r="AB316" s="358"/>
      <c r="AC316" s="358"/>
      <c r="AD316" s="358"/>
      <c r="AE316" s="358"/>
      <c r="AF316" s="358"/>
      <c r="AG316" s="359"/>
    </row>
    <row r="317" spans="1:33" ht="13.8">
      <c r="A317" s="357"/>
      <c r="B317" s="357"/>
      <c r="C317" s="357"/>
      <c r="D317" s="357"/>
      <c r="E317" s="366"/>
      <c r="F317" s="365"/>
      <c r="G317" s="365"/>
      <c r="H317" s="365"/>
      <c r="I317" s="365"/>
      <c r="J317" s="365"/>
      <c r="K317" s="365"/>
      <c r="L317" s="365"/>
      <c r="M317" s="358"/>
      <c r="N317" s="358"/>
      <c r="O317" s="358"/>
      <c r="P317" s="358"/>
      <c r="Q317" s="358"/>
      <c r="R317" s="358"/>
      <c r="S317" s="358"/>
      <c r="T317" s="358"/>
      <c r="U317" s="358"/>
      <c r="V317" s="358"/>
      <c r="W317" s="358"/>
      <c r="X317" s="358"/>
      <c r="Y317" s="358"/>
      <c r="Z317" s="358"/>
      <c r="AA317" s="358"/>
      <c r="AB317" s="358"/>
      <c r="AC317" s="358"/>
      <c r="AD317" s="358"/>
      <c r="AE317" s="358"/>
      <c r="AF317" s="358"/>
      <c r="AG317" s="359"/>
    </row>
    <row r="318" spans="1:33" ht="13.8">
      <c r="A318" s="357"/>
      <c r="B318" s="357"/>
      <c r="C318" s="357"/>
      <c r="D318" s="357"/>
      <c r="E318" s="362"/>
      <c r="F318" s="358"/>
      <c r="G318" s="358"/>
      <c r="H318" s="358"/>
      <c r="I318" s="358"/>
      <c r="J318" s="358"/>
      <c r="K318" s="358"/>
      <c r="L318" s="358"/>
      <c r="M318" s="358"/>
      <c r="N318" s="358"/>
      <c r="O318" s="358"/>
      <c r="P318" s="358"/>
      <c r="Q318" s="358"/>
      <c r="R318" s="358"/>
      <c r="S318" s="358"/>
      <c r="T318" s="358"/>
      <c r="U318" s="358"/>
      <c r="V318" s="358"/>
      <c r="W318" s="358"/>
      <c r="X318" s="358"/>
      <c r="Y318" s="358"/>
      <c r="Z318" s="358"/>
      <c r="AA318" s="358"/>
      <c r="AB318" s="358"/>
      <c r="AC318" s="358"/>
      <c r="AD318" s="358"/>
      <c r="AE318" s="358"/>
      <c r="AF318" s="358"/>
      <c r="AG318" s="359"/>
    </row>
    <row r="319" spans="1:33" ht="68.25" customHeight="1">
      <c r="A319" s="357">
        <f>+A20</f>
        <v>10</v>
      </c>
      <c r="B319" s="357" t="str">
        <f>+B20</f>
        <v>June</v>
      </c>
      <c r="C319" s="357" t="str">
        <f>+C20</f>
        <v>Year 3</v>
      </c>
      <c r="D319" s="1089"/>
      <c r="E319" s="363" t="str">
        <f>+E20</f>
        <v>Results of Step 8 go into effect</v>
      </c>
      <c r="F319" s="358"/>
      <c r="G319" s="358"/>
      <c r="H319" s="358"/>
      <c r="I319" s="358"/>
      <c r="J319" s="358"/>
      <c r="K319" s="358"/>
      <c r="L319" s="358"/>
      <c r="M319" s="358"/>
      <c r="N319" s="358"/>
      <c r="O319" s="358"/>
      <c r="P319" s="358"/>
      <c r="Q319" s="346"/>
      <c r="R319" s="346"/>
      <c r="S319" s="346"/>
      <c r="T319" s="346"/>
      <c r="U319" s="346"/>
      <c r="V319" s="346"/>
      <c r="W319" s="346"/>
      <c r="X319" s="346"/>
      <c r="Y319" s="346"/>
      <c r="Z319" s="346"/>
      <c r="AA319" s="346"/>
      <c r="AB319" s="346"/>
      <c r="AC319" s="346"/>
      <c r="AD319" s="346"/>
      <c r="AE319" s="346"/>
      <c r="AF319" s="346"/>
    </row>
    <row r="320" spans="1:33" ht="15.6">
      <c r="A320" s="357"/>
      <c r="B320" s="357"/>
      <c r="C320" s="357"/>
      <c r="D320" s="357"/>
      <c r="E320" s="370">
        <f>+E316</f>
        <v>253750977.57381776</v>
      </c>
      <c r="F320" s="358"/>
      <c r="G320" s="358"/>
      <c r="H320" s="358"/>
      <c r="I320" s="358"/>
      <c r="J320" s="358"/>
      <c r="K320" s="358"/>
      <c r="L320" s="358"/>
      <c r="M320" s="358"/>
      <c r="N320" s="358"/>
      <c r="O320" s="358"/>
      <c r="P320" s="358"/>
      <c r="Q320" s="346"/>
      <c r="R320" s="346"/>
      <c r="S320" s="346"/>
      <c r="T320" s="346"/>
      <c r="U320" s="346"/>
      <c r="V320" s="346"/>
      <c r="W320" s="346"/>
      <c r="X320" s="346"/>
      <c r="Y320" s="346"/>
      <c r="Z320" s="346"/>
      <c r="AA320" s="346"/>
      <c r="AB320" s="346"/>
      <c r="AC320" s="346"/>
      <c r="AD320" s="346"/>
      <c r="AE320" s="346"/>
      <c r="AF320" s="346"/>
    </row>
    <row r="321" spans="1:32" ht="15.6">
      <c r="A321" s="347"/>
      <c r="B321" s="347"/>
      <c r="C321" s="347"/>
      <c r="D321" s="347"/>
      <c r="E321" s="346"/>
      <c r="F321" s="346"/>
      <c r="G321" s="346"/>
      <c r="H321" s="346"/>
      <c r="I321" s="346"/>
      <c r="J321" s="346"/>
      <c r="K321" s="346"/>
      <c r="L321" s="346"/>
      <c r="M321" s="346"/>
      <c r="N321" s="346"/>
      <c r="O321" s="346"/>
      <c r="P321" s="346"/>
      <c r="Q321" s="346"/>
      <c r="R321" s="346"/>
      <c r="S321" s="346"/>
      <c r="T321" s="346"/>
      <c r="U321" s="346"/>
      <c r="V321" s="346"/>
      <c r="W321" s="346"/>
      <c r="X321" s="346"/>
      <c r="Y321" s="346"/>
      <c r="Z321" s="346"/>
      <c r="AA321" s="346"/>
      <c r="AB321" s="346"/>
      <c r="AC321" s="346"/>
      <c r="AD321" s="346"/>
      <c r="AE321" s="346"/>
      <c r="AF321" s="346"/>
    </row>
    <row r="322" spans="1:32" ht="15.6">
      <c r="A322" s="347"/>
      <c r="B322" s="347"/>
      <c r="C322" s="347"/>
      <c r="D322" s="347"/>
      <c r="E322" s="346"/>
      <c r="F322" s="346"/>
      <c r="G322" s="346"/>
      <c r="H322" s="346"/>
      <c r="I322" s="346"/>
      <c r="J322" s="346"/>
      <c r="K322" s="346"/>
      <c r="L322" s="346"/>
      <c r="M322" s="346"/>
      <c r="N322" s="346"/>
      <c r="O322" s="346"/>
      <c r="P322" s="346"/>
      <c r="Q322" s="346"/>
      <c r="R322" s="346"/>
      <c r="S322" s="346"/>
      <c r="T322" s="346"/>
      <c r="U322" s="346"/>
      <c r="V322" s="346"/>
      <c r="W322" s="346"/>
      <c r="X322" s="346"/>
      <c r="Y322" s="346"/>
      <c r="Z322" s="346"/>
      <c r="AA322" s="346"/>
      <c r="AB322" s="346"/>
      <c r="AC322" s="346"/>
      <c r="AD322" s="346"/>
      <c r="AE322" s="346"/>
      <c r="AF322" s="346"/>
    </row>
    <row r="323" spans="1:32" ht="15.6">
      <c r="A323" s="347"/>
      <c r="B323" s="347"/>
      <c r="C323" s="347"/>
      <c r="D323" s="347"/>
      <c r="E323" s="346"/>
      <c r="F323" s="346"/>
      <c r="G323" s="346"/>
      <c r="H323" s="346"/>
      <c r="I323" s="346"/>
      <c r="J323" s="346"/>
      <c r="K323" s="346"/>
      <c r="L323" s="346"/>
      <c r="M323" s="346"/>
      <c r="N323" s="346"/>
      <c r="O323" s="346"/>
      <c r="P323" s="346"/>
      <c r="Q323" s="346"/>
      <c r="R323" s="346"/>
      <c r="S323" s="346"/>
      <c r="T323" s="346"/>
      <c r="U323" s="346"/>
      <c r="V323" s="346"/>
      <c r="W323" s="346"/>
      <c r="X323" s="346"/>
      <c r="Y323" s="346"/>
      <c r="Z323" s="346"/>
      <c r="AA323" s="346"/>
      <c r="AB323" s="346"/>
      <c r="AC323" s="346"/>
      <c r="AD323" s="346"/>
      <c r="AE323" s="346"/>
      <c r="AF323" s="346"/>
    </row>
    <row r="324" spans="1:32" ht="15.6">
      <c r="A324" s="347"/>
      <c r="B324" s="347"/>
      <c r="C324" s="347"/>
      <c r="D324" s="347"/>
      <c r="E324" s="346"/>
      <c r="F324" s="346"/>
      <c r="G324" s="346"/>
      <c r="H324" s="346"/>
      <c r="I324" s="346"/>
      <c r="J324" s="346"/>
      <c r="K324" s="346"/>
      <c r="L324" s="346"/>
      <c r="M324" s="346"/>
      <c r="N324" s="346"/>
      <c r="O324" s="346"/>
      <c r="P324" s="346"/>
      <c r="Q324" s="346"/>
      <c r="R324" s="346"/>
      <c r="S324" s="346"/>
      <c r="T324" s="346"/>
      <c r="U324" s="346"/>
      <c r="V324" s="346"/>
      <c r="W324" s="346"/>
      <c r="X324" s="346"/>
      <c r="Y324" s="346"/>
      <c r="Z324" s="346"/>
      <c r="AA324" s="346"/>
      <c r="AB324" s="346"/>
      <c r="AC324" s="346"/>
      <c r="AD324" s="346"/>
      <c r="AE324" s="346"/>
      <c r="AF324" s="346"/>
    </row>
    <row r="325" spans="1:32" ht="15.6">
      <c r="A325" s="347"/>
      <c r="B325" s="347"/>
      <c r="C325" s="347"/>
      <c r="D325" s="347"/>
      <c r="E325" s="346"/>
      <c r="F325" s="346"/>
      <c r="G325" s="346"/>
      <c r="H325" s="346"/>
      <c r="I325" s="346"/>
      <c r="J325" s="346"/>
      <c r="K325" s="346"/>
      <c r="L325" s="346"/>
      <c r="M325" s="346"/>
      <c r="N325" s="346"/>
      <c r="O325" s="346"/>
      <c r="P325" s="346"/>
      <c r="Q325" s="346"/>
      <c r="R325" s="346"/>
      <c r="S325" s="346"/>
      <c r="T325" s="346"/>
      <c r="U325" s="346"/>
      <c r="V325" s="346"/>
      <c r="W325" s="346"/>
      <c r="X325" s="346"/>
      <c r="Y325" s="346"/>
      <c r="Z325" s="346"/>
      <c r="AA325" s="346"/>
      <c r="AB325" s="346"/>
      <c r="AC325" s="346"/>
      <c r="AD325" s="346"/>
      <c r="AE325" s="346"/>
      <c r="AF325" s="346"/>
    </row>
    <row r="326" spans="1:32" ht="15.6">
      <c r="A326" s="347"/>
      <c r="B326" s="347"/>
      <c r="C326" s="347"/>
      <c r="D326" s="347"/>
      <c r="E326" s="346"/>
      <c r="F326" s="346"/>
      <c r="G326" s="346"/>
      <c r="H326" s="346"/>
      <c r="I326" s="346"/>
      <c r="J326" s="346"/>
      <c r="K326" s="346"/>
      <c r="L326" s="346"/>
      <c r="M326" s="346"/>
      <c r="N326" s="346"/>
      <c r="O326" s="346"/>
      <c r="P326" s="346"/>
      <c r="Q326" s="346"/>
      <c r="R326" s="346"/>
      <c r="S326" s="346"/>
      <c r="T326" s="346"/>
      <c r="U326" s="346"/>
      <c r="V326" s="346"/>
      <c r="W326" s="346"/>
      <c r="X326" s="346"/>
      <c r="Y326" s="346"/>
      <c r="Z326" s="346"/>
      <c r="AA326" s="346"/>
      <c r="AB326" s="346"/>
      <c r="AC326" s="346"/>
      <c r="AD326" s="346"/>
      <c r="AE326" s="346"/>
      <c r="AF326" s="346"/>
    </row>
    <row r="327" spans="1:32" ht="15.6">
      <c r="A327" s="347"/>
      <c r="B327" s="347"/>
      <c r="C327" s="347"/>
      <c r="D327" s="347"/>
      <c r="E327" s="346"/>
      <c r="F327" s="346"/>
      <c r="G327" s="346"/>
      <c r="H327" s="346"/>
      <c r="I327" s="346"/>
      <c r="J327" s="346"/>
      <c r="K327" s="346"/>
      <c r="L327" s="346"/>
      <c r="M327" s="346"/>
      <c r="N327" s="346"/>
      <c r="O327" s="346"/>
      <c r="P327" s="346"/>
      <c r="Q327" s="346"/>
      <c r="R327" s="346"/>
      <c r="S327" s="346"/>
      <c r="T327" s="346"/>
      <c r="U327" s="346"/>
      <c r="V327" s="346"/>
      <c r="W327" s="346"/>
      <c r="X327" s="346"/>
      <c r="Y327" s="346"/>
      <c r="Z327" s="346"/>
      <c r="AA327" s="346"/>
      <c r="AB327" s="346"/>
      <c r="AC327" s="346"/>
      <c r="AD327" s="346"/>
      <c r="AE327" s="346"/>
      <c r="AF327" s="346"/>
    </row>
    <row r="328" spans="1:32" ht="15.6">
      <c r="A328" s="347"/>
      <c r="B328" s="347"/>
      <c r="C328" s="347"/>
      <c r="D328" s="347"/>
      <c r="E328" s="346"/>
      <c r="F328" s="346"/>
      <c r="G328" s="346"/>
      <c r="H328" s="346"/>
      <c r="I328" s="346"/>
      <c r="J328" s="346"/>
      <c r="K328" s="346"/>
      <c r="L328" s="346"/>
      <c r="M328" s="346"/>
      <c r="N328" s="346"/>
      <c r="O328" s="346"/>
      <c r="P328" s="346"/>
      <c r="Q328" s="346"/>
      <c r="R328" s="346"/>
      <c r="S328" s="346"/>
      <c r="T328" s="346"/>
      <c r="U328" s="346"/>
      <c r="V328" s="346"/>
      <c r="W328" s="346"/>
      <c r="X328" s="346"/>
      <c r="Y328" s="346"/>
      <c r="Z328" s="346"/>
      <c r="AA328" s="346"/>
      <c r="AB328" s="346"/>
      <c r="AC328" s="346"/>
      <c r="AD328" s="346"/>
      <c r="AE328" s="346"/>
      <c r="AF328" s="346"/>
    </row>
    <row r="329" spans="1:32" ht="15.6">
      <c r="A329" s="347"/>
      <c r="B329" s="347"/>
      <c r="C329" s="347"/>
      <c r="D329" s="347"/>
      <c r="E329" s="346"/>
      <c r="F329" s="346"/>
      <c r="G329" s="346"/>
      <c r="H329" s="346"/>
      <c r="I329" s="346"/>
      <c r="J329" s="346"/>
      <c r="K329" s="346"/>
      <c r="L329" s="346"/>
      <c r="M329" s="346"/>
      <c r="N329" s="346"/>
      <c r="O329" s="346"/>
      <c r="P329" s="346"/>
      <c r="Q329" s="346"/>
      <c r="R329" s="346"/>
      <c r="S329" s="346"/>
      <c r="T329" s="346"/>
      <c r="U329" s="346"/>
      <c r="V329" s="346"/>
      <c r="W329" s="346"/>
      <c r="X329" s="346"/>
      <c r="Y329" s="346"/>
      <c r="Z329" s="346"/>
      <c r="AA329" s="346"/>
      <c r="AB329" s="346"/>
      <c r="AC329" s="346"/>
      <c r="AD329" s="346"/>
      <c r="AE329" s="346"/>
      <c r="AF329" s="346"/>
    </row>
    <row r="330" spans="1:32" ht="15.6">
      <c r="A330" s="347"/>
      <c r="B330" s="347"/>
      <c r="C330" s="347"/>
      <c r="D330" s="347"/>
      <c r="E330" s="346"/>
      <c r="F330" s="346"/>
      <c r="G330" s="346"/>
      <c r="H330" s="346"/>
      <c r="I330" s="346"/>
      <c r="J330" s="346"/>
      <c r="K330" s="346"/>
      <c r="L330" s="346"/>
      <c r="M330" s="346"/>
      <c r="N330" s="346"/>
      <c r="O330" s="346"/>
      <c r="P330" s="346"/>
      <c r="Q330" s="346"/>
      <c r="R330" s="346"/>
      <c r="S330" s="346"/>
      <c r="T330" s="346"/>
      <c r="U330" s="346"/>
      <c r="V330" s="346"/>
      <c r="W330" s="346"/>
      <c r="X330" s="346"/>
      <c r="Y330" s="346"/>
      <c r="Z330" s="346"/>
      <c r="AA330" s="346"/>
      <c r="AB330" s="346"/>
      <c r="AC330" s="346"/>
      <c r="AD330" s="346"/>
      <c r="AE330" s="346"/>
      <c r="AF330" s="346"/>
    </row>
    <row r="331" spans="1:32" ht="15.6">
      <c r="A331" s="347"/>
      <c r="B331" s="347"/>
      <c r="C331" s="347"/>
      <c r="D331" s="347"/>
      <c r="E331" s="346"/>
      <c r="F331" s="346"/>
      <c r="G331" s="346"/>
      <c r="H331" s="346"/>
      <c r="I331" s="346"/>
      <c r="J331" s="346"/>
      <c r="K331" s="346"/>
      <c r="L331" s="346"/>
      <c r="M331" s="346"/>
      <c r="N331" s="346"/>
      <c r="O331" s="346"/>
      <c r="P331" s="346"/>
      <c r="Q331" s="346"/>
      <c r="R331" s="346"/>
      <c r="S331" s="346"/>
      <c r="T331" s="346"/>
      <c r="U331" s="346"/>
      <c r="V331" s="346"/>
      <c r="W331" s="346"/>
      <c r="X331" s="346"/>
      <c r="Y331" s="346"/>
      <c r="Z331" s="346"/>
      <c r="AA331" s="346"/>
      <c r="AB331" s="346"/>
      <c r="AC331" s="346"/>
      <c r="AD331" s="346"/>
      <c r="AE331" s="346"/>
      <c r="AF331" s="346"/>
    </row>
    <row r="332" spans="1:32" ht="15.6">
      <c r="A332" s="347"/>
      <c r="B332" s="347"/>
      <c r="C332" s="347"/>
      <c r="D332" s="347"/>
      <c r="E332" s="346"/>
      <c r="F332" s="346"/>
      <c r="G332" s="346"/>
      <c r="H332" s="346"/>
      <c r="I332" s="346"/>
      <c r="J332" s="346"/>
      <c r="K332" s="346"/>
      <c r="L332" s="346"/>
      <c r="M332" s="346"/>
      <c r="N332" s="346"/>
      <c r="O332" s="346"/>
      <c r="P332" s="346"/>
      <c r="Q332" s="346"/>
      <c r="R332" s="346"/>
      <c r="S332" s="346"/>
      <c r="T332" s="346"/>
      <c r="U332" s="346"/>
      <c r="V332" s="346"/>
      <c r="W332" s="346"/>
      <c r="X332" s="346"/>
      <c r="Y332" s="346"/>
      <c r="Z332" s="346"/>
      <c r="AA332" s="346"/>
      <c r="AB332" s="346"/>
      <c r="AC332" s="346"/>
      <c r="AD332" s="346"/>
      <c r="AE332" s="346"/>
      <c r="AF332" s="346"/>
    </row>
    <row r="333" spans="1:32" ht="15.6">
      <c r="A333" s="347"/>
      <c r="B333" s="347"/>
      <c r="C333" s="347"/>
      <c r="D333" s="347"/>
      <c r="E333" s="346"/>
      <c r="F333" s="346"/>
      <c r="G333" s="346"/>
      <c r="H333" s="346"/>
      <c r="I333" s="346"/>
      <c r="J333" s="346"/>
      <c r="K333" s="346"/>
      <c r="L333" s="346"/>
      <c r="M333" s="346"/>
      <c r="N333" s="346"/>
      <c r="O333" s="346"/>
      <c r="P333" s="346"/>
      <c r="Q333" s="346"/>
      <c r="R333" s="346"/>
      <c r="S333" s="346"/>
      <c r="T333" s="346"/>
      <c r="U333" s="346"/>
      <c r="V333" s="346"/>
      <c r="W333" s="346"/>
      <c r="X333" s="346"/>
      <c r="Y333" s="346"/>
      <c r="Z333" s="346"/>
      <c r="AA333" s="346"/>
      <c r="AB333" s="346"/>
      <c r="AC333" s="346"/>
      <c r="AD333" s="346"/>
      <c r="AE333" s="346"/>
      <c r="AF333" s="346"/>
    </row>
    <row r="334" spans="1:32" ht="15.6">
      <c r="A334" s="347"/>
      <c r="B334" s="347"/>
      <c r="C334" s="347"/>
      <c r="D334" s="347"/>
      <c r="E334" s="346"/>
      <c r="F334" s="346"/>
      <c r="G334" s="346"/>
      <c r="H334" s="346"/>
      <c r="I334" s="346"/>
      <c r="J334" s="346"/>
      <c r="K334" s="346"/>
      <c r="L334" s="346"/>
      <c r="M334" s="346"/>
      <c r="N334" s="346"/>
      <c r="O334" s="346"/>
      <c r="P334" s="346"/>
      <c r="Q334" s="346"/>
      <c r="R334" s="346"/>
      <c r="S334" s="346"/>
      <c r="T334" s="346"/>
      <c r="U334" s="346"/>
      <c r="V334" s="346"/>
      <c r="W334" s="346"/>
      <c r="X334" s="346"/>
      <c r="Y334" s="346"/>
      <c r="Z334" s="346"/>
      <c r="AA334" s="346"/>
      <c r="AB334" s="346"/>
      <c r="AC334" s="346"/>
      <c r="AD334" s="346"/>
      <c r="AE334" s="346"/>
      <c r="AF334" s="346"/>
    </row>
    <row r="335" spans="1:32" ht="15.6">
      <c r="A335" s="347"/>
      <c r="B335" s="347"/>
      <c r="C335" s="347"/>
      <c r="D335" s="347"/>
      <c r="E335" s="346"/>
      <c r="F335" s="346"/>
      <c r="G335" s="346"/>
      <c r="H335" s="346"/>
      <c r="I335" s="346"/>
      <c r="J335" s="346"/>
      <c r="K335" s="346"/>
      <c r="L335" s="346"/>
      <c r="M335" s="346"/>
      <c r="N335" s="346"/>
      <c r="O335" s="346"/>
      <c r="P335" s="346"/>
      <c r="Q335" s="346"/>
      <c r="R335" s="346"/>
      <c r="S335" s="346"/>
      <c r="T335" s="346"/>
      <c r="U335" s="346"/>
      <c r="V335" s="346"/>
      <c r="W335" s="346"/>
      <c r="X335" s="346"/>
      <c r="Y335" s="346"/>
      <c r="Z335" s="346"/>
      <c r="AA335" s="346"/>
      <c r="AB335" s="346"/>
      <c r="AC335" s="346"/>
      <c r="AD335" s="346"/>
      <c r="AE335" s="346"/>
      <c r="AF335" s="346"/>
    </row>
    <row r="336" spans="1:32" ht="15.6">
      <c r="A336" s="347"/>
      <c r="B336" s="347"/>
      <c r="C336" s="347"/>
      <c r="D336" s="347"/>
      <c r="E336" s="346"/>
      <c r="F336" s="346"/>
      <c r="G336" s="346"/>
      <c r="H336" s="346"/>
      <c r="I336" s="346"/>
      <c r="J336" s="346"/>
      <c r="K336" s="346"/>
      <c r="L336" s="346"/>
      <c r="M336" s="346"/>
      <c r="N336" s="346"/>
      <c r="O336" s="346"/>
      <c r="P336" s="346"/>
      <c r="Q336" s="346"/>
      <c r="R336" s="346"/>
      <c r="S336" s="346"/>
      <c r="T336" s="346"/>
      <c r="U336" s="346"/>
      <c r="V336" s="346"/>
      <c r="W336" s="346"/>
      <c r="X336" s="346"/>
      <c r="Y336" s="346"/>
      <c r="Z336" s="346"/>
      <c r="AA336" s="346"/>
      <c r="AB336" s="346"/>
      <c r="AC336" s="346"/>
      <c r="AD336" s="346"/>
      <c r="AE336" s="346"/>
      <c r="AF336" s="346"/>
    </row>
    <row r="337" spans="1:32" ht="15.6">
      <c r="A337" s="347"/>
      <c r="B337" s="347"/>
      <c r="C337" s="347"/>
      <c r="D337" s="347"/>
      <c r="E337" s="346"/>
      <c r="F337" s="346"/>
      <c r="G337" s="346"/>
      <c r="H337" s="346"/>
      <c r="I337" s="346"/>
      <c r="J337" s="346"/>
      <c r="K337" s="346"/>
      <c r="L337" s="346"/>
      <c r="M337" s="346"/>
      <c r="N337" s="346"/>
      <c r="O337" s="346"/>
      <c r="P337" s="346"/>
      <c r="Q337" s="346"/>
      <c r="R337" s="346"/>
      <c r="S337" s="346"/>
      <c r="T337" s="346"/>
      <c r="U337" s="346"/>
      <c r="V337" s="346"/>
      <c r="W337" s="346"/>
      <c r="X337" s="346"/>
      <c r="Y337" s="346"/>
      <c r="Z337" s="346"/>
      <c r="AA337" s="346"/>
      <c r="AB337" s="346"/>
      <c r="AC337" s="346"/>
      <c r="AD337" s="346"/>
      <c r="AE337" s="346"/>
      <c r="AF337" s="346"/>
    </row>
    <row r="338" spans="1:32" ht="15.6">
      <c r="A338" s="347"/>
      <c r="B338" s="347"/>
      <c r="C338" s="347"/>
      <c r="D338" s="347"/>
      <c r="E338" s="346"/>
      <c r="F338" s="346"/>
      <c r="G338" s="346"/>
      <c r="H338" s="346"/>
      <c r="I338" s="346"/>
      <c r="J338" s="346"/>
      <c r="K338" s="346"/>
      <c r="L338" s="346"/>
      <c r="M338" s="346"/>
      <c r="N338" s="346"/>
      <c r="O338" s="346"/>
      <c r="P338" s="346"/>
      <c r="Q338" s="346"/>
      <c r="R338" s="346"/>
      <c r="S338" s="346"/>
      <c r="T338" s="346"/>
      <c r="U338" s="346"/>
      <c r="V338" s="346"/>
      <c r="W338" s="346"/>
      <c r="X338" s="346"/>
      <c r="Y338" s="346"/>
      <c r="Z338" s="346"/>
      <c r="AA338" s="346"/>
      <c r="AB338" s="346"/>
      <c r="AC338" s="346"/>
      <c r="AD338" s="346"/>
      <c r="AE338" s="346"/>
      <c r="AF338" s="346"/>
    </row>
    <row r="339" spans="1:32" ht="15.6">
      <c r="A339" s="347"/>
      <c r="B339" s="347"/>
      <c r="C339" s="347"/>
      <c r="D339" s="347"/>
      <c r="E339" s="346"/>
      <c r="F339" s="346"/>
      <c r="G339" s="346"/>
      <c r="H339" s="346"/>
      <c r="I339" s="346"/>
      <c r="J339" s="346"/>
      <c r="K339" s="346"/>
      <c r="L339" s="346"/>
      <c r="M339" s="346"/>
      <c r="N339" s="346"/>
      <c r="O339" s="346"/>
      <c r="P339" s="346"/>
      <c r="Q339" s="346"/>
      <c r="R339" s="346"/>
      <c r="S339" s="346"/>
      <c r="T339" s="346"/>
      <c r="U339" s="346"/>
      <c r="V339" s="346"/>
      <c r="W339" s="346"/>
      <c r="X339" s="346"/>
      <c r="Y339" s="346"/>
      <c r="Z339" s="346"/>
      <c r="AA339" s="346"/>
      <c r="AB339" s="346"/>
      <c r="AC339" s="346"/>
      <c r="AD339" s="346"/>
      <c r="AE339" s="346"/>
      <c r="AF339" s="346"/>
    </row>
    <row r="340" spans="1:32" ht="15.6">
      <c r="A340" s="347"/>
      <c r="B340" s="347"/>
      <c r="C340" s="347"/>
      <c r="D340" s="347"/>
      <c r="E340" s="346"/>
      <c r="F340" s="346"/>
      <c r="G340" s="346"/>
      <c r="H340" s="346"/>
      <c r="I340" s="346"/>
      <c r="J340" s="346"/>
      <c r="K340" s="346"/>
      <c r="L340" s="346"/>
      <c r="M340" s="346"/>
      <c r="N340" s="346"/>
      <c r="O340" s="346"/>
      <c r="P340" s="346"/>
      <c r="Q340" s="346"/>
      <c r="R340" s="346"/>
      <c r="S340" s="346"/>
      <c r="T340" s="346"/>
      <c r="U340" s="346"/>
      <c r="V340" s="346"/>
      <c r="W340" s="346"/>
      <c r="X340" s="346"/>
      <c r="Y340" s="346"/>
      <c r="Z340" s="346"/>
      <c r="AA340" s="346"/>
      <c r="AB340" s="346"/>
      <c r="AC340" s="346"/>
      <c r="AD340" s="346"/>
      <c r="AE340" s="346"/>
      <c r="AF340" s="346"/>
    </row>
    <row r="341" spans="1:32" ht="15.6">
      <c r="A341" s="347"/>
      <c r="B341" s="347"/>
      <c r="C341" s="347"/>
      <c r="D341" s="347"/>
      <c r="E341" s="346"/>
      <c r="F341" s="346"/>
      <c r="G341" s="346"/>
      <c r="H341" s="346"/>
      <c r="I341" s="346"/>
      <c r="J341" s="346"/>
      <c r="K341" s="346"/>
      <c r="L341" s="346"/>
      <c r="M341" s="346"/>
      <c r="N341" s="346"/>
      <c r="O341" s="346"/>
      <c r="P341" s="346"/>
      <c r="Q341" s="346"/>
      <c r="R341" s="346"/>
      <c r="S341" s="346"/>
      <c r="T341" s="346"/>
      <c r="U341" s="346"/>
      <c r="V341" s="346"/>
      <c r="W341" s="346"/>
      <c r="X341" s="346"/>
      <c r="Y341" s="346"/>
      <c r="Z341" s="346"/>
      <c r="AA341" s="346"/>
      <c r="AB341" s="346"/>
      <c r="AC341" s="346"/>
      <c r="AD341" s="346"/>
      <c r="AE341" s="346"/>
      <c r="AF341" s="346"/>
    </row>
    <row r="342" spans="1:32" ht="15.6">
      <c r="A342" s="347"/>
      <c r="B342" s="347"/>
      <c r="C342" s="347"/>
      <c r="D342" s="347"/>
      <c r="E342" s="346"/>
      <c r="F342" s="346"/>
      <c r="G342" s="346"/>
      <c r="H342" s="346"/>
      <c r="I342" s="346"/>
      <c r="J342" s="346"/>
      <c r="K342" s="346"/>
      <c r="L342" s="346"/>
      <c r="M342" s="346"/>
      <c r="N342" s="346"/>
      <c r="O342" s="346"/>
      <c r="P342" s="346"/>
      <c r="Q342" s="346"/>
      <c r="R342" s="346"/>
      <c r="S342" s="346"/>
      <c r="T342" s="346"/>
      <c r="U342" s="346"/>
      <c r="V342" s="346"/>
      <c r="W342" s="346"/>
      <c r="X342" s="346"/>
      <c r="Y342" s="346"/>
      <c r="Z342" s="346"/>
      <c r="AA342" s="346"/>
      <c r="AB342" s="346"/>
      <c r="AC342" s="346"/>
      <c r="AD342" s="346"/>
      <c r="AE342" s="346"/>
      <c r="AF342" s="346"/>
    </row>
    <row r="343" spans="1:32" ht="15.6">
      <c r="A343" s="347"/>
      <c r="B343" s="347"/>
      <c r="C343" s="347"/>
      <c r="D343" s="347"/>
      <c r="E343" s="346"/>
      <c r="F343" s="346"/>
      <c r="G343" s="346"/>
      <c r="H343" s="346"/>
      <c r="I343" s="346"/>
      <c r="J343" s="346"/>
      <c r="K343" s="346"/>
      <c r="L343" s="346"/>
      <c r="M343" s="346"/>
      <c r="N343" s="346"/>
      <c r="O343" s="346"/>
      <c r="P343" s="346"/>
      <c r="Q343" s="346"/>
      <c r="R343" s="346"/>
      <c r="S343" s="346"/>
      <c r="T343" s="346"/>
      <c r="U343" s="346"/>
      <c r="V343" s="346"/>
      <c r="W343" s="346"/>
      <c r="X343" s="346"/>
      <c r="Y343" s="346"/>
      <c r="Z343" s="346"/>
      <c r="AA343" s="346"/>
      <c r="AB343" s="346"/>
      <c r="AC343" s="346"/>
      <c r="AD343" s="346"/>
      <c r="AE343" s="346"/>
      <c r="AF343" s="346"/>
    </row>
    <row r="344" spans="1:32" ht="15.6">
      <c r="A344" s="347"/>
      <c r="B344" s="347"/>
      <c r="C344" s="347"/>
      <c r="D344" s="347"/>
      <c r="E344" s="346"/>
      <c r="F344" s="346"/>
      <c r="G344" s="346"/>
      <c r="H344" s="346"/>
      <c r="I344" s="346"/>
      <c r="J344" s="346"/>
      <c r="K344" s="346"/>
      <c r="L344" s="346"/>
      <c r="M344" s="346"/>
      <c r="N344" s="346"/>
      <c r="O344" s="346"/>
      <c r="P344" s="346"/>
      <c r="Q344" s="346"/>
      <c r="R344" s="346"/>
      <c r="S344" s="346"/>
      <c r="T344" s="346"/>
      <c r="U344" s="346"/>
      <c r="V344" s="346"/>
      <c r="W344" s="346"/>
      <c r="X344" s="346"/>
      <c r="Y344" s="346"/>
      <c r="Z344" s="346"/>
      <c r="AA344" s="346"/>
      <c r="AB344" s="346"/>
      <c r="AC344" s="346"/>
      <c r="AD344" s="346"/>
      <c r="AE344" s="346"/>
      <c r="AF344" s="346"/>
    </row>
    <row r="345" spans="1:32" ht="15.6">
      <c r="A345" s="347"/>
      <c r="B345" s="347"/>
      <c r="C345" s="347"/>
      <c r="D345" s="347"/>
      <c r="E345" s="346"/>
      <c r="F345" s="346"/>
      <c r="G345" s="346"/>
      <c r="H345" s="346"/>
      <c r="I345" s="346"/>
      <c r="J345" s="346"/>
      <c r="K345" s="346"/>
      <c r="L345" s="346"/>
      <c r="M345" s="346"/>
      <c r="N345" s="346"/>
      <c r="O345" s="346"/>
      <c r="P345" s="346"/>
      <c r="Q345" s="346"/>
      <c r="R345" s="346"/>
      <c r="S345" s="346"/>
      <c r="T345" s="346"/>
      <c r="U345" s="346"/>
      <c r="V345" s="346"/>
      <c r="W345" s="346"/>
      <c r="X345" s="346"/>
      <c r="Y345" s="346"/>
      <c r="Z345" s="346"/>
      <c r="AA345" s="346"/>
      <c r="AB345" s="346"/>
      <c r="AC345" s="346"/>
      <c r="AD345" s="346"/>
      <c r="AE345" s="346"/>
      <c r="AF345" s="346"/>
    </row>
    <row r="346" spans="1:32" ht="15.6">
      <c r="A346" s="347"/>
      <c r="B346" s="347"/>
      <c r="C346" s="347"/>
      <c r="D346" s="347"/>
      <c r="E346" s="346"/>
      <c r="F346" s="346"/>
      <c r="G346" s="346"/>
      <c r="H346" s="346"/>
      <c r="I346" s="346"/>
      <c r="J346" s="346"/>
      <c r="K346" s="346"/>
      <c r="L346" s="346"/>
      <c r="M346" s="346"/>
      <c r="N346" s="346"/>
      <c r="O346" s="346"/>
      <c r="P346" s="346"/>
      <c r="Q346" s="346"/>
      <c r="R346" s="346"/>
      <c r="S346" s="346"/>
      <c r="T346" s="346"/>
      <c r="U346" s="346"/>
      <c r="V346" s="346"/>
      <c r="W346" s="346"/>
      <c r="X346" s="346"/>
      <c r="Y346" s="346"/>
      <c r="Z346" s="346"/>
      <c r="AA346" s="346"/>
      <c r="AB346" s="346"/>
      <c r="AC346" s="346"/>
      <c r="AD346" s="346"/>
      <c r="AE346" s="346"/>
      <c r="AF346" s="346"/>
    </row>
    <row r="347" spans="1:32" ht="15.6">
      <c r="A347" s="347"/>
      <c r="B347" s="347"/>
      <c r="C347" s="347"/>
      <c r="D347" s="347"/>
      <c r="E347" s="346"/>
      <c r="F347" s="346"/>
      <c r="G347" s="346"/>
      <c r="H347" s="346"/>
      <c r="I347" s="346"/>
      <c r="J347" s="346"/>
      <c r="K347" s="346"/>
      <c r="L347" s="346"/>
      <c r="M347" s="346"/>
      <c r="N347" s="346"/>
      <c r="O347" s="346"/>
      <c r="P347" s="346"/>
    </row>
    <row r="348" spans="1:32" ht="15.6">
      <c r="A348" s="347"/>
      <c r="B348" s="347"/>
      <c r="C348" s="347"/>
      <c r="D348" s="347"/>
      <c r="E348" s="346"/>
      <c r="F348" s="346"/>
      <c r="G348" s="346"/>
      <c r="H348" s="346"/>
      <c r="I348" s="346"/>
      <c r="J348" s="346"/>
      <c r="K348" s="346"/>
      <c r="L348" s="346"/>
      <c r="M348" s="346"/>
      <c r="N348" s="346"/>
      <c r="O348" s="346"/>
      <c r="P348" s="346"/>
    </row>
    <row r="349" spans="1:32" ht="15.6">
      <c r="A349" s="347"/>
      <c r="B349" s="347"/>
      <c r="C349" s="347"/>
      <c r="D349" s="347"/>
      <c r="E349" s="346"/>
      <c r="F349" s="346"/>
      <c r="G349" s="346"/>
      <c r="H349" s="346"/>
      <c r="I349" s="346"/>
      <c r="J349" s="346"/>
      <c r="K349" s="346"/>
      <c r="L349" s="346"/>
      <c r="M349" s="346"/>
      <c r="N349" s="346"/>
      <c r="O349" s="346"/>
      <c r="P349" s="346"/>
    </row>
    <row r="350" spans="1:32" ht="15.6">
      <c r="A350" s="347"/>
      <c r="B350" s="347"/>
      <c r="C350" s="347"/>
      <c r="D350" s="347"/>
      <c r="E350" s="346"/>
      <c r="F350" s="346"/>
      <c r="G350" s="346"/>
      <c r="H350" s="346"/>
      <c r="I350" s="346"/>
      <c r="J350" s="346"/>
      <c r="K350" s="346"/>
      <c r="L350" s="346"/>
      <c r="M350" s="346"/>
      <c r="N350" s="346"/>
      <c r="O350" s="346"/>
      <c r="P350" s="346"/>
    </row>
    <row r="351" spans="1:32" ht="15.6">
      <c r="A351" s="347"/>
      <c r="B351" s="347"/>
      <c r="C351" s="347"/>
      <c r="D351" s="347"/>
      <c r="E351" s="346"/>
      <c r="F351" s="346"/>
      <c r="G351" s="346"/>
      <c r="H351" s="346"/>
      <c r="I351" s="346"/>
      <c r="J351" s="346"/>
      <c r="K351" s="346"/>
      <c r="L351" s="346"/>
      <c r="M351" s="346"/>
      <c r="N351" s="346"/>
      <c r="O351" s="346"/>
      <c r="P351" s="346"/>
    </row>
    <row r="352" spans="1:32" ht="15.6">
      <c r="A352" s="347"/>
      <c r="B352" s="347"/>
      <c r="C352" s="347"/>
      <c r="D352" s="347"/>
      <c r="E352" s="346"/>
      <c r="F352" s="346"/>
      <c r="G352" s="346"/>
      <c r="H352" s="346"/>
      <c r="I352" s="346"/>
      <c r="J352" s="346"/>
      <c r="K352" s="346"/>
      <c r="L352" s="346"/>
      <c r="M352" s="346"/>
      <c r="N352" s="346"/>
      <c r="O352" s="346"/>
      <c r="P352" s="346"/>
    </row>
    <row r="353" spans="1:16" ht="15.6">
      <c r="A353" s="347"/>
      <c r="B353" s="347"/>
      <c r="C353" s="347"/>
      <c r="D353" s="347"/>
      <c r="E353" s="346"/>
      <c r="F353" s="346"/>
      <c r="G353" s="346"/>
      <c r="H353" s="346"/>
      <c r="I353" s="346"/>
      <c r="J353" s="346"/>
      <c r="K353" s="346"/>
      <c r="L353" s="346"/>
      <c r="M353" s="346"/>
      <c r="N353" s="346"/>
      <c r="O353" s="346"/>
      <c r="P353" s="346"/>
    </row>
    <row r="354" spans="1:16" ht="15.6">
      <c r="A354" s="347"/>
      <c r="B354" s="347"/>
      <c r="C354" s="347"/>
      <c r="D354" s="347"/>
      <c r="E354" s="346"/>
      <c r="F354" s="346"/>
      <c r="G354" s="346"/>
      <c r="H354" s="346"/>
      <c r="I354" s="346"/>
      <c r="J354" s="346"/>
      <c r="K354" s="346"/>
      <c r="L354" s="346"/>
      <c r="M354" s="346"/>
      <c r="N354" s="346"/>
      <c r="O354" s="346"/>
      <c r="P354" s="346"/>
    </row>
    <row r="355" spans="1:16" ht="15.6">
      <c r="A355" s="347"/>
      <c r="B355" s="347"/>
      <c r="C355" s="347"/>
      <c r="D355" s="347"/>
      <c r="E355" s="346"/>
      <c r="F355" s="346"/>
      <c r="G355" s="346"/>
      <c r="H355" s="346"/>
      <c r="I355" s="346"/>
      <c r="J355" s="346"/>
      <c r="K355" s="346"/>
      <c r="L355" s="346"/>
      <c r="M355" s="346"/>
      <c r="N355" s="346"/>
      <c r="O355" s="346"/>
      <c r="P355" s="346"/>
    </row>
    <row r="356" spans="1:16" ht="15.6">
      <c r="A356" s="347"/>
      <c r="B356" s="347"/>
      <c r="C356" s="347"/>
      <c r="D356" s="347"/>
      <c r="E356" s="346"/>
      <c r="F356" s="346"/>
      <c r="G356" s="346"/>
      <c r="H356" s="346"/>
      <c r="I356" s="346"/>
      <c r="J356" s="346"/>
      <c r="K356" s="346"/>
      <c r="L356" s="346"/>
      <c r="M356" s="346"/>
      <c r="N356" s="346"/>
      <c r="O356" s="346"/>
      <c r="P356" s="346"/>
    </row>
    <row r="357" spans="1:16" ht="15.6">
      <c r="A357" s="347"/>
      <c r="B357" s="347"/>
      <c r="C357" s="347"/>
      <c r="D357" s="347"/>
      <c r="E357" s="346"/>
      <c r="F357" s="346"/>
      <c r="G357" s="346"/>
      <c r="H357" s="346"/>
      <c r="I357" s="346"/>
      <c r="J357" s="346"/>
      <c r="K357" s="346"/>
      <c r="L357" s="346"/>
      <c r="M357" s="346"/>
      <c r="N357" s="346"/>
      <c r="O357" s="346"/>
      <c r="P357" s="346"/>
    </row>
    <row r="358" spans="1:16" ht="15.6">
      <c r="A358" s="347"/>
      <c r="B358" s="347"/>
      <c r="C358" s="347"/>
      <c r="D358" s="347"/>
      <c r="E358" s="346"/>
      <c r="F358" s="346"/>
      <c r="G358" s="346"/>
      <c r="H358" s="346"/>
      <c r="I358" s="346"/>
      <c r="J358" s="346"/>
      <c r="K358" s="346"/>
      <c r="L358" s="346"/>
      <c r="M358" s="346"/>
      <c r="N358" s="346"/>
      <c r="O358" s="346"/>
      <c r="P358" s="346"/>
    </row>
    <row r="359" spans="1:16" ht="15.6">
      <c r="A359" s="347"/>
      <c r="B359" s="347"/>
      <c r="C359" s="347"/>
      <c r="D359" s="347"/>
      <c r="E359" s="346"/>
      <c r="F359" s="346"/>
      <c r="G359" s="346"/>
      <c r="H359" s="346"/>
      <c r="I359" s="346"/>
      <c r="J359" s="346"/>
      <c r="K359" s="346"/>
      <c r="L359" s="346"/>
      <c r="M359" s="346"/>
      <c r="N359" s="346"/>
      <c r="O359" s="346"/>
      <c r="P359" s="346"/>
    </row>
    <row r="360" spans="1:16" ht="15.6">
      <c r="A360" s="347"/>
      <c r="B360" s="347"/>
      <c r="C360" s="347"/>
      <c r="D360" s="347"/>
      <c r="E360" s="346"/>
      <c r="F360" s="346"/>
      <c r="G360" s="346"/>
      <c r="H360" s="346"/>
      <c r="I360" s="346"/>
      <c r="J360" s="346"/>
      <c r="K360" s="346"/>
      <c r="L360" s="346"/>
      <c r="M360" s="346"/>
      <c r="N360" s="346"/>
      <c r="O360" s="346"/>
      <c r="P360" s="346"/>
    </row>
    <row r="361" spans="1:16" ht="15.6">
      <c r="A361" s="347"/>
      <c r="B361" s="347"/>
      <c r="C361" s="347"/>
      <c r="D361" s="347"/>
      <c r="E361" s="346"/>
      <c r="F361" s="346"/>
      <c r="G361" s="346"/>
      <c r="H361" s="346"/>
      <c r="I361" s="346"/>
      <c r="J361" s="346"/>
      <c r="K361" s="346"/>
      <c r="L361" s="346"/>
      <c r="M361" s="346"/>
      <c r="N361" s="346"/>
      <c r="O361" s="346"/>
      <c r="P361" s="346"/>
    </row>
    <row r="362" spans="1:16" ht="15.6">
      <c r="A362" s="347"/>
      <c r="B362" s="347"/>
      <c r="C362" s="347"/>
      <c r="D362" s="347"/>
      <c r="E362" s="346"/>
      <c r="F362" s="346"/>
      <c r="G362" s="346"/>
      <c r="H362" s="346"/>
      <c r="I362" s="346"/>
      <c r="J362" s="346"/>
      <c r="K362" s="346"/>
      <c r="L362" s="346"/>
      <c r="M362" s="346"/>
      <c r="N362" s="346"/>
      <c r="O362" s="346"/>
      <c r="P362" s="346"/>
    </row>
    <row r="363" spans="1:16" ht="15.6">
      <c r="A363" s="347"/>
      <c r="B363" s="347"/>
      <c r="C363" s="347"/>
      <c r="D363" s="347"/>
      <c r="E363" s="346"/>
      <c r="F363" s="346"/>
      <c r="G363" s="346"/>
      <c r="H363" s="346"/>
      <c r="I363" s="346"/>
      <c r="J363" s="346"/>
      <c r="K363" s="346"/>
      <c r="L363" s="346"/>
      <c r="M363" s="346"/>
      <c r="N363" s="346"/>
      <c r="O363" s="346"/>
      <c r="P363" s="346"/>
    </row>
    <row r="364" spans="1:16" ht="15.6">
      <c r="A364" s="347"/>
      <c r="B364" s="347"/>
      <c r="C364" s="347"/>
      <c r="D364" s="347"/>
      <c r="E364" s="346"/>
      <c r="F364" s="346"/>
      <c r="G364" s="346"/>
      <c r="H364" s="346"/>
      <c r="I364" s="346"/>
      <c r="J364" s="346"/>
      <c r="K364" s="346"/>
      <c r="L364" s="346"/>
      <c r="M364" s="346"/>
      <c r="N364" s="346"/>
      <c r="O364" s="346"/>
      <c r="P364" s="346"/>
    </row>
    <row r="365" spans="1:16" ht="15.6">
      <c r="A365" s="347"/>
      <c r="B365" s="347"/>
      <c r="C365" s="347"/>
      <c r="D365" s="347"/>
      <c r="E365" s="346"/>
      <c r="F365" s="346"/>
      <c r="G365" s="346"/>
      <c r="H365" s="346"/>
      <c r="I365" s="346"/>
      <c r="J365" s="346"/>
      <c r="K365" s="346"/>
      <c r="L365" s="346"/>
      <c r="M365" s="346"/>
      <c r="N365" s="346"/>
      <c r="O365" s="346"/>
      <c r="P365" s="346"/>
    </row>
    <row r="366" spans="1:16" ht="15.6">
      <c r="B366" s="347"/>
      <c r="C366" s="347"/>
      <c r="D366" s="347"/>
      <c r="E366" s="346"/>
      <c r="F366" s="346"/>
      <c r="G366" s="346"/>
      <c r="H366" s="346"/>
      <c r="I366" s="346"/>
      <c r="J366" s="346"/>
      <c r="K366" s="346"/>
      <c r="L366" s="346"/>
      <c r="M366" s="346"/>
      <c r="N366" s="346"/>
      <c r="O366" s="346"/>
      <c r="P366" s="346"/>
    </row>
    <row r="367" spans="1:16" ht="15.6">
      <c r="B367" s="347"/>
      <c r="C367" s="347"/>
      <c r="D367" s="347"/>
      <c r="E367" s="346"/>
      <c r="F367" s="346"/>
      <c r="G367" s="346"/>
      <c r="H367" s="346"/>
      <c r="I367" s="346"/>
      <c r="J367" s="346"/>
      <c r="K367" s="346"/>
      <c r="L367" s="346"/>
      <c r="M367" s="346"/>
      <c r="N367" s="346"/>
      <c r="O367" s="346"/>
      <c r="P367" s="346"/>
    </row>
    <row r="387" spans="1:13">
      <c r="A387" s="354"/>
    </row>
    <row r="388" spans="1:13">
      <c r="A388" s="354"/>
    </row>
    <row r="389" spans="1:13">
      <c r="A389" s="354"/>
      <c r="B389" s="354"/>
      <c r="C389" s="354"/>
      <c r="D389" s="354"/>
      <c r="E389" s="355"/>
      <c r="F389" s="355"/>
      <c r="G389" s="355"/>
      <c r="H389" s="355"/>
      <c r="I389" s="355"/>
      <c r="J389" s="355"/>
      <c r="K389" s="355"/>
      <c r="L389" s="355"/>
      <c r="M389" s="355"/>
    </row>
    <row r="390" spans="1:13">
      <c r="A390" s="354"/>
      <c r="B390" s="354"/>
      <c r="C390" s="354"/>
      <c r="D390" s="354"/>
      <c r="E390" s="355"/>
      <c r="F390" s="355"/>
      <c r="G390" s="355"/>
      <c r="H390" s="355"/>
      <c r="I390" s="355"/>
      <c r="J390" s="355"/>
      <c r="K390" s="355"/>
      <c r="L390" s="355"/>
      <c r="M390" s="355"/>
    </row>
    <row r="391" spans="1:13">
      <c r="A391" s="354"/>
      <c r="B391" s="354"/>
      <c r="C391" s="354"/>
      <c r="D391" s="354"/>
      <c r="E391" s="355"/>
      <c r="F391" s="355"/>
      <c r="G391" s="355"/>
      <c r="H391" s="355"/>
      <c r="I391" s="355"/>
      <c r="J391" s="355"/>
      <c r="K391" s="355"/>
      <c r="L391" s="355"/>
      <c r="M391" s="355"/>
    </row>
    <row r="392" spans="1:13">
      <c r="A392" s="354"/>
      <c r="B392" s="354"/>
      <c r="C392" s="354"/>
      <c r="D392" s="354"/>
      <c r="E392" s="355"/>
      <c r="F392" s="355"/>
      <c r="G392" s="355"/>
      <c r="H392" s="355"/>
      <c r="I392" s="355"/>
      <c r="J392" s="355"/>
      <c r="K392" s="355"/>
      <c r="L392" s="355"/>
      <c r="M392" s="355"/>
    </row>
    <row r="393" spans="1:13">
      <c r="A393" s="354"/>
      <c r="B393" s="354"/>
      <c r="C393" s="354"/>
      <c r="D393" s="354"/>
      <c r="E393" s="355"/>
      <c r="F393" s="355"/>
      <c r="G393" s="355"/>
      <c r="H393" s="355"/>
      <c r="I393" s="355"/>
      <c r="J393" s="355"/>
      <c r="K393" s="355"/>
      <c r="L393" s="355"/>
      <c r="M393" s="355"/>
    </row>
    <row r="394" spans="1:13">
      <c r="A394" s="354"/>
      <c r="B394" s="354"/>
      <c r="C394" s="354"/>
      <c r="D394" s="354"/>
      <c r="E394" s="355"/>
      <c r="F394" s="355"/>
      <c r="G394" s="355"/>
      <c r="H394" s="355"/>
      <c r="I394" s="355"/>
      <c r="J394" s="355"/>
      <c r="K394" s="355"/>
      <c r="L394" s="355"/>
      <c r="M394" s="355"/>
    </row>
    <row r="395" spans="1:13">
      <c r="A395" s="354"/>
      <c r="B395" s="354"/>
      <c r="C395" s="354"/>
      <c r="D395" s="354"/>
      <c r="E395" s="355"/>
      <c r="F395" s="355"/>
      <c r="G395" s="355"/>
      <c r="H395" s="355"/>
      <c r="I395" s="355"/>
      <c r="J395" s="355"/>
      <c r="K395" s="355"/>
      <c r="L395" s="355"/>
      <c r="M395" s="355"/>
    </row>
    <row r="396" spans="1:13">
      <c r="B396" s="354"/>
      <c r="C396" s="354"/>
      <c r="D396" s="354"/>
      <c r="E396" s="355"/>
      <c r="F396" s="355"/>
      <c r="G396" s="355"/>
      <c r="H396" s="355"/>
      <c r="I396" s="355"/>
      <c r="J396" s="355"/>
      <c r="K396" s="355"/>
      <c r="L396" s="355"/>
      <c r="M396" s="355"/>
    </row>
    <row r="397" spans="1:13">
      <c r="B397" s="354"/>
      <c r="C397" s="354"/>
      <c r="D397" s="354"/>
      <c r="E397" s="355"/>
      <c r="F397" s="355"/>
      <c r="G397" s="355"/>
      <c r="H397" s="355"/>
      <c r="I397" s="355"/>
      <c r="J397" s="355"/>
      <c r="K397" s="355"/>
      <c r="L397" s="355"/>
      <c r="M397" s="355"/>
    </row>
  </sheetData>
  <customSheetViews>
    <customSheetView guid="{3A38DF7A-C35E-4DD3-9893-26310A3EF836}" showPageBreaks="1" showRuler="0" topLeftCell="A19">
      <selection activeCell="E33" sqref="E33:E44"/>
      <rowBreaks count="2" manualBreakCount="2">
        <brk id="57" max="16383" man="1"/>
        <brk id="108" max="16383" man="1"/>
      </rowBreaks>
      <pageMargins left="0.75" right="0.5" top="1" bottom="0.5" header="0.5" footer="0.5"/>
      <printOptions horizontalCentered="1"/>
      <pageSetup scale="65" fitToHeight="3" orientation="portrait" r:id="rId1"/>
      <headerFooter alignWithMargins="0">
        <oddHeader xml:space="preserve">&amp;L&amp;"Arial,Bold"&amp;11
&amp;R&amp;12Page &amp;P of &amp;N
</oddHeader>
      </headerFooter>
    </customSheetView>
    <customSheetView guid="{F96D6087-3330-4A81-95EC-26BA83722A49}"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2"/>
      <headerFooter alignWithMargins="0">
        <oddHeader xml:space="preserve">&amp;L&amp;"Arial,Bold"&amp;11
&amp;R&amp;12Page &amp;P of &amp;N
</oddHeader>
      </headerFooter>
    </customSheetView>
    <customSheetView guid="{DA967730-B71F-4038-B1B7-9D4790729C5D}"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3"/>
      <headerFooter alignWithMargins="0">
        <oddHeader xml:space="preserve">&amp;L&amp;"Arial,Bold"&amp;11
&amp;R&amp;12Page &amp;P of &amp;N
</oddHeader>
      </headerFooter>
    </customSheetView>
    <customSheetView guid="{4C7C2344-134C-465A-ADEB-A5E96AAE2308}"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4"/>
      <headerFooter alignWithMargins="0">
        <oddHeader xml:space="preserve">&amp;L&amp;"Arial,Bold"&amp;11
&amp;R&amp;12Page &amp;P of &amp;N
</oddHeader>
      </headerFooter>
    </customSheetView>
    <customSheetView guid="{FAAD9AAC-1337-43AB-BF1F-CCF9DFCF5B78}"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5"/>
      <headerFooter alignWithMargins="0">
        <oddHeader xml:space="preserve">&amp;L&amp;"Arial,Bold"&amp;11
&amp;R&amp;12Page &amp;P of &amp;N
</oddHeader>
      </headerFooter>
    </customSheetView>
    <customSheetView guid="{71B42B22-A376-44B5-B0C1-23FC1AA3DBA2}"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6"/>
      <headerFooter alignWithMargins="0">
        <oddHeader xml:space="preserve">&amp;L&amp;"Arial,Bold"&amp;11
&amp;R&amp;"Arial,Bold"&amp;11Page &amp;P of &amp;N
</oddHeader>
      </headerFooter>
    </customSheetView>
    <customSheetView guid="{28948E05-8F34-4F1E-96FB-A80A6A844600}" showPageBreaks="1"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7"/>
      <headerFooter alignWithMargins="0">
        <oddHeader xml:space="preserve">&amp;L&amp;"Arial,Bold"&amp;11
&amp;R&amp;12Page &amp;P of &amp;N
</oddHeader>
      </headerFooter>
    </customSheetView>
    <customSheetView guid="{DC91DEF3-837B-4BB9-A81E-3B78C5914E6C}" showPageBreaks="1" showRuler="0" topLeftCell="A76">
      <selection activeCell="D86" sqref="D86:E88"/>
      <rowBreaks count="2" manualBreakCount="2">
        <brk id="57" max="16383" man="1"/>
        <brk id="108" max="16383" man="1"/>
      </rowBreaks>
      <pageMargins left="0.75" right="0.5" top="1" bottom="0.5" header="0.5" footer="0.5"/>
      <printOptions horizontalCentered="1"/>
      <pageSetup scale="65" fitToHeight="3" orientation="portrait" r:id="rId8"/>
      <headerFooter alignWithMargins="0">
        <oddHeader xml:space="preserve">&amp;L&amp;"Arial,Bold"&amp;11
&amp;R&amp;12Page &amp;P of &amp;N
</oddHeader>
      </headerFooter>
    </customSheetView>
  </customSheetViews>
  <mergeCells count="19">
    <mergeCell ref="A1:T1"/>
    <mergeCell ref="A3:T3"/>
    <mergeCell ref="N67:V67"/>
    <mergeCell ref="E258:O258"/>
    <mergeCell ref="L221:N221"/>
    <mergeCell ref="E220:O220"/>
    <mergeCell ref="N146:V146"/>
    <mergeCell ref="N166:V166"/>
    <mergeCell ref="N185:V185"/>
    <mergeCell ref="D302:V302"/>
    <mergeCell ref="N29:V29"/>
    <mergeCell ref="N126:V126"/>
    <mergeCell ref="N224:V224"/>
    <mergeCell ref="N85:V85"/>
    <mergeCell ref="X28:AB28"/>
    <mergeCell ref="E17:O17"/>
    <mergeCell ref="E18:O18"/>
    <mergeCell ref="H22:L22"/>
    <mergeCell ref="N49:V49"/>
  </mergeCells>
  <phoneticPr fontId="0" type="noConversion"/>
  <printOptions horizontalCentered="1"/>
  <pageMargins left="0" right="0" top="1" bottom="0.5" header="0.5" footer="0.5"/>
  <pageSetup scale="37" fitToHeight="3" orientation="landscape" r:id="rId9"/>
  <headerFooter alignWithMargins="0">
    <oddHeader xml:space="preserve">&amp;L&amp;"Arial,Bold"&amp;11
&amp;R&amp;14EXHIBIT NO. TRC-203
ATTACHMENT H-18A
Page &amp;P of &amp;N
</oddHeader>
  </headerFooter>
  <rowBreaks count="5" manualBreakCount="5">
    <brk id="84" max="21" man="1"/>
    <brk id="120" max="21" man="1"/>
    <brk id="184" max="21" man="1"/>
    <brk id="217" max="21" man="1"/>
    <brk id="257" max="21" man="1"/>
  </rowBreaks>
  <colBreaks count="1" manualBreakCount="1">
    <brk id="22" max="167" man="1"/>
  </colBreaks>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5"/>
  </sheetPr>
  <dimension ref="A1:IV276"/>
  <sheetViews>
    <sheetView view="pageBreakPreview" topLeftCell="GO19" zoomScale="70" zoomScaleNormal="75" zoomScaleSheetLayoutView="70" workbookViewId="0">
      <selection activeCell="GR29" sqref="GR29"/>
    </sheetView>
  </sheetViews>
  <sheetFormatPr defaultRowHeight="13.2"/>
  <cols>
    <col min="1" max="1" width="9.109375" style="212"/>
    <col min="2" max="2" width="47.6640625" style="399" customWidth="1"/>
    <col min="3" max="3" width="17" customWidth="1"/>
    <col min="4" max="4" width="11.88671875" style="212" customWidth="1"/>
    <col min="5" max="5" width="16.44140625" customWidth="1"/>
    <col min="6" max="6" width="15.44140625" bestFit="1" customWidth="1"/>
    <col min="7" max="7" width="14.109375" customWidth="1"/>
    <col min="8" max="8" width="15.88671875" customWidth="1"/>
    <col min="9" max="9" width="16" style="418" bestFit="1" customWidth="1"/>
    <col min="10" max="10" width="13.44140625" bestFit="1" customWidth="1"/>
    <col min="11" max="11" width="12.44140625" customWidth="1"/>
    <col min="12" max="12" width="16.44140625" customWidth="1"/>
    <col min="13" max="13" width="13.6640625" customWidth="1"/>
    <col min="14" max="14" width="14.88671875" bestFit="1" customWidth="1"/>
    <col min="15" max="15" width="15" customWidth="1"/>
    <col min="16" max="16" width="15.5546875" customWidth="1"/>
    <col min="17" max="17" width="13.44140625" customWidth="1"/>
    <col min="18" max="18" width="12.88671875" customWidth="1"/>
    <col min="19" max="19" width="15" customWidth="1"/>
    <col min="20" max="20" width="16.33203125" customWidth="1"/>
    <col min="21" max="21" width="12.44140625" customWidth="1"/>
    <col min="22" max="22" width="13.5546875" customWidth="1"/>
    <col min="23" max="23" width="15.44140625" customWidth="1"/>
    <col min="24" max="24" width="16" customWidth="1"/>
    <col min="25" max="26" width="13" customWidth="1"/>
    <col min="27" max="27" width="15.33203125" customWidth="1"/>
    <col min="28" max="28" width="15.88671875" customWidth="1"/>
    <col min="29" max="29" width="14.109375" customWidth="1"/>
    <col min="30" max="30" width="13" customWidth="1"/>
    <col min="31" max="31" width="14" customWidth="1"/>
    <col min="32" max="32" width="15.6640625" customWidth="1"/>
    <col min="33" max="33" width="13.109375" customWidth="1"/>
    <col min="34" max="34" width="13.33203125" customWidth="1"/>
    <col min="35" max="35" width="14.33203125" customWidth="1"/>
    <col min="36" max="36" width="15.44140625" customWidth="1"/>
    <col min="37" max="37" width="14" customWidth="1"/>
    <col min="38" max="38" width="12.88671875" customWidth="1"/>
    <col min="39" max="39" width="12.6640625" customWidth="1"/>
    <col min="40" max="40" width="15.5546875" customWidth="1"/>
    <col min="41" max="41" width="13" customWidth="1"/>
    <col min="42" max="42" width="12.88671875" customWidth="1"/>
    <col min="43" max="43" width="14.5546875" customWidth="1"/>
    <col min="44" max="44" width="13.6640625" customWidth="1"/>
    <col min="45" max="45" width="15.33203125" customWidth="1"/>
    <col min="46" max="46" width="12.88671875" customWidth="1"/>
    <col min="47" max="47" width="15.109375" customWidth="1"/>
    <col min="48" max="48" width="18.44140625" customWidth="1"/>
    <col min="49" max="49" width="12.44140625" customWidth="1"/>
    <col min="50" max="50" width="13" customWidth="1"/>
    <col min="51" max="51" width="15.109375" customWidth="1"/>
    <col min="52" max="52" width="13.6640625" customWidth="1"/>
    <col min="53" max="83" width="13.88671875" customWidth="1"/>
    <col min="84" max="84" width="13.88671875" style="2" customWidth="1"/>
    <col min="85" max="94" width="13.88671875" customWidth="1"/>
    <col min="95" max="95" width="16" bestFit="1" customWidth="1"/>
    <col min="96" max="98" width="13.88671875" customWidth="1"/>
    <col min="99" max="99" width="16" bestFit="1" customWidth="1"/>
    <col min="100" max="151" width="13.88671875" customWidth="1"/>
    <col min="152" max="231" width="13.88671875" style="2" customWidth="1"/>
    <col min="232" max="233" width="11.109375" customWidth="1"/>
    <col min="234" max="234" width="15.109375" customWidth="1"/>
    <col min="235" max="244" width="15.5546875" customWidth="1"/>
    <col min="245" max="245" width="24.109375" customWidth="1"/>
    <col min="246" max="246" width="17.88671875" customWidth="1"/>
    <col min="247" max="251" width="15.5546875" customWidth="1"/>
    <col min="252" max="252" width="19.109375" customWidth="1"/>
    <col min="253" max="253" width="17.109375" customWidth="1"/>
    <col min="254" max="254" width="15.88671875" customWidth="1"/>
    <col min="255" max="255" width="17.109375" customWidth="1"/>
  </cols>
  <sheetData>
    <row r="1" spans="1:254" ht="17.399999999999999">
      <c r="B1" s="641"/>
      <c r="E1" s="1014" t="s">
        <v>445</v>
      </c>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1014"/>
      <c r="AP1" s="1014"/>
      <c r="AQ1" s="1014"/>
      <c r="AR1" s="1014"/>
      <c r="AS1" s="1014"/>
      <c r="AT1" s="1014"/>
      <c r="AU1" s="1014"/>
      <c r="AV1" s="1014"/>
      <c r="AW1" s="1014"/>
      <c r="AX1" s="1014"/>
      <c r="AY1" s="1014"/>
      <c r="AZ1" s="1014"/>
      <c r="BA1" s="1014"/>
      <c r="BB1" s="1014"/>
      <c r="BC1" s="1014"/>
      <c r="BD1" s="1014"/>
      <c r="BE1" s="1014"/>
      <c r="BF1" s="1014"/>
      <c r="BG1" s="1014"/>
      <c r="BH1" s="1014"/>
      <c r="BI1" s="1014"/>
      <c r="BJ1" s="1014"/>
      <c r="BK1" s="1014"/>
      <c r="BL1" s="1014"/>
      <c r="BM1" s="1014"/>
      <c r="BN1" s="1014"/>
      <c r="BO1" s="1014"/>
      <c r="BP1" s="1014"/>
      <c r="BQ1" s="1014"/>
      <c r="BR1" s="1014"/>
      <c r="BS1" s="1014"/>
      <c r="BT1" s="1014"/>
      <c r="BU1" s="1014"/>
      <c r="BV1" s="1014"/>
      <c r="BW1" s="1014"/>
      <c r="BX1" s="1014"/>
      <c r="BY1" s="1014"/>
      <c r="BZ1" s="1014"/>
      <c r="CA1" s="1014"/>
      <c r="CB1" s="1014"/>
      <c r="CC1" s="1014"/>
      <c r="CD1" s="1014"/>
      <c r="CE1" s="1014"/>
      <c r="CF1" s="1811"/>
      <c r="CG1" s="1014"/>
      <c r="CH1" s="1014"/>
      <c r="CI1" s="1014"/>
      <c r="CJ1" s="1014"/>
      <c r="CK1" s="1014"/>
      <c r="CL1" s="1014"/>
      <c r="CM1" s="1014"/>
      <c r="CN1" s="1014"/>
      <c r="CO1" s="1014"/>
      <c r="CP1" s="1014"/>
      <c r="CQ1" s="1014"/>
      <c r="CR1" s="1014"/>
      <c r="CS1" s="1014"/>
      <c r="CT1" s="1014"/>
      <c r="CU1" s="1014"/>
      <c r="CV1" s="1014"/>
      <c r="CW1" s="1014"/>
      <c r="CX1" s="1014"/>
      <c r="CY1" s="1014"/>
      <c r="CZ1" s="1014"/>
      <c r="DA1" s="1014"/>
      <c r="DB1" s="1014"/>
      <c r="DC1" s="1014"/>
      <c r="DD1" s="1014"/>
      <c r="DE1" s="1014"/>
      <c r="DF1" s="1014"/>
      <c r="DG1" s="1014"/>
      <c r="DH1" s="1014"/>
      <c r="DI1" s="1014"/>
      <c r="DJ1" s="1014"/>
      <c r="DK1" s="1014"/>
      <c r="DL1" s="1014"/>
      <c r="DM1" s="1014"/>
      <c r="DN1" s="1014"/>
      <c r="DO1" s="1014"/>
      <c r="DP1" s="1014"/>
      <c r="DQ1" s="1014"/>
      <c r="DR1" s="1014"/>
      <c r="DS1" s="1014"/>
      <c r="DT1" s="1014"/>
      <c r="DU1" s="1014"/>
      <c r="DV1" s="1014"/>
      <c r="DW1" s="1014"/>
      <c r="DX1" s="1014"/>
      <c r="DY1" s="1014"/>
      <c r="DZ1" s="1014"/>
      <c r="EA1" s="1014"/>
      <c r="EB1" s="1014"/>
      <c r="EC1" s="1014"/>
      <c r="ED1" s="1014"/>
      <c r="EE1" s="1014"/>
      <c r="EF1" s="1014"/>
      <c r="EG1" s="1014"/>
      <c r="EH1" s="1014"/>
      <c r="EI1" s="1014"/>
      <c r="EJ1" s="1014"/>
      <c r="EK1" s="1014"/>
      <c r="EL1" s="1014"/>
      <c r="EM1" s="1014"/>
      <c r="EN1" s="1014"/>
      <c r="EO1" s="1014"/>
      <c r="EP1" s="1014"/>
      <c r="EQ1" s="1014"/>
      <c r="ER1" s="1014"/>
      <c r="ES1" s="1014"/>
      <c r="ET1" s="1014"/>
      <c r="EU1" s="1014"/>
      <c r="EV1" s="1811"/>
      <c r="EW1" s="1811"/>
      <c r="EX1" s="1811"/>
      <c r="EY1" s="1811"/>
      <c r="EZ1" s="1811"/>
      <c r="FA1" s="1811"/>
      <c r="FB1" s="1811"/>
      <c r="FC1" s="1811"/>
      <c r="FD1" s="1811"/>
      <c r="FE1" s="1811"/>
      <c r="FF1" s="1811"/>
      <c r="FG1" s="1811"/>
      <c r="FH1" s="1811"/>
      <c r="FI1" s="1811"/>
      <c r="FJ1" s="1811"/>
      <c r="FK1" s="1811"/>
      <c r="FL1" s="1811"/>
      <c r="FM1" s="1811"/>
      <c r="FN1" s="1811"/>
      <c r="FO1" s="1811"/>
      <c r="FP1" s="1811"/>
      <c r="FQ1" s="1811"/>
      <c r="FR1" s="1811"/>
      <c r="FS1" s="1811"/>
      <c r="FT1" s="1811"/>
      <c r="FU1" s="1811"/>
      <c r="FV1" s="1811"/>
      <c r="FW1" s="1811"/>
      <c r="FX1" s="1811"/>
      <c r="FY1" s="1811"/>
      <c r="FZ1" s="1811"/>
      <c r="GA1" s="1811"/>
      <c r="GB1" s="1811"/>
      <c r="GC1" s="1811"/>
      <c r="GD1" s="1811"/>
      <c r="GE1" s="1811"/>
      <c r="GF1" s="1811"/>
      <c r="GG1" s="1811"/>
      <c r="GH1" s="1811"/>
      <c r="GI1" s="1811"/>
      <c r="GJ1" s="1811"/>
      <c r="GK1" s="1811"/>
      <c r="GL1" s="1811"/>
      <c r="GM1" s="1811"/>
      <c r="GN1" s="1811"/>
      <c r="GO1" s="1811"/>
      <c r="GP1" s="1811"/>
      <c r="GQ1" s="1811"/>
      <c r="GR1" s="1811"/>
      <c r="GS1" s="1811"/>
      <c r="GT1" s="1811"/>
      <c r="GU1" s="1811"/>
      <c r="GV1" s="1811"/>
      <c r="GW1" s="1811"/>
      <c r="GX1" s="1811"/>
      <c r="GY1" s="1811"/>
      <c r="GZ1" s="1811"/>
      <c r="HA1" s="1811"/>
      <c r="HB1" s="1811"/>
      <c r="HC1" s="1811"/>
      <c r="HD1" s="1811"/>
      <c r="HE1" s="1811"/>
      <c r="HF1" s="1811"/>
      <c r="HG1" s="1811"/>
      <c r="HH1" s="1811"/>
      <c r="HI1" s="1811"/>
      <c r="HJ1" s="1811"/>
      <c r="HK1" s="1811"/>
      <c r="HL1" s="1811"/>
      <c r="HM1" s="1811"/>
      <c r="HN1" s="1811"/>
      <c r="HO1" s="1811"/>
      <c r="HP1" s="1811"/>
      <c r="HQ1" s="1811"/>
      <c r="HR1" s="1811"/>
      <c r="HS1" s="1811"/>
      <c r="HT1" s="1811"/>
      <c r="HU1" s="1811"/>
      <c r="HV1" s="1811"/>
      <c r="HW1" s="1811"/>
      <c r="HX1" s="1014"/>
      <c r="HY1" s="1014"/>
      <c r="HZ1" s="1014"/>
      <c r="IA1" s="1014"/>
      <c r="IB1" s="1014"/>
      <c r="IC1" s="1014"/>
      <c r="ID1" s="1014"/>
      <c r="IE1" s="1014"/>
      <c r="IF1" s="1014"/>
      <c r="IG1" s="1014"/>
      <c r="IH1" s="1014"/>
      <c r="II1" s="1014"/>
      <c r="IJ1" s="1014"/>
      <c r="IK1" s="1014"/>
      <c r="IL1" s="1014"/>
      <c r="IM1" s="1014"/>
      <c r="IN1" s="1014"/>
      <c r="IO1" s="1014"/>
      <c r="IP1" s="1014"/>
      <c r="IQ1" s="1014"/>
      <c r="IR1" s="1014"/>
      <c r="IS1" s="1014"/>
      <c r="IT1" s="1014"/>
    </row>
    <row r="2" spans="1:254">
      <c r="I2"/>
    </row>
    <row r="3" spans="1:254" ht="17.399999999999999">
      <c r="E3" s="1014" t="s">
        <v>411</v>
      </c>
      <c r="F3" s="1014"/>
      <c r="G3" s="1014"/>
      <c r="H3" s="1014"/>
      <c r="I3" s="1014"/>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1014"/>
      <c r="BF3" s="1014"/>
      <c r="BG3" s="1014"/>
      <c r="BH3" s="1014"/>
      <c r="BI3" s="1014"/>
      <c r="BJ3" s="1014"/>
      <c r="BK3" s="1014"/>
      <c r="BL3" s="1014"/>
      <c r="BM3" s="1014"/>
      <c r="BN3" s="1014"/>
      <c r="BO3" s="1014"/>
      <c r="BP3" s="1014"/>
      <c r="BQ3" s="1014"/>
      <c r="BR3" s="1014"/>
      <c r="BS3" s="1014"/>
      <c r="BT3" s="1014"/>
      <c r="BU3" s="1014"/>
      <c r="BV3" s="1014"/>
      <c r="BW3" s="1014"/>
      <c r="BX3" s="1014"/>
      <c r="BY3" s="1014"/>
      <c r="BZ3" s="1014"/>
      <c r="CA3" s="1014"/>
      <c r="CB3" s="1014"/>
      <c r="CC3" s="1014"/>
      <c r="CD3" s="1014"/>
      <c r="CE3" s="1014"/>
      <c r="CF3" s="1811"/>
      <c r="CG3" s="1014"/>
      <c r="CH3" s="1014"/>
      <c r="CI3" s="1014"/>
      <c r="CJ3" s="1014"/>
      <c r="CK3" s="1014"/>
      <c r="CL3" s="1014"/>
      <c r="CM3" s="1014"/>
      <c r="CN3" s="1014"/>
      <c r="CO3" s="1014"/>
      <c r="CP3" s="1014"/>
      <c r="CQ3" s="1014"/>
      <c r="CR3" s="1014"/>
      <c r="CS3" s="1014"/>
      <c r="CT3" s="1014"/>
      <c r="CU3" s="1014"/>
      <c r="CV3" s="1014"/>
      <c r="CW3" s="1014"/>
      <c r="CX3" s="1014"/>
      <c r="CY3" s="1014"/>
      <c r="CZ3" s="1014"/>
      <c r="DA3" s="1014"/>
      <c r="DB3" s="1014"/>
      <c r="DC3" s="1014"/>
      <c r="DD3" s="1014"/>
      <c r="DE3" s="1014"/>
      <c r="DF3" s="1014"/>
      <c r="DG3" s="1014"/>
      <c r="DH3" s="1014"/>
      <c r="DI3" s="1014"/>
      <c r="DJ3" s="1014"/>
      <c r="DK3" s="1014"/>
      <c r="DL3" s="1014"/>
      <c r="DM3" s="1014"/>
      <c r="DN3" s="1014"/>
      <c r="DO3" s="1014"/>
      <c r="DP3" s="1014"/>
      <c r="DQ3" s="1014"/>
      <c r="DR3" s="1014"/>
      <c r="DS3" s="1014"/>
      <c r="DT3" s="1014"/>
      <c r="DU3" s="1014"/>
      <c r="DV3" s="1014"/>
      <c r="DW3" s="1014"/>
      <c r="DX3" s="1014"/>
      <c r="DY3" s="1014"/>
      <c r="DZ3" s="1014"/>
      <c r="EA3" s="1014"/>
      <c r="EB3" s="1014"/>
      <c r="EC3" s="1014"/>
      <c r="ED3" s="1014"/>
      <c r="EE3" s="1014"/>
      <c r="EF3" s="1014"/>
      <c r="EG3" s="1014"/>
      <c r="EH3" s="1014"/>
      <c r="EI3" s="1014"/>
      <c r="EJ3" s="1014"/>
      <c r="EK3" s="1014"/>
      <c r="EL3" s="1014"/>
      <c r="EM3" s="1014"/>
      <c r="EN3" s="1014"/>
      <c r="EO3" s="1014"/>
      <c r="EP3" s="1014"/>
      <c r="EQ3" s="1014"/>
      <c r="ER3" s="1014"/>
      <c r="ES3" s="1014"/>
      <c r="ET3" s="1014"/>
      <c r="EU3" s="1014"/>
      <c r="EV3" s="1811"/>
      <c r="EW3" s="1811"/>
      <c r="EX3" s="1811"/>
      <c r="EY3" s="1811"/>
      <c r="EZ3" s="1811"/>
      <c r="FA3" s="1811"/>
      <c r="FB3" s="1811"/>
      <c r="FC3" s="1811"/>
      <c r="FD3" s="1811"/>
      <c r="FE3" s="1811"/>
      <c r="FF3" s="1811"/>
      <c r="FG3" s="1811"/>
      <c r="FH3" s="1811"/>
      <c r="FI3" s="1811"/>
      <c r="FJ3" s="1811"/>
      <c r="FK3" s="1811"/>
      <c r="FL3" s="1811"/>
      <c r="FM3" s="1811"/>
      <c r="FN3" s="1811"/>
      <c r="FO3" s="1811"/>
      <c r="FP3" s="1811"/>
      <c r="FQ3" s="1811"/>
      <c r="FR3" s="1811"/>
      <c r="FS3" s="1811"/>
      <c r="FT3" s="1811"/>
      <c r="FU3" s="1811"/>
      <c r="FV3" s="1811"/>
      <c r="FW3" s="1811"/>
      <c r="FX3" s="1811"/>
      <c r="FY3" s="1811"/>
      <c r="FZ3" s="1811"/>
      <c r="GA3" s="1811"/>
      <c r="GB3" s="1811"/>
      <c r="GC3" s="1811"/>
      <c r="GD3" s="1811"/>
      <c r="GE3" s="1811"/>
      <c r="GF3" s="1811"/>
      <c r="GG3" s="1811"/>
      <c r="GH3" s="1811"/>
      <c r="GI3" s="1811"/>
      <c r="GJ3" s="1811"/>
      <c r="GK3" s="1811"/>
      <c r="GL3" s="1811"/>
      <c r="GM3" s="1811"/>
      <c r="GN3" s="1811"/>
      <c r="GO3" s="1811"/>
      <c r="GP3" s="1811"/>
      <c r="GQ3" s="1811"/>
      <c r="GR3" s="1811"/>
      <c r="GS3" s="1811"/>
      <c r="GT3" s="1811"/>
      <c r="GU3" s="1811"/>
      <c r="GV3" s="1811"/>
      <c r="GW3" s="1811"/>
      <c r="GX3" s="1811"/>
      <c r="GY3" s="1811"/>
      <c r="GZ3" s="1811"/>
      <c r="HA3" s="1811"/>
      <c r="HB3" s="1811"/>
      <c r="HC3" s="1811"/>
      <c r="HD3" s="1811"/>
      <c r="HE3" s="1811"/>
      <c r="HF3" s="1811"/>
      <c r="HG3" s="1811"/>
      <c r="HH3" s="1811"/>
      <c r="HI3" s="1811"/>
      <c r="HJ3" s="1811"/>
      <c r="HK3" s="1811"/>
      <c r="HL3" s="1811"/>
      <c r="HM3" s="1811"/>
      <c r="HN3" s="1811"/>
      <c r="HO3" s="1811"/>
      <c r="HP3" s="1811"/>
      <c r="HQ3" s="1811"/>
      <c r="HR3" s="1811"/>
      <c r="HS3" s="1811"/>
      <c r="HT3" s="1811"/>
      <c r="HU3" s="1811"/>
      <c r="HV3" s="1811"/>
      <c r="HW3" s="1811"/>
      <c r="HX3" s="1014"/>
      <c r="HY3" s="1014"/>
      <c r="HZ3" s="1014"/>
      <c r="IA3" s="1014"/>
      <c r="IB3" s="1014"/>
      <c r="IC3" s="1014"/>
      <c r="ID3" s="1014"/>
      <c r="IE3" s="1014"/>
      <c r="IF3" s="1014"/>
      <c r="IG3" s="1014"/>
      <c r="IH3" s="1014"/>
      <c r="II3" s="1014"/>
      <c r="IJ3" s="1014"/>
      <c r="IK3" s="1014"/>
      <c r="IL3" s="1014"/>
      <c r="IM3" s="1014"/>
      <c r="IN3" s="1014"/>
      <c r="IO3" s="1014"/>
      <c r="IP3" s="1014"/>
      <c r="IQ3" s="1014"/>
      <c r="IR3" s="1014"/>
      <c r="IS3" s="1014"/>
      <c r="IT3" s="1014"/>
    </row>
    <row r="4" spans="1:254">
      <c r="F4" s="212"/>
      <c r="G4" s="212"/>
      <c r="I4"/>
    </row>
    <row r="5" spans="1:254">
      <c r="F5" s="212"/>
      <c r="G5" s="212"/>
      <c r="I5"/>
    </row>
    <row r="6" spans="1:254" ht="15.6">
      <c r="A6" s="212">
        <v>1</v>
      </c>
      <c r="E6" s="1" t="s">
        <v>253</v>
      </c>
      <c r="F6" s="212"/>
      <c r="G6" s="212"/>
      <c r="I6"/>
    </row>
    <row r="7" spans="1:254" ht="13.8" thickBot="1">
      <c r="F7" s="212"/>
      <c r="G7" s="212"/>
      <c r="I7"/>
    </row>
    <row r="8" spans="1:254">
      <c r="A8" s="212">
        <v>2</v>
      </c>
      <c r="E8" s="794" t="s">
        <v>419</v>
      </c>
      <c r="F8" s="617"/>
      <c r="G8" s="617"/>
      <c r="H8" s="626"/>
      <c r="I8" s="626"/>
      <c r="J8" s="626"/>
      <c r="K8" s="626"/>
      <c r="L8" s="626"/>
      <c r="M8" s="626"/>
      <c r="N8" s="626"/>
      <c r="O8" s="626"/>
      <c r="P8" s="650"/>
    </row>
    <row r="9" spans="1:254" ht="13.8" thickBot="1">
      <c r="E9" s="795"/>
      <c r="F9" s="462" t="s">
        <v>918</v>
      </c>
      <c r="G9" s="462"/>
      <c r="H9" s="240"/>
      <c r="I9" s="240"/>
      <c r="J9" s="240"/>
      <c r="K9" s="240"/>
      <c r="L9" s="240"/>
      <c r="M9" s="240"/>
      <c r="N9" s="240"/>
      <c r="O9" s="240"/>
      <c r="P9" s="796"/>
    </row>
    <row r="10" spans="1:254">
      <c r="A10" s="212">
        <v>3</v>
      </c>
      <c r="E10" s="645" t="s">
        <v>527</v>
      </c>
      <c r="F10" s="462">
        <f>+'Appendix A'!A237</f>
        <v>137</v>
      </c>
      <c r="G10" s="462"/>
      <c r="H10" s="788" t="str">
        <f>'Appendix A'!C237</f>
        <v>FCR without Depreciation and Pre-Commercial Costs</v>
      </c>
      <c r="I10" s="626"/>
      <c r="J10" s="626"/>
      <c r="K10" s="626"/>
      <c r="L10" s="626"/>
      <c r="M10" s="626"/>
      <c r="N10" s="626"/>
      <c r="O10" s="789">
        <f>+'Appendix A'!H237</f>
        <v>0.11050974807360493</v>
      </c>
      <c r="P10" s="796"/>
    </row>
    <row r="11" spans="1:254">
      <c r="A11" s="212">
        <v>4</v>
      </c>
      <c r="E11" s="645" t="s">
        <v>604</v>
      </c>
      <c r="F11" s="462">
        <f>+'Appendix A'!A248</f>
        <v>145</v>
      </c>
      <c r="G11" s="462"/>
      <c r="H11" s="790" t="str">
        <f>'Appendix A'!C248</f>
        <v>FCR with Incentive ROE without Depreciation and Pre-Commercial</v>
      </c>
      <c r="I11" s="240"/>
      <c r="J11" s="240"/>
      <c r="K11" s="240"/>
      <c r="L11" s="240"/>
      <c r="M11" s="240"/>
      <c r="N11" s="240"/>
      <c r="O11" s="791">
        <f>+'Appendix A'!H248</f>
        <v>0.11720822320422503</v>
      </c>
      <c r="P11" s="796"/>
    </row>
    <row r="12" spans="1:254">
      <c r="A12" s="212">
        <v>5</v>
      </c>
      <c r="B12" s="212"/>
      <c r="E12" s="645" t="s">
        <v>510</v>
      </c>
      <c r="F12" s="462"/>
      <c r="G12" s="462"/>
      <c r="H12" s="688" t="s">
        <v>912</v>
      </c>
      <c r="I12" s="240"/>
      <c r="J12" s="240"/>
      <c r="K12" s="240"/>
      <c r="L12" s="240"/>
      <c r="M12" s="240"/>
      <c r="N12" s="240"/>
      <c r="O12" s="791">
        <f>+O11-O10</f>
        <v>6.6984751306200935E-3</v>
      </c>
      <c r="P12" s="796"/>
    </row>
    <row r="13" spans="1:254">
      <c r="B13" s="212"/>
      <c r="E13" s="688"/>
      <c r="F13" s="462"/>
      <c r="G13" s="462"/>
      <c r="H13" s="688"/>
      <c r="I13" s="240"/>
      <c r="J13" s="240"/>
      <c r="K13" s="240"/>
      <c r="L13" s="240"/>
      <c r="M13" s="240"/>
      <c r="N13" s="240"/>
      <c r="O13" s="791"/>
      <c r="P13" s="796"/>
    </row>
    <row r="14" spans="1:254">
      <c r="A14" s="212">
        <v>6</v>
      </c>
      <c r="B14" s="212"/>
      <c r="E14" s="795" t="s">
        <v>910</v>
      </c>
      <c r="F14" s="462"/>
      <c r="G14" s="462"/>
      <c r="H14" s="688"/>
      <c r="I14" s="240"/>
      <c r="J14" s="240"/>
      <c r="K14" s="240"/>
      <c r="L14" s="240"/>
      <c r="M14" s="240"/>
      <c r="N14" s="240"/>
      <c r="O14" s="791"/>
      <c r="P14" s="796"/>
    </row>
    <row r="15" spans="1:254">
      <c r="A15" s="476"/>
      <c r="B15" s="212"/>
      <c r="E15" s="795"/>
      <c r="F15" s="462"/>
      <c r="G15" s="462"/>
      <c r="H15" s="688"/>
      <c r="I15" s="240"/>
      <c r="J15" s="240"/>
      <c r="K15" s="240"/>
      <c r="L15" s="240"/>
      <c r="M15" s="240"/>
      <c r="N15" s="240"/>
      <c r="O15" s="791"/>
      <c r="P15" s="796"/>
    </row>
    <row r="16" spans="1:254" ht="13.8" thickBot="1">
      <c r="A16" s="212">
        <v>7</v>
      </c>
      <c r="E16" s="645" t="s">
        <v>528</v>
      </c>
      <c r="F16" s="462">
        <f>+'Appendix A'!A238</f>
        <v>138</v>
      </c>
      <c r="G16" s="462"/>
      <c r="H16" s="792" t="str">
        <f>+'Appendix A'!C238</f>
        <v>FCR without Depreciation, Return, nor Income Taxes</v>
      </c>
      <c r="I16" s="242"/>
      <c r="J16" s="242"/>
      <c r="K16" s="242"/>
      <c r="L16" s="242"/>
      <c r="M16" s="242"/>
      <c r="N16" s="242"/>
      <c r="O16" s="793">
        <f>+'Appendix A'!H238</f>
        <v>1.9224309876219939E-2</v>
      </c>
      <c r="P16" s="796"/>
    </row>
    <row r="17" spans="1:256" ht="13.8" thickBot="1">
      <c r="E17" s="797"/>
      <c r="F17" s="647"/>
      <c r="G17" s="647"/>
      <c r="H17" s="798"/>
      <c r="I17" s="242"/>
      <c r="J17" s="242"/>
      <c r="K17" s="242"/>
      <c r="L17" s="242"/>
      <c r="M17" s="242"/>
      <c r="N17" s="242"/>
      <c r="O17" s="242"/>
      <c r="P17" s="243"/>
    </row>
    <row r="18" spans="1:256" ht="17.399999999999999">
      <c r="B18" s="1573"/>
      <c r="E18" s="479"/>
      <c r="F18" s="212"/>
      <c r="G18" s="212"/>
      <c r="I18"/>
    </row>
    <row r="19" spans="1:256">
      <c r="A19" s="212">
        <v>8</v>
      </c>
      <c r="E19" s="230" t="s">
        <v>430</v>
      </c>
      <c r="F19" s="212"/>
      <c r="G19" s="212"/>
      <c r="I19"/>
    </row>
    <row r="20" spans="1:256">
      <c r="A20" s="212">
        <v>9</v>
      </c>
      <c r="E20" s="230" t="s">
        <v>398</v>
      </c>
      <c r="F20" s="212"/>
      <c r="G20" s="212"/>
      <c r="I20"/>
      <c r="AQ20" s="1092"/>
      <c r="AR20" s="1092"/>
    </row>
    <row r="21" spans="1:256" ht="13.8" thickBot="1">
      <c r="E21" s="230"/>
      <c r="F21" s="212"/>
      <c r="G21" s="212"/>
      <c r="I21"/>
    </row>
    <row r="22" spans="1:256" ht="25.5" customHeight="1" thickBot="1">
      <c r="C22" s="480"/>
      <c r="D22" s="458"/>
      <c r="E22" s="2095" t="s">
        <v>94</v>
      </c>
      <c r="F22" s="2096"/>
      <c r="G22" s="2096"/>
      <c r="H22" s="2096"/>
      <c r="I22" s="2097"/>
      <c r="J22" s="2090" t="s">
        <v>1301</v>
      </c>
      <c r="K22" s="2091"/>
      <c r="L22" s="2091"/>
      <c r="M22" s="2092"/>
      <c r="N22" s="2090" t="s">
        <v>1014</v>
      </c>
      <c r="O22" s="2091"/>
      <c r="P22" s="2091"/>
      <c r="Q22" s="2092"/>
      <c r="R22" s="2090" t="s">
        <v>1015</v>
      </c>
      <c r="S22" s="2091"/>
      <c r="T22" s="2091"/>
      <c r="U22" s="2092"/>
      <c r="V22" s="2098" t="s">
        <v>1016</v>
      </c>
      <c r="W22" s="2099"/>
      <c r="X22" s="2099"/>
      <c r="Y22" s="2100"/>
      <c r="Z22" s="2098" t="s">
        <v>194</v>
      </c>
      <c r="AA22" s="2099"/>
      <c r="AB22" s="2099"/>
      <c r="AC22" s="2100"/>
      <c r="AD22" s="2098" t="s">
        <v>193</v>
      </c>
      <c r="AE22" s="2099"/>
      <c r="AF22" s="2099"/>
      <c r="AG22" s="2100"/>
      <c r="AH22" s="2098" t="s">
        <v>195</v>
      </c>
      <c r="AI22" s="2099"/>
      <c r="AJ22" s="2099"/>
      <c r="AK22" s="2100"/>
      <c r="AL22" s="2098" t="s">
        <v>746</v>
      </c>
      <c r="AM22" s="2099"/>
      <c r="AN22" s="2099"/>
      <c r="AO22" s="2100"/>
      <c r="AP22" s="2098" t="s">
        <v>865</v>
      </c>
      <c r="AQ22" s="2099"/>
      <c r="AR22" s="2099"/>
      <c r="AS22" s="2100"/>
      <c r="AT22" s="2098" t="s">
        <v>747</v>
      </c>
      <c r="AU22" s="2099"/>
      <c r="AV22" s="2099"/>
      <c r="AW22" s="2100"/>
      <c r="AX22" s="2098" t="s">
        <v>35</v>
      </c>
      <c r="AY22" s="2099"/>
      <c r="AZ22" s="2099"/>
      <c r="BA22" s="2100"/>
      <c r="BB22" s="2090" t="s">
        <v>1119</v>
      </c>
      <c r="BC22" s="2091"/>
      <c r="BD22" s="2091"/>
      <c r="BE22" s="2092"/>
      <c r="BF22" s="2090" t="s">
        <v>1063</v>
      </c>
      <c r="BG22" s="2091"/>
      <c r="BH22" s="2091"/>
      <c r="BI22" s="2092"/>
      <c r="BJ22" s="2090" t="s">
        <v>1064</v>
      </c>
      <c r="BK22" s="2091"/>
      <c r="BL22" s="2091"/>
      <c r="BM22" s="2092"/>
      <c r="BN22" s="2090" t="s">
        <v>1120</v>
      </c>
      <c r="BO22" s="2091"/>
      <c r="BP22" s="2091"/>
      <c r="BQ22" s="2092"/>
      <c r="BR22" s="2095" t="s">
        <v>1065</v>
      </c>
      <c r="BS22" s="2096"/>
      <c r="BT22" s="2096"/>
      <c r="BU22" s="2096"/>
      <c r="BV22" s="2097"/>
      <c r="BW22" s="2095" t="s">
        <v>1066</v>
      </c>
      <c r="BX22" s="2096"/>
      <c r="BY22" s="2096"/>
      <c r="BZ22" s="2096"/>
      <c r="CA22" s="2097"/>
      <c r="CB22" s="2095" t="s">
        <v>1254</v>
      </c>
      <c r="CC22" s="2096"/>
      <c r="CD22" s="2096"/>
      <c r="CE22" s="2097"/>
      <c r="CF22" s="2095" t="s">
        <v>1072</v>
      </c>
      <c r="CG22" s="2096"/>
      <c r="CH22" s="2096"/>
      <c r="CI22" s="2097"/>
      <c r="CJ22" s="2095" t="s">
        <v>1074</v>
      </c>
      <c r="CK22" s="2096"/>
      <c r="CL22" s="2096"/>
      <c r="CM22" s="2097"/>
      <c r="CN22" s="2095" t="s">
        <v>1121</v>
      </c>
      <c r="CO22" s="2096"/>
      <c r="CP22" s="2096"/>
      <c r="CQ22" s="2097"/>
      <c r="CR22" s="2095" t="s">
        <v>1076</v>
      </c>
      <c r="CS22" s="2096"/>
      <c r="CT22" s="2096"/>
      <c r="CU22" s="2097"/>
      <c r="CV22" s="2095" t="s">
        <v>1078</v>
      </c>
      <c r="CW22" s="2096"/>
      <c r="CX22" s="2096"/>
      <c r="CY22" s="2097"/>
      <c r="CZ22" s="2095" t="s">
        <v>1080</v>
      </c>
      <c r="DA22" s="2096"/>
      <c r="DB22" s="2096"/>
      <c r="DC22" s="2097"/>
      <c r="DD22" s="2095" t="s">
        <v>1082</v>
      </c>
      <c r="DE22" s="2096"/>
      <c r="DF22" s="2096"/>
      <c r="DG22" s="2097"/>
      <c r="DH22" s="2095" t="s">
        <v>1084</v>
      </c>
      <c r="DI22" s="2096"/>
      <c r="DJ22" s="2096"/>
      <c r="DK22" s="2097"/>
      <c r="DL22" s="2095" t="s">
        <v>1086</v>
      </c>
      <c r="DM22" s="2096"/>
      <c r="DN22" s="2096"/>
      <c r="DO22" s="2097"/>
      <c r="DP22" s="2095" t="s">
        <v>1088</v>
      </c>
      <c r="DQ22" s="2096"/>
      <c r="DR22" s="2096"/>
      <c r="DS22" s="2097"/>
      <c r="DT22" s="2095" t="s">
        <v>1091</v>
      </c>
      <c r="DU22" s="2096"/>
      <c r="DV22" s="2096"/>
      <c r="DW22" s="2097"/>
      <c r="DX22" s="2095" t="s">
        <v>1093</v>
      </c>
      <c r="DY22" s="2096"/>
      <c r="DZ22" s="2096"/>
      <c r="EA22" s="2097"/>
      <c r="EB22" s="2095" t="s">
        <v>1095</v>
      </c>
      <c r="EC22" s="2096"/>
      <c r="ED22" s="2096"/>
      <c r="EE22" s="2097"/>
      <c r="EF22" s="2095" t="s">
        <v>1097</v>
      </c>
      <c r="EG22" s="2096"/>
      <c r="EH22" s="2096"/>
      <c r="EI22" s="2097"/>
      <c r="EJ22" s="2095" t="s">
        <v>1099</v>
      </c>
      <c r="EK22" s="2096"/>
      <c r="EL22" s="2096"/>
      <c r="EM22" s="2097"/>
      <c r="EN22" s="2095" t="s">
        <v>1101</v>
      </c>
      <c r="EO22" s="2096"/>
      <c r="EP22" s="2096"/>
      <c r="EQ22" s="2097"/>
      <c r="ER22" s="2095" t="s">
        <v>1103</v>
      </c>
      <c r="ES22" s="2096"/>
      <c r="ET22" s="2096"/>
      <c r="EU22" s="2097"/>
      <c r="EV22" s="2095" t="s">
        <v>1122</v>
      </c>
      <c r="EW22" s="2096"/>
      <c r="EX22" s="2096"/>
      <c r="EY22" s="2097"/>
      <c r="EZ22" s="2095" t="s">
        <v>1124</v>
      </c>
      <c r="FA22" s="2096"/>
      <c r="FB22" s="2096"/>
      <c r="FC22" s="2097"/>
      <c r="FD22" s="2095" t="s">
        <v>1126</v>
      </c>
      <c r="FE22" s="2096"/>
      <c r="FF22" s="2096"/>
      <c r="FG22" s="2097"/>
      <c r="FH22" s="2095" t="s">
        <v>1181</v>
      </c>
      <c r="FI22" s="2096"/>
      <c r="FJ22" s="2096"/>
      <c r="FK22" s="2097"/>
      <c r="FL22" s="2090" t="s">
        <v>1158</v>
      </c>
      <c r="FM22" s="2091"/>
      <c r="FN22" s="2091"/>
      <c r="FO22" s="2092"/>
      <c r="FP22" s="2090" t="s">
        <v>1171</v>
      </c>
      <c r="FQ22" s="2091"/>
      <c r="FR22" s="2091"/>
      <c r="FS22" s="2092"/>
      <c r="FT22" s="2090" t="s">
        <v>1172</v>
      </c>
      <c r="FU22" s="2091"/>
      <c r="FV22" s="2091"/>
      <c r="FW22" s="2092"/>
      <c r="FX22" s="2090" t="s">
        <v>1173</v>
      </c>
      <c r="FY22" s="2091"/>
      <c r="FZ22" s="2091"/>
      <c r="GA22" s="2092"/>
      <c r="GB22" s="2090" t="s">
        <v>1237</v>
      </c>
      <c r="GC22" s="2091"/>
      <c r="GD22" s="2091"/>
      <c r="GE22" s="2092"/>
      <c r="GF22" s="2090" t="s">
        <v>1174</v>
      </c>
      <c r="GG22" s="2091"/>
      <c r="GH22" s="2091"/>
      <c r="GI22" s="2092"/>
      <c r="GJ22" s="2090" t="s">
        <v>1175</v>
      </c>
      <c r="GK22" s="2091"/>
      <c r="GL22" s="2091"/>
      <c r="GM22" s="2092"/>
      <c r="GN22" s="2090" t="s">
        <v>1176</v>
      </c>
      <c r="GO22" s="2091"/>
      <c r="GP22" s="2091"/>
      <c r="GQ22" s="2092"/>
      <c r="GR22" s="2090" t="s">
        <v>1177</v>
      </c>
      <c r="GS22" s="2091"/>
      <c r="GT22" s="2091"/>
      <c r="GU22" s="2092"/>
      <c r="GV22" s="2090" t="s">
        <v>1236</v>
      </c>
      <c r="GW22" s="2091"/>
      <c r="GX22" s="2091"/>
      <c r="GY22" s="2092"/>
      <c r="GZ22" s="2090" t="s">
        <v>1178</v>
      </c>
      <c r="HA22" s="2091"/>
      <c r="HB22" s="2091"/>
      <c r="HC22" s="2092"/>
      <c r="HD22" s="2090" t="s">
        <v>1179</v>
      </c>
      <c r="HE22" s="2091"/>
      <c r="HF22" s="2091"/>
      <c r="HG22" s="2092"/>
      <c r="HH22" s="2090" t="s">
        <v>1223</v>
      </c>
      <c r="HI22" s="2091"/>
      <c r="HJ22" s="2091"/>
      <c r="HK22" s="2092"/>
      <c r="HL22" s="2090" t="s">
        <v>1221</v>
      </c>
      <c r="HM22" s="2091"/>
      <c r="HN22" s="2091"/>
      <c r="HO22" s="2092"/>
      <c r="HP22" s="2090" t="s">
        <v>1247</v>
      </c>
      <c r="HQ22" s="2091"/>
      <c r="HR22" s="2091"/>
      <c r="HS22" s="2092"/>
      <c r="HT22" s="2090" t="s">
        <v>1225</v>
      </c>
      <c r="HU22" s="2091"/>
      <c r="HV22" s="2091"/>
      <c r="HW22" s="2092"/>
      <c r="HX22" s="2098" t="s">
        <v>1241</v>
      </c>
      <c r="HY22" s="2099"/>
      <c r="HZ22" s="2099"/>
      <c r="IA22" s="2100"/>
      <c r="IB22" s="2098" t="s">
        <v>1248</v>
      </c>
      <c r="IC22" s="2099"/>
      <c r="ID22" s="2099"/>
      <c r="IE22" s="2100"/>
      <c r="IF22" s="2098" t="s">
        <v>1250</v>
      </c>
      <c r="IG22" s="2099"/>
      <c r="IH22" s="2099"/>
      <c r="II22" s="2100"/>
      <c r="IJ22" s="2098" t="s">
        <v>1252</v>
      </c>
      <c r="IK22" s="2099"/>
      <c r="IL22" s="2099"/>
      <c r="IM22" s="2100"/>
      <c r="IN22" s="2098" t="s">
        <v>1275</v>
      </c>
      <c r="IO22" s="2099"/>
      <c r="IP22" s="2099"/>
      <c r="IQ22" s="2100"/>
      <c r="IR22" s="393"/>
      <c r="IS22" s="393"/>
      <c r="IT22" s="393"/>
      <c r="IU22" s="2"/>
      <c r="IV22" s="2"/>
    </row>
    <row r="23" spans="1:256" ht="36.75" customHeight="1" thickBot="1">
      <c r="A23" s="212">
        <v>10</v>
      </c>
      <c r="C23" s="481" t="s">
        <v>906</v>
      </c>
      <c r="D23" s="730"/>
      <c r="E23" s="2101" t="s">
        <v>570</v>
      </c>
      <c r="F23" s="2102"/>
      <c r="G23" s="2102"/>
      <c r="H23" s="2102"/>
      <c r="I23" s="2102"/>
      <c r="J23" s="2101" t="s">
        <v>1017</v>
      </c>
      <c r="K23" s="2104"/>
      <c r="L23" s="2104"/>
      <c r="M23" s="2105"/>
      <c r="N23" s="2101" t="s">
        <v>569</v>
      </c>
      <c r="O23" s="2102"/>
      <c r="P23" s="2102"/>
      <c r="Q23" s="2103"/>
      <c r="R23" s="2101" t="s">
        <v>568</v>
      </c>
      <c r="S23" s="2102"/>
      <c r="T23" s="2102"/>
      <c r="U23" s="2102"/>
      <c r="V23" s="2101" t="s">
        <v>142</v>
      </c>
      <c r="W23" s="2102"/>
      <c r="X23" s="2102"/>
      <c r="Y23" s="2103"/>
      <c r="Z23" s="2101" t="s">
        <v>189</v>
      </c>
      <c r="AA23" s="2102"/>
      <c r="AB23" s="2102"/>
      <c r="AC23" s="2103"/>
      <c r="AD23" s="2101" t="s">
        <v>190</v>
      </c>
      <c r="AE23" s="2102"/>
      <c r="AF23" s="2102"/>
      <c r="AG23" s="2103"/>
      <c r="AH23" s="2101" t="s">
        <v>191</v>
      </c>
      <c r="AI23" s="2102"/>
      <c r="AJ23" s="2102"/>
      <c r="AK23" s="2103"/>
      <c r="AL23" s="2090" t="s">
        <v>744</v>
      </c>
      <c r="AM23" s="2091"/>
      <c r="AN23" s="2091"/>
      <c r="AO23" s="2092"/>
      <c r="AP23" s="2090" t="s">
        <v>34</v>
      </c>
      <c r="AQ23" s="2091"/>
      <c r="AR23" s="2091"/>
      <c r="AS23" s="2092"/>
      <c r="AT23" s="2090" t="s">
        <v>745</v>
      </c>
      <c r="AU23" s="2091"/>
      <c r="AV23" s="2091"/>
      <c r="AW23" s="2092"/>
      <c r="AX23" s="2090" t="s">
        <v>36</v>
      </c>
      <c r="AY23" s="2091"/>
      <c r="AZ23" s="2091"/>
      <c r="BA23" s="2092"/>
      <c r="BB23" s="2101" t="s">
        <v>1089</v>
      </c>
      <c r="BC23" s="2102"/>
      <c r="BD23" s="2102"/>
      <c r="BE23" s="2103"/>
      <c r="BF23" s="2101" t="s">
        <v>1105</v>
      </c>
      <c r="BG23" s="2102"/>
      <c r="BH23" s="2102"/>
      <c r="BI23" s="2103"/>
      <c r="BJ23" s="2101" t="s">
        <v>1106</v>
      </c>
      <c r="BK23" s="2102"/>
      <c r="BL23" s="2102"/>
      <c r="BM23" s="2103"/>
      <c r="BN23" s="2101" t="s">
        <v>1112</v>
      </c>
      <c r="BO23" s="2102"/>
      <c r="BP23" s="2102"/>
      <c r="BQ23" s="2103"/>
      <c r="BR23" s="2093" t="s">
        <v>684</v>
      </c>
      <c r="BS23" s="2094"/>
      <c r="BT23" s="2094"/>
      <c r="BU23" s="2094"/>
      <c r="BV23" s="2094"/>
      <c r="BW23" s="2101" t="s">
        <v>1052</v>
      </c>
      <c r="BX23" s="2102"/>
      <c r="BY23" s="2102"/>
      <c r="BZ23" s="2102"/>
      <c r="CA23" s="2102"/>
      <c r="CB23" s="2101" t="s">
        <v>1113</v>
      </c>
      <c r="CC23" s="2102"/>
      <c r="CD23" s="2102"/>
      <c r="CE23" s="2102"/>
      <c r="CF23" s="2101" t="s">
        <v>1071</v>
      </c>
      <c r="CG23" s="2102"/>
      <c r="CH23" s="2102"/>
      <c r="CI23" s="2102"/>
      <c r="CJ23" s="2101" t="s">
        <v>1073</v>
      </c>
      <c r="CK23" s="2102"/>
      <c r="CL23" s="2102"/>
      <c r="CM23" s="2102"/>
      <c r="CN23" s="2093" t="s">
        <v>1114</v>
      </c>
      <c r="CO23" s="2094"/>
      <c r="CP23" s="2094"/>
      <c r="CQ23" s="2094"/>
      <c r="CR23" s="2101" t="s">
        <v>1075</v>
      </c>
      <c r="CS23" s="2102"/>
      <c r="CT23" s="2102"/>
      <c r="CU23" s="2102"/>
      <c r="CV23" s="2101" t="s">
        <v>1077</v>
      </c>
      <c r="CW23" s="2102"/>
      <c r="CX23" s="2102"/>
      <c r="CY23" s="2102"/>
      <c r="CZ23" s="2101" t="s">
        <v>1079</v>
      </c>
      <c r="DA23" s="2102"/>
      <c r="DB23" s="2102"/>
      <c r="DC23" s="2102"/>
      <c r="DD23" s="2101" t="s">
        <v>1081</v>
      </c>
      <c r="DE23" s="2102"/>
      <c r="DF23" s="2102"/>
      <c r="DG23" s="2102"/>
      <c r="DH23" s="2101" t="s">
        <v>1083</v>
      </c>
      <c r="DI23" s="2102"/>
      <c r="DJ23" s="2102"/>
      <c r="DK23" s="2102"/>
      <c r="DL23" s="2101" t="s">
        <v>1085</v>
      </c>
      <c r="DM23" s="2102"/>
      <c r="DN23" s="2102"/>
      <c r="DO23" s="2102"/>
      <c r="DP23" s="2101" t="s">
        <v>1087</v>
      </c>
      <c r="DQ23" s="2102"/>
      <c r="DR23" s="2102"/>
      <c r="DS23" s="2102"/>
      <c r="DT23" s="2101" t="s">
        <v>1090</v>
      </c>
      <c r="DU23" s="2102"/>
      <c r="DV23" s="2102"/>
      <c r="DW23" s="2102"/>
      <c r="DX23" s="2101" t="s">
        <v>1092</v>
      </c>
      <c r="DY23" s="2102"/>
      <c r="DZ23" s="2102"/>
      <c r="EA23" s="2102"/>
      <c r="EB23" s="2101" t="s">
        <v>1094</v>
      </c>
      <c r="EC23" s="2102"/>
      <c r="ED23" s="2102"/>
      <c r="EE23" s="2102"/>
      <c r="EF23" s="2101" t="s">
        <v>1096</v>
      </c>
      <c r="EG23" s="2102"/>
      <c r="EH23" s="2102"/>
      <c r="EI23" s="2102"/>
      <c r="EJ23" s="2101" t="s">
        <v>1098</v>
      </c>
      <c r="EK23" s="2102"/>
      <c r="EL23" s="2102"/>
      <c r="EM23" s="2102"/>
      <c r="EN23" s="2101" t="s">
        <v>1100</v>
      </c>
      <c r="EO23" s="2102"/>
      <c r="EP23" s="2102"/>
      <c r="EQ23" s="2102"/>
      <c r="ER23" s="2101" t="s">
        <v>1102</v>
      </c>
      <c r="ES23" s="2102"/>
      <c r="ET23" s="2102"/>
      <c r="EU23" s="2102"/>
      <c r="EV23" s="2093" t="s">
        <v>1104</v>
      </c>
      <c r="EW23" s="2094"/>
      <c r="EX23" s="2094"/>
      <c r="EY23" s="2094"/>
      <c r="EZ23" s="2093" t="s">
        <v>1123</v>
      </c>
      <c r="FA23" s="2094"/>
      <c r="FB23" s="2094"/>
      <c r="FC23" s="2094"/>
      <c r="FD23" s="2093" t="s">
        <v>1125</v>
      </c>
      <c r="FE23" s="2094"/>
      <c r="FF23" s="2094"/>
      <c r="FG23" s="2094"/>
      <c r="FH23" s="2093" t="s">
        <v>1137</v>
      </c>
      <c r="FI23" s="2094"/>
      <c r="FJ23" s="2094"/>
      <c r="FK23" s="2094"/>
      <c r="FL23" s="2093" t="s">
        <v>1157</v>
      </c>
      <c r="FM23" s="2094"/>
      <c r="FN23" s="2094"/>
      <c r="FO23" s="2094"/>
      <c r="FP23" s="2093" t="s">
        <v>1159</v>
      </c>
      <c r="FQ23" s="2094"/>
      <c r="FR23" s="2094"/>
      <c r="FS23" s="2094"/>
      <c r="FT23" s="2093" t="s">
        <v>1160</v>
      </c>
      <c r="FU23" s="2094"/>
      <c r="FV23" s="2094"/>
      <c r="FW23" s="2094"/>
      <c r="FX23" s="2093" t="s">
        <v>1161</v>
      </c>
      <c r="FY23" s="2094"/>
      <c r="FZ23" s="2094"/>
      <c r="GA23" s="2094"/>
      <c r="GB23" s="2093" t="s">
        <v>1162</v>
      </c>
      <c r="GC23" s="2094"/>
      <c r="GD23" s="2094"/>
      <c r="GE23" s="2094"/>
      <c r="GF23" s="2093" t="s">
        <v>1163</v>
      </c>
      <c r="GG23" s="2094"/>
      <c r="GH23" s="2094"/>
      <c r="GI23" s="2094"/>
      <c r="GJ23" s="2093" t="s">
        <v>1165</v>
      </c>
      <c r="GK23" s="2094"/>
      <c r="GL23" s="2094"/>
      <c r="GM23" s="2094"/>
      <c r="GN23" s="2093" t="s">
        <v>1166</v>
      </c>
      <c r="GO23" s="2094"/>
      <c r="GP23" s="2094"/>
      <c r="GQ23" s="2094"/>
      <c r="GR23" s="2093" t="s">
        <v>1167</v>
      </c>
      <c r="GS23" s="2094"/>
      <c r="GT23" s="2094"/>
      <c r="GU23" s="2094"/>
      <c r="GV23" s="2093" t="s">
        <v>1168</v>
      </c>
      <c r="GW23" s="2094"/>
      <c r="GX23" s="2094"/>
      <c r="GY23" s="2094"/>
      <c r="GZ23" s="2093" t="s">
        <v>1169</v>
      </c>
      <c r="HA23" s="2094"/>
      <c r="HB23" s="2094"/>
      <c r="HC23" s="2094"/>
      <c r="HD23" s="2093" t="s">
        <v>1170</v>
      </c>
      <c r="HE23" s="2094"/>
      <c r="HF23" s="2094"/>
      <c r="HG23" s="2094"/>
      <c r="HH23" s="2093" t="s">
        <v>1219</v>
      </c>
      <c r="HI23" s="2094"/>
      <c r="HJ23" s="2094"/>
      <c r="HK23" s="2094"/>
      <c r="HL23" s="2093" t="s">
        <v>1220</v>
      </c>
      <c r="HM23" s="2094"/>
      <c r="HN23" s="2094"/>
      <c r="HO23" s="2094"/>
      <c r="HP23" s="2093" t="s">
        <v>1239</v>
      </c>
      <c r="HQ23" s="2094"/>
      <c r="HR23" s="2094"/>
      <c r="HS23" s="2094"/>
      <c r="HT23" s="2093" t="s">
        <v>1224</v>
      </c>
      <c r="HU23" s="2094"/>
      <c r="HV23" s="2094"/>
      <c r="HW23" s="2094"/>
      <c r="HX23" s="2090" t="s">
        <v>1240</v>
      </c>
      <c r="HY23" s="2091"/>
      <c r="HZ23" s="2091"/>
      <c r="IA23" s="2092"/>
      <c r="IB23" s="2090" t="s">
        <v>1249</v>
      </c>
      <c r="IC23" s="2091"/>
      <c r="ID23" s="2091"/>
      <c r="IE23" s="2092"/>
      <c r="IF23" s="2090" t="s">
        <v>1251</v>
      </c>
      <c r="IG23" s="2091"/>
      <c r="IH23" s="2091"/>
      <c r="II23" s="2092"/>
      <c r="IJ23" s="2090" t="s">
        <v>1253</v>
      </c>
      <c r="IK23" s="2091"/>
      <c r="IL23" s="2091"/>
      <c r="IM23" s="2092"/>
      <c r="IN23" s="2090" t="s">
        <v>1276</v>
      </c>
      <c r="IO23" s="2091"/>
      <c r="IP23" s="2091"/>
      <c r="IQ23" s="2092"/>
      <c r="IR23" s="768"/>
      <c r="IS23" s="769"/>
      <c r="IT23" s="770"/>
    </row>
    <row r="24" spans="1:256" ht="26.4">
      <c r="A24" s="649">
        <f>+A23+1</f>
        <v>11</v>
      </c>
      <c r="B24" s="214" t="s">
        <v>730</v>
      </c>
      <c r="C24" s="348" t="s">
        <v>973</v>
      </c>
      <c r="D24" s="341" t="s">
        <v>521</v>
      </c>
      <c r="E24" s="632" t="s">
        <v>909</v>
      </c>
      <c r="F24" s="617"/>
      <c r="G24" s="617"/>
      <c r="H24" s="617"/>
      <c r="I24" s="618"/>
      <c r="J24" s="632" t="s">
        <v>909</v>
      </c>
      <c r="K24" s="617"/>
      <c r="L24" s="617"/>
      <c r="M24" s="618"/>
      <c r="N24" s="632" t="s">
        <v>909</v>
      </c>
      <c r="O24" s="617"/>
      <c r="P24" s="617"/>
      <c r="Q24" s="618"/>
      <c r="R24" s="1090" t="s">
        <v>909</v>
      </c>
      <c r="S24" s="852"/>
      <c r="T24" s="852"/>
      <c r="U24" s="852"/>
      <c r="V24" s="845" t="s">
        <v>909</v>
      </c>
      <c r="W24" s="354"/>
      <c r="X24" s="354"/>
      <c r="Y24" s="848"/>
      <c r="Z24" s="845" t="s">
        <v>909</v>
      </c>
      <c r="AA24" s="354"/>
      <c r="AB24" s="354"/>
      <c r="AC24" s="848"/>
      <c r="AD24" s="845" t="s">
        <v>909</v>
      </c>
      <c r="AE24" s="354"/>
      <c r="AF24" s="354"/>
      <c r="AG24" s="848"/>
      <c r="AH24" s="845" t="s">
        <v>909</v>
      </c>
      <c r="AI24" s="354"/>
      <c r="AJ24" s="354"/>
      <c r="AK24" s="848"/>
      <c r="AL24" s="845" t="s">
        <v>909</v>
      </c>
      <c r="AM24" s="354"/>
      <c r="AN24" s="354"/>
      <c r="AO24" s="848"/>
      <c r="AP24" s="845" t="s">
        <v>909</v>
      </c>
      <c r="AQ24" s="354"/>
      <c r="AR24" s="354"/>
      <c r="AS24" s="848"/>
      <c r="AT24" s="845" t="s">
        <v>909</v>
      </c>
      <c r="AU24" s="354"/>
      <c r="AV24" s="354"/>
      <c r="AW24" s="848"/>
      <c r="AX24" s="845" t="s">
        <v>909</v>
      </c>
      <c r="AY24" s="354"/>
      <c r="AZ24" s="354"/>
      <c r="BA24" s="848"/>
      <c r="BB24" s="845" t="s">
        <v>909</v>
      </c>
      <c r="BC24" s="354"/>
      <c r="BD24" s="354"/>
      <c r="BE24" s="848"/>
      <c r="BF24" s="845" t="s">
        <v>909</v>
      </c>
      <c r="BG24" s="354"/>
      <c r="BH24" s="354"/>
      <c r="BI24" s="848"/>
      <c r="BJ24" s="845" t="s">
        <v>909</v>
      </c>
      <c r="BK24" s="354"/>
      <c r="BL24" s="354"/>
      <c r="BM24" s="848"/>
      <c r="BN24" s="845" t="s">
        <v>909</v>
      </c>
      <c r="BO24" s="354"/>
      <c r="BP24" s="354"/>
      <c r="BQ24" s="848"/>
      <c r="BR24" s="845" t="s">
        <v>909</v>
      </c>
      <c r="BS24" s="626"/>
      <c r="BT24" s="617"/>
      <c r="BU24" s="617"/>
      <c r="BV24" s="617"/>
      <c r="BW24" s="632" t="s">
        <v>909</v>
      </c>
      <c r="BX24" s="617"/>
      <c r="BY24" s="617"/>
      <c r="BZ24" s="617"/>
      <c r="CA24" s="618"/>
      <c r="CB24" s="632" t="s">
        <v>909</v>
      </c>
      <c r="CC24" s="617"/>
      <c r="CD24" s="617"/>
      <c r="CE24" s="618"/>
      <c r="CF24" s="632" t="s">
        <v>909</v>
      </c>
      <c r="CG24" s="617"/>
      <c r="CH24" s="617"/>
      <c r="CI24" s="618"/>
      <c r="CJ24" s="632" t="s">
        <v>909</v>
      </c>
      <c r="CK24" s="617"/>
      <c r="CL24" s="617"/>
      <c r="CM24" s="618"/>
      <c r="CN24" s="1613" t="s">
        <v>909</v>
      </c>
      <c r="CO24" s="852"/>
      <c r="CP24" s="852"/>
      <c r="CQ24" s="1614"/>
      <c r="CR24" s="632" t="s">
        <v>909</v>
      </c>
      <c r="CS24" s="617"/>
      <c r="CT24" s="617"/>
      <c r="CU24" s="618"/>
      <c r="CV24" s="632" t="s">
        <v>909</v>
      </c>
      <c r="CW24" s="617"/>
      <c r="CX24" s="617"/>
      <c r="CY24" s="618"/>
      <c r="CZ24" s="632" t="s">
        <v>909</v>
      </c>
      <c r="DA24" s="617"/>
      <c r="DB24" s="617"/>
      <c r="DC24" s="618"/>
      <c r="DD24" s="632" t="s">
        <v>909</v>
      </c>
      <c r="DE24" s="617"/>
      <c r="DF24" s="617"/>
      <c r="DG24" s="618"/>
      <c r="DH24" s="632" t="s">
        <v>909</v>
      </c>
      <c r="DI24" s="617"/>
      <c r="DJ24" s="617"/>
      <c r="DK24" s="618"/>
      <c r="DL24" s="632" t="s">
        <v>909</v>
      </c>
      <c r="DM24" s="617"/>
      <c r="DN24" s="617"/>
      <c r="DO24" s="618"/>
      <c r="DP24" s="632" t="s">
        <v>909</v>
      </c>
      <c r="DQ24" s="617"/>
      <c r="DR24" s="617"/>
      <c r="DS24" s="618"/>
      <c r="DT24" s="632" t="s">
        <v>909</v>
      </c>
      <c r="DU24" s="617"/>
      <c r="DV24" s="617"/>
      <c r="DW24" s="618"/>
      <c r="DX24" s="632" t="s">
        <v>909</v>
      </c>
      <c r="DY24" s="617"/>
      <c r="DZ24" s="617"/>
      <c r="EA24" s="618"/>
      <c r="EB24" s="632" t="s">
        <v>909</v>
      </c>
      <c r="EC24" s="617"/>
      <c r="ED24" s="617"/>
      <c r="EE24" s="618"/>
      <c r="EF24" s="632" t="s">
        <v>909</v>
      </c>
      <c r="EG24" s="617"/>
      <c r="EH24" s="617"/>
      <c r="EI24" s="618"/>
      <c r="EJ24" s="632" t="s">
        <v>909</v>
      </c>
      <c r="EK24" s="617"/>
      <c r="EL24" s="617"/>
      <c r="EM24" s="618"/>
      <c r="EN24" s="632" t="s">
        <v>909</v>
      </c>
      <c r="EO24" s="617"/>
      <c r="EP24" s="617"/>
      <c r="EQ24" s="618"/>
      <c r="ER24" s="632" t="s">
        <v>909</v>
      </c>
      <c r="ES24" s="617"/>
      <c r="ET24" s="617"/>
      <c r="EU24" s="618"/>
      <c r="EV24" s="632" t="s">
        <v>909</v>
      </c>
      <c r="EW24" s="852"/>
      <c r="EX24" s="852"/>
      <c r="EY24" s="1614"/>
      <c r="EZ24" s="632" t="s">
        <v>909</v>
      </c>
      <c r="FA24" s="852"/>
      <c r="FB24" s="852"/>
      <c r="FC24" s="1614"/>
      <c r="FD24" s="632" t="s">
        <v>909</v>
      </c>
      <c r="FE24" s="852"/>
      <c r="FF24" s="852"/>
      <c r="FG24" s="1614"/>
      <c r="FH24" s="632" t="s">
        <v>909</v>
      </c>
      <c r="FI24" s="852"/>
      <c r="FJ24" s="852"/>
      <c r="FK24" s="1614"/>
      <c r="FL24" s="632" t="s">
        <v>909</v>
      </c>
      <c r="FM24" s="852"/>
      <c r="FN24" s="852"/>
      <c r="FO24" s="1614"/>
      <c r="FP24" s="632" t="s">
        <v>909</v>
      </c>
      <c r="FQ24" s="852"/>
      <c r="FR24" s="852"/>
      <c r="FS24" s="1614"/>
      <c r="FT24" s="632" t="s">
        <v>909</v>
      </c>
      <c r="FU24" s="852"/>
      <c r="FV24" s="852"/>
      <c r="FW24" s="1614"/>
      <c r="FX24" s="632" t="s">
        <v>909</v>
      </c>
      <c r="FY24" s="852"/>
      <c r="FZ24" s="852"/>
      <c r="GA24" s="1614"/>
      <c r="GB24" s="632" t="s">
        <v>909</v>
      </c>
      <c r="GC24" s="852"/>
      <c r="GD24" s="852"/>
      <c r="GE24" s="1614"/>
      <c r="GF24" s="632" t="s">
        <v>909</v>
      </c>
      <c r="GG24" s="852"/>
      <c r="GH24" s="852"/>
      <c r="GI24" s="1614"/>
      <c r="GJ24" s="632" t="s">
        <v>909</v>
      </c>
      <c r="GK24" s="852"/>
      <c r="GL24" s="852"/>
      <c r="GM24" s="1614"/>
      <c r="GN24" s="632" t="s">
        <v>909</v>
      </c>
      <c r="GO24" s="852"/>
      <c r="GP24" s="852"/>
      <c r="GQ24" s="1614"/>
      <c r="GR24" s="632" t="s">
        <v>909</v>
      </c>
      <c r="GS24" s="852"/>
      <c r="GT24" s="852"/>
      <c r="GU24" s="1614"/>
      <c r="GV24" s="632" t="s">
        <v>909</v>
      </c>
      <c r="GW24" s="852"/>
      <c r="GX24" s="852"/>
      <c r="GY24" s="1614"/>
      <c r="GZ24" s="632" t="s">
        <v>909</v>
      </c>
      <c r="HA24" s="852"/>
      <c r="HB24" s="852"/>
      <c r="HC24" s="1614"/>
      <c r="HD24" s="632" t="s">
        <v>909</v>
      </c>
      <c r="HE24" s="852"/>
      <c r="HF24" s="852"/>
      <c r="HG24" s="1614"/>
      <c r="HH24" s="632" t="s">
        <v>909</v>
      </c>
      <c r="HI24" s="852"/>
      <c r="HJ24" s="852"/>
      <c r="HK24" s="1614"/>
      <c r="HL24" s="632" t="s">
        <v>909</v>
      </c>
      <c r="HM24" s="852"/>
      <c r="HN24" s="852"/>
      <c r="HO24" s="1614"/>
      <c r="HP24" s="632" t="s">
        <v>909</v>
      </c>
      <c r="HQ24" s="852"/>
      <c r="HR24" s="852"/>
      <c r="HS24" s="1614"/>
      <c r="HT24" s="632" t="s">
        <v>909</v>
      </c>
      <c r="HU24" s="852"/>
      <c r="HV24" s="852"/>
      <c r="HW24" s="1614"/>
      <c r="HX24" s="632" t="s">
        <v>909</v>
      </c>
      <c r="HY24" s="852"/>
      <c r="HZ24" s="852"/>
      <c r="IA24" s="1614"/>
      <c r="IB24" s="632" t="s">
        <v>909</v>
      </c>
      <c r="IC24" s="852"/>
      <c r="ID24" s="852"/>
      <c r="IE24" s="1614"/>
      <c r="IF24" s="632" t="s">
        <v>909</v>
      </c>
      <c r="IG24" s="852"/>
      <c r="IH24" s="852"/>
      <c r="II24" s="1614"/>
      <c r="IJ24" s="632" t="s">
        <v>909</v>
      </c>
      <c r="IK24" s="852"/>
      <c r="IL24" s="852"/>
      <c r="IM24" s="1614"/>
      <c r="IN24" s="632" t="s">
        <v>909</v>
      </c>
      <c r="IO24" s="852"/>
      <c r="IP24" s="852"/>
      <c r="IQ24" s="1614"/>
      <c r="IR24" s="222"/>
      <c r="IS24" s="312"/>
      <c r="IT24" s="310"/>
    </row>
    <row r="25" spans="1:256" s="2" customFormat="1" ht="26.4">
      <c r="A25" s="482">
        <f>A24+1</f>
        <v>12</v>
      </c>
      <c r="B25" s="635" t="s">
        <v>738</v>
      </c>
      <c r="C25" s="348" t="s">
        <v>905</v>
      </c>
      <c r="D25" s="326" t="s">
        <v>521</v>
      </c>
      <c r="E25" s="429" t="s">
        <v>908</v>
      </c>
      <c r="F25" s="325"/>
      <c r="G25" s="325"/>
      <c r="H25" s="325"/>
      <c r="I25" s="985"/>
      <c r="J25" s="429" t="s">
        <v>908</v>
      </c>
      <c r="K25" s="325"/>
      <c r="L25" s="325"/>
      <c r="M25" s="326"/>
      <c r="N25" s="429" t="s">
        <v>908</v>
      </c>
      <c r="O25" s="325"/>
      <c r="P25" s="325"/>
      <c r="Q25" s="326"/>
      <c r="R25" s="429" t="s">
        <v>908</v>
      </c>
      <c r="S25" s="325"/>
      <c r="T25" s="325"/>
      <c r="U25" s="325"/>
      <c r="V25" s="429" t="s">
        <v>908</v>
      </c>
      <c r="W25" s="325"/>
      <c r="X25" s="325"/>
      <c r="Y25" s="326"/>
      <c r="Z25" s="429" t="s">
        <v>908</v>
      </c>
      <c r="AA25" s="325"/>
      <c r="AB25" s="325"/>
      <c r="AC25" s="326"/>
      <c r="AD25" s="429" t="s">
        <v>908</v>
      </c>
      <c r="AE25" s="325"/>
      <c r="AF25" s="325"/>
      <c r="AG25" s="326"/>
      <c r="AH25" s="429" t="s">
        <v>908</v>
      </c>
      <c r="AI25" s="325"/>
      <c r="AJ25" s="325"/>
      <c r="AK25" s="326"/>
      <c r="AL25" s="429" t="s">
        <v>908</v>
      </c>
      <c r="AM25" s="325"/>
      <c r="AN25" s="325"/>
      <c r="AO25" s="326"/>
      <c r="AP25" s="429" t="s">
        <v>908</v>
      </c>
      <c r="AQ25" s="325"/>
      <c r="AR25" s="325"/>
      <c r="AS25" s="326"/>
      <c r="AT25" s="429" t="s">
        <v>908</v>
      </c>
      <c r="AU25" s="325"/>
      <c r="AV25" s="325"/>
      <c r="AW25" s="326"/>
      <c r="AX25" s="429" t="s">
        <v>908</v>
      </c>
      <c r="AY25" s="325"/>
      <c r="AZ25" s="325"/>
      <c r="BA25" s="326"/>
      <c r="BB25" s="429" t="s">
        <v>908</v>
      </c>
      <c r="BC25" s="325"/>
      <c r="BD25" s="325"/>
      <c r="BE25" s="326"/>
      <c r="BF25" s="429" t="s">
        <v>908</v>
      </c>
      <c r="BG25" s="325"/>
      <c r="BH25" s="325"/>
      <c r="BI25" s="326"/>
      <c r="BJ25" s="429" t="s">
        <v>908</v>
      </c>
      <c r="BK25" s="325"/>
      <c r="BL25" s="325"/>
      <c r="BM25" s="326"/>
      <c r="BN25" s="429" t="s">
        <v>908</v>
      </c>
      <c r="BO25" s="325"/>
      <c r="BP25" s="325"/>
      <c r="BQ25" s="326"/>
      <c r="BR25" s="429" t="s">
        <v>908</v>
      </c>
      <c r="BS25" s="355"/>
      <c r="BT25" s="325"/>
      <c r="BU25" s="325"/>
      <c r="BV25" s="325"/>
      <c r="BW25" s="429" t="s">
        <v>908</v>
      </c>
      <c r="BX25" s="325"/>
      <c r="BY25" s="325"/>
      <c r="BZ25" s="325"/>
      <c r="CA25" s="985"/>
      <c r="CB25" s="429" t="s">
        <v>908</v>
      </c>
      <c r="CC25" s="325"/>
      <c r="CD25" s="325"/>
      <c r="CE25" s="985"/>
      <c r="CF25" s="429" t="s">
        <v>908</v>
      </c>
      <c r="CG25" s="325"/>
      <c r="CH25" s="325"/>
      <c r="CI25" s="985"/>
      <c r="CJ25" s="429" t="s">
        <v>908</v>
      </c>
      <c r="CK25" s="325"/>
      <c r="CL25" s="325"/>
      <c r="CM25" s="985"/>
      <c r="CN25" s="1615" t="s">
        <v>908</v>
      </c>
      <c r="CO25" s="325"/>
      <c r="CP25" s="325"/>
      <c r="CQ25" s="985"/>
      <c r="CR25" s="429" t="s">
        <v>908</v>
      </c>
      <c r="CS25" s="325"/>
      <c r="CT25" s="325"/>
      <c r="CU25" s="985"/>
      <c r="CV25" s="429" t="s">
        <v>908</v>
      </c>
      <c r="CW25" s="325"/>
      <c r="CX25" s="325"/>
      <c r="CY25" s="985"/>
      <c r="CZ25" s="429" t="s">
        <v>908</v>
      </c>
      <c r="DA25" s="325"/>
      <c r="DB25" s="325"/>
      <c r="DC25" s="985"/>
      <c r="DD25" s="429" t="s">
        <v>908</v>
      </c>
      <c r="DE25" s="325"/>
      <c r="DF25" s="325"/>
      <c r="DG25" s="985"/>
      <c r="DH25" s="429" t="s">
        <v>908</v>
      </c>
      <c r="DI25" s="325"/>
      <c r="DJ25" s="325"/>
      <c r="DK25" s="985"/>
      <c r="DL25" s="429" t="s">
        <v>908</v>
      </c>
      <c r="DM25" s="325"/>
      <c r="DN25" s="325"/>
      <c r="DO25" s="985"/>
      <c r="DP25" s="429" t="s">
        <v>908</v>
      </c>
      <c r="DQ25" s="325"/>
      <c r="DR25" s="325"/>
      <c r="DS25" s="985"/>
      <c r="DT25" s="429" t="s">
        <v>908</v>
      </c>
      <c r="DU25" s="325"/>
      <c r="DV25" s="325"/>
      <c r="DW25" s="985"/>
      <c r="DX25" s="429" t="s">
        <v>908</v>
      </c>
      <c r="DY25" s="325"/>
      <c r="DZ25" s="325"/>
      <c r="EA25" s="985"/>
      <c r="EB25" s="429" t="s">
        <v>908</v>
      </c>
      <c r="EC25" s="325"/>
      <c r="ED25" s="325"/>
      <c r="EE25" s="985"/>
      <c r="EF25" s="429" t="s">
        <v>908</v>
      </c>
      <c r="EG25" s="325"/>
      <c r="EH25" s="325"/>
      <c r="EI25" s="985"/>
      <c r="EJ25" s="429" t="s">
        <v>908</v>
      </c>
      <c r="EK25" s="325"/>
      <c r="EL25" s="325"/>
      <c r="EM25" s="985"/>
      <c r="EN25" s="429" t="s">
        <v>908</v>
      </c>
      <c r="EO25" s="325"/>
      <c r="EP25" s="325"/>
      <c r="EQ25" s="985"/>
      <c r="ER25" s="429" t="s">
        <v>908</v>
      </c>
      <c r="ES25" s="325"/>
      <c r="ET25" s="325"/>
      <c r="EU25" s="985"/>
      <c r="EV25" s="429" t="s">
        <v>908</v>
      </c>
      <c r="EW25" s="325"/>
      <c r="EX25" s="325"/>
      <c r="EY25" s="985"/>
      <c r="EZ25" s="429" t="s">
        <v>908</v>
      </c>
      <c r="FA25" s="325"/>
      <c r="FB25" s="325"/>
      <c r="FC25" s="985"/>
      <c r="FD25" s="429" t="s">
        <v>908</v>
      </c>
      <c r="FE25" s="325"/>
      <c r="FF25" s="325"/>
      <c r="FG25" s="985"/>
      <c r="FH25" s="429" t="s">
        <v>908</v>
      </c>
      <c r="FI25" s="325"/>
      <c r="FJ25" s="325"/>
      <c r="FK25" s="985"/>
      <c r="FL25" s="429" t="s">
        <v>908</v>
      </c>
      <c r="FM25" s="325"/>
      <c r="FN25" s="325"/>
      <c r="FO25" s="985"/>
      <c r="FP25" s="429" t="s">
        <v>908</v>
      </c>
      <c r="FQ25" s="325"/>
      <c r="FR25" s="325"/>
      <c r="FS25" s="985"/>
      <c r="FT25" s="429" t="s">
        <v>908</v>
      </c>
      <c r="FU25" s="325"/>
      <c r="FV25" s="325"/>
      <c r="FW25" s="985"/>
      <c r="FX25" s="429" t="s">
        <v>908</v>
      </c>
      <c r="FY25" s="325"/>
      <c r="FZ25" s="325"/>
      <c r="GA25" s="985"/>
      <c r="GB25" s="429" t="s">
        <v>908</v>
      </c>
      <c r="GC25" s="325"/>
      <c r="GD25" s="325"/>
      <c r="GE25" s="985"/>
      <c r="GF25" s="429" t="s">
        <v>908</v>
      </c>
      <c r="GG25" s="325"/>
      <c r="GH25" s="325"/>
      <c r="GI25" s="985"/>
      <c r="GJ25" s="429" t="s">
        <v>908</v>
      </c>
      <c r="GK25" s="325"/>
      <c r="GL25" s="325"/>
      <c r="GM25" s="985"/>
      <c r="GN25" s="429" t="s">
        <v>908</v>
      </c>
      <c r="GO25" s="325"/>
      <c r="GP25" s="325"/>
      <c r="GQ25" s="985"/>
      <c r="GR25" s="429" t="s">
        <v>908</v>
      </c>
      <c r="GS25" s="325"/>
      <c r="GT25" s="325"/>
      <c r="GU25" s="985"/>
      <c r="GV25" s="429" t="s">
        <v>908</v>
      </c>
      <c r="GW25" s="325"/>
      <c r="GX25" s="325"/>
      <c r="GY25" s="985"/>
      <c r="GZ25" s="429" t="s">
        <v>908</v>
      </c>
      <c r="HA25" s="325"/>
      <c r="HB25" s="325"/>
      <c r="HC25" s="985"/>
      <c r="HD25" s="429" t="s">
        <v>908</v>
      </c>
      <c r="HE25" s="325"/>
      <c r="HF25" s="325"/>
      <c r="HG25" s="985"/>
      <c r="HH25" s="429" t="s">
        <v>908</v>
      </c>
      <c r="HI25" s="325"/>
      <c r="HJ25" s="325"/>
      <c r="HK25" s="985"/>
      <c r="HL25" s="429" t="s">
        <v>908</v>
      </c>
      <c r="HM25" s="325"/>
      <c r="HN25" s="325"/>
      <c r="HO25" s="985"/>
      <c r="HP25" s="429" t="s">
        <v>908</v>
      </c>
      <c r="HQ25" s="325"/>
      <c r="HR25" s="325"/>
      <c r="HS25" s="985"/>
      <c r="HT25" s="429" t="s">
        <v>908</v>
      </c>
      <c r="HU25" s="325"/>
      <c r="HV25" s="325"/>
      <c r="HW25" s="985"/>
      <c r="HX25" s="429" t="s">
        <v>908</v>
      </c>
      <c r="HY25" s="325"/>
      <c r="HZ25" s="325"/>
      <c r="IA25" s="985"/>
      <c r="IB25" s="429" t="s">
        <v>908</v>
      </c>
      <c r="IC25" s="325"/>
      <c r="ID25" s="325"/>
      <c r="IE25" s="985"/>
      <c r="IF25" s="429" t="s">
        <v>908</v>
      </c>
      <c r="IG25" s="325"/>
      <c r="IH25" s="325"/>
      <c r="II25" s="985"/>
      <c r="IJ25" s="429" t="s">
        <v>908</v>
      </c>
      <c r="IK25" s="325"/>
      <c r="IL25" s="325"/>
      <c r="IM25" s="985"/>
      <c r="IN25" s="429" t="s">
        <v>908</v>
      </c>
      <c r="IO25" s="325"/>
      <c r="IP25" s="325"/>
      <c r="IQ25" s="985"/>
      <c r="IR25" s="223"/>
      <c r="IS25" s="348"/>
      <c r="IT25" s="731"/>
    </row>
    <row r="26" spans="1:256" s="2" customFormat="1" ht="13.8">
      <c r="A26" s="482">
        <f>+A25+1</f>
        <v>13</v>
      </c>
      <c r="B26" s="635" t="s">
        <v>284</v>
      </c>
      <c r="C26" s="348" t="s">
        <v>283</v>
      </c>
      <c r="D26" s="326"/>
      <c r="E26" s="1041">
        <v>0.127</v>
      </c>
      <c r="F26" s="1044"/>
      <c r="G26" s="1042"/>
      <c r="H26" s="1042"/>
      <c r="I26" s="1045"/>
      <c r="J26" s="1041">
        <v>0.11700000000000001</v>
      </c>
      <c r="K26" s="1046"/>
      <c r="L26" s="1046"/>
      <c r="M26" s="1047"/>
      <c r="N26" s="1041">
        <v>0.127</v>
      </c>
      <c r="O26" s="1046"/>
      <c r="P26" s="1046"/>
      <c r="Q26" s="1047"/>
      <c r="R26" s="1049">
        <f>V26</f>
        <v>0.11700000000000001</v>
      </c>
      <c r="S26" s="1046"/>
      <c r="T26" s="1046"/>
      <c r="U26" s="1046"/>
      <c r="V26" s="1049">
        <f>J26</f>
        <v>0.11700000000000001</v>
      </c>
      <c r="W26" s="1046"/>
      <c r="X26" s="1046"/>
      <c r="Y26" s="1047"/>
      <c r="Z26" s="1049">
        <f>J26</f>
        <v>0.11700000000000001</v>
      </c>
      <c r="AA26" s="1046"/>
      <c r="AB26" s="1046"/>
      <c r="AC26" s="1047"/>
      <c r="AD26" s="1049">
        <f>J26</f>
        <v>0.11700000000000001</v>
      </c>
      <c r="AE26" s="1046"/>
      <c r="AF26" s="1046"/>
      <c r="AG26" s="1047"/>
      <c r="AH26" s="1049">
        <f>J26</f>
        <v>0.11700000000000001</v>
      </c>
      <c r="AI26" s="1046"/>
      <c r="AJ26" s="1046"/>
      <c r="AK26" s="1047"/>
      <c r="AL26" s="1049">
        <v>0.11700000000000001</v>
      </c>
      <c r="AM26" s="1046"/>
      <c r="AN26" s="1046"/>
      <c r="AO26" s="1047"/>
      <c r="AP26" s="1049">
        <v>0.11700000000000001</v>
      </c>
      <c r="AQ26" s="1046"/>
      <c r="AR26" s="1046"/>
      <c r="AS26" s="1047"/>
      <c r="AT26" s="1049">
        <v>0.11700000000000001</v>
      </c>
      <c r="AU26" s="1046"/>
      <c r="AV26" s="1046"/>
      <c r="AW26" s="1047"/>
      <c r="AX26" s="1049">
        <v>0.11700000000000001</v>
      </c>
      <c r="AY26" s="1046"/>
      <c r="AZ26" s="1046"/>
      <c r="BA26" s="1047"/>
      <c r="BB26" s="1049">
        <f>AT26</f>
        <v>0.11700000000000001</v>
      </c>
      <c r="BC26" s="1046"/>
      <c r="BD26" s="1046"/>
      <c r="BE26" s="1047"/>
      <c r="BF26" s="1049">
        <f>AX26</f>
        <v>0.11700000000000001</v>
      </c>
      <c r="BG26" s="1046"/>
      <c r="BH26" s="1046"/>
      <c r="BI26" s="1047"/>
      <c r="BJ26" s="1049">
        <f>BB26</f>
        <v>0.11700000000000001</v>
      </c>
      <c r="BK26" s="1046"/>
      <c r="BL26" s="1046"/>
      <c r="BM26" s="1047"/>
      <c r="BN26" s="1049">
        <f>BF26</f>
        <v>0.11700000000000001</v>
      </c>
      <c r="BO26" s="1046"/>
      <c r="BP26" s="1046"/>
      <c r="BQ26" s="1047"/>
      <c r="BR26" s="1570">
        <v>0.11700000000000001</v>
      </c>
      <c r="BS26" s="1569"/>
      <c r="BT26" s="1042"/>
      <c r="BU26" s="1042"/>
      <c r="BV26" s="1042"/>
      <c r="BW26" s="1570">
        <v>0.11700000000000001</v>
      </c>
      <c r="BX26" s="1044"/>
      <c r="BY26" s="1042"/>
      <c r="BZ26" s="1042"/>
      <c r="CA26" s="1045"/>
      <c r="CB26" s="1570">
        <v>0.11700000000000001</v>
      </c>
      <c r="CC26" s="1044"/>
      <c r="CD26" s="1042"/>
      <c r="CE26" s="1045"/>
      <c r="CF26" s="1570">
        <v>0.11700000000000001</v>
      </c>
      <c r="CG26" s="1044"/>
      <c r="CH26" s="1042"/>
      <c r="CI26" s="1045"/>
      <c r="CJ26" s="1570">
        <v>0.11700000000000001</v>
      </c>
      <c r="CK26" s="1044"/>
      <c r="CL26" s="1042"/>
      <c r="CM26" s="1045"/>
      <c r="CN26" s="1570">
        <v>0.11700000000000001</v>
      </c>
      <c r="CO26" s="1044"/>
      <c r="CP26" s="1042"/>
      <c r="CQ26" s="1045"/>
      <c r="CR26" s="1570">
        <v>0.11700000000000001</v>
      </c>
      <c r="CS26" s="1044"/>
      <c r="CT26" s="1042"/>
      <c r="CU26" s="1045"/>
      <c r="CV26" s="1570">
        <v>0.11700000000000001</v>
      </c>
      <c r="CW26" s="1044"/>
      <c r="CX26" s="1042"/>
      <c r="CY26" s="1045"/>
      <c r="CZ26" s="1570">
        <v>0.11700000000000001</v>
      </c>
      <c r="DA26" s="1044"/>
      <c r="DB26" s="1042"/>
      <c r="DC26" s="1045"/>
      <c r="DD26" s="1570">
        <v>0.11700000000000001</v>
      </c>
      <c r="DE26" s="1044"/>
      <c r="DF26" s="1042"/>
      <c r="DG26" s="1045"/>
      <c r="DH26" s="1570">
        <v>0.11700000000000001</v>
      </c>
      <c r="DI26" s="1044"/>
      <c r="DJ26" s="1042"/>
      <c r="DK26" s="1045"/>
      <c r="DL26" s="1570">
        <v>0.11700000000000001</v>
      </c>
      <c r="DM26" s="1044"/>
      <c r="DN26" s="1042"/>
      <c r="DO26" s="1045"/>
      <c r="DP26" s="1570">
        <v>0.11700000000000001</v>
      </c>
      <c r="DQ26" s="1044"/>
      <c r="DR26" s="1042"/>
      <c r="DS26" s="1045"/>
      <c r="DT26" s="1570">
        <v>0.11700000000000001</v>
      </c>
      <c r="DU26" s="1044"/>
      <c r="DV26" s="1042"/>
      <c r="DW26" s="1045"/>
      <c r="DX26" s="1570">
        <v>0.11700000000000001</v>
      </c>
      <c r="DY26" s="1044"/>
      <c r="DZ26" s="1042"/>
      <c r="EA26" s="1045"/>
      <c r="EB26" s="1570">
        <v>0.11700000000000001</v>
      </c>
      <c r="EC26" s="1044"/>
      <c r="ED26" s="1042"/>
      <c r="EE26" s="1045"/>
      <c r="EF26" s="1570">
        <v>0.11700000000000001</v>
      </c>
      <c r="EG26" s="1044"/>
      <c r="EH26" s="1042"/>
      <c r="EI26" s="1045"/>
      <c r="EJ26" s="1570">
        <v>0.11700000000000001</v>
      </c>
      <c r="EK26" s="1044"/>
      <c r="EL26" s="1042"/>
      <c r="EM26" s="1045"/>
      <c r="EN26" s="1570">
        <v>0.11700000000000001</v>
      </c>
      <c r="EO26" s="1044"/>
      <c r="EP26" s="1042"/>
      <c r="EQ26" s="1045"/>
      <c r="ER26" s="1570">
        <v>0.11700000000000001</v>
      </c>
      <c r="ES26" s="1044"/>
      <c r="ET26" s="1042"/>
      <c r="EU26" s="1045"/>
      <c r="EV26" s="1570">
        <v>0.11700000000000001</v>
      </c>
      <c r="EW26" s="1044"/>
      <c r="EX26" s="1042"/>
      <c r="EY26" s="1045"/>
      <c r="EZ26" s="1570">
        <v>0.11700000000000001</v>
      </c>
      <c r="FA26" s="1044"/>
      <c r="FB26" s="1042"/>
      <c r="FC26" s="1045"/>
      <c r="FD26" s="1570">
        <v>0.11700000000000001</v>
      </c>
      <c r="FE26" s="1044"/>
      <c r="FF26" s="1042"/>
      <c r="FG26" s="1045"/>
      <c r="FH26" s="1570">
        <v>0.11700000000000001</v>
      </c>
      <c r="FI26" s="1044"/>
      <c r="FJ26" s="1042"/>
      <c r="FK26" s="1045"/>
      <c r="FL26" s="1570">
        <v>0.11700000000000001</v>
      </c>
      <c r="FM26" s="1044"/>
      <c r="FN26" s="1042"/>
      <c r="FO26" s="1045"/>
      <c r="FP26" s="1570">
        <v>0.11700000000000001</v>
      </c>
      <c r="FQ26" s="1044"/>
      <c r="FR26" s="1042"/>
      <c r="FS26" s="1045"/>
      <c r="FT26" s="1570">
        <v>0.11700000000000001</v>
      </c>
      <c r="FU26" s="1044"/>
      <c r="FV26" s="1042"/>
      <c r="FW26" s="1045"/>
      <c r="FX26" s="1570">
        <v>0.11700000000000001</v>
      </c>
      <c r="FY26" s="1044"/>
      <c r="FZ26" s="1042"/>
      <c r="GA26" s="1045"/>
      <c r="GB26" s="1570">
        <v>0.11700000000000001</v>
      </c>
      <c r="GC26" s="1044"/>
      <c r="GD26" s="1042"/>
      <c r="GE26" s="1045"/>
      <c r="GF26" s="1570">
        <v>0.11700000000000001</v>
      </c>
      <c r="GG26" s="1044"/>
      <c r="GH26" s="1042"/>
      <c r="GI26" s="1045"/>
      <c r="GJ26" s="1570">
        <v>0.11700000000000001</v>
      </c>
      <c r="GK26" s="1044"/>
      <c r="GL26" s="1042"/>
      <c r="GM26" s="1045"/>
      <c r="GN26" s="1570">
        <v>0.11700000000000001</v>
      </c>
      <c r="GO26" s="1044"/>
      <c r="GP26" s="1042"/>
      <c r="GQ26" s="1045"/>
      <c r="GR26" s="1570">
        <v>0.11700000000000001</v>
      </c>
      <c r="GS26" s="1044"/>
      <c r="GT26" s="1042"/>
      <c r="GU26" s="1045"/>
      <c r="GV26" s="1570">
        <v>0.11700000000000001</v>
      </c>
      <c r="GW26" s="1044"/>
      <c r="GX26" s="1042"/>
      <c r="GY26" s="1045"/>
      <c r="GZ26" s="1570">
        <v>0.11700000000000001</v>
      </c>
      <c r="HA26" s="1044"/>
      <c r="HB26" s="1042"/>
      <c r="HC26" s="1045"/>
      <c r="HD26" s="1570">
        <v>0.11700000000000001</v>
      </c>
      <c r="HE26" s="1044"/>
      <c r="HF26" s="1042"/>
      <c r="HG26" s="1045"/>
      <c r="HH26" s="1570">
        <v>0.11700000000000001</v>
      </c>
      <c r="HI26" s="1044"/>
      <c r="HJ26" s="1042"/>
      <c r="HK26" s="1045"/>
      <c r="HL26" s="1570">
        <v>0.11700000000000001</v>
      </c>
      <c r="HM26" s="1044"/>
      <c r="HN26" s="1042"/>
      <c r="HO26" s="1045"/>
      <c r="HP26" s="1570">
        <v>0.11700000000000001</v>
      </c>
      <c r="HQ26" s="1044"/>
      <c r="HR26" s="1042"/>
      <c r="HS26" s="1045"/>
      <c r="HT26" s="1570">
        <v>0.11700000000000001</v>
      </c>
      <c r="HU26" s="1044"/>
      <c r="HV26" s="1042"/>
      <c r="HW26" s="1045"/>
      <c r="HX26" s="1570">
        <v>0.11700000000000001</v>
      </c>
      <c r="HY26" s="1044"/>
      <c r="HZ26" s="1042"/>
      <c r="IA26" s="1045"/>
      <c r="IB26" s="1570">
        <v>0.11700000000000001</v>
      </c>
      <c r="IC26" s="1044"/>
      <c r="ID26" s="1042"/>
      <c r="IE26" s="1045"/>
      <c r="IF26" s="1570">
        <v>0.11700000000000001</v>
      </c>
      <c r="IG26" s="1044"/>
      <c r="IH26" s="1042"/>
      <c r="II26" s="1045"/>
      <c r="IJ26" s="1570">
        <v>0.11700000000000001</v>
      </c>
      <c r="IK26" s="1044"/>
      <c r="IL26" s="1042"/>
      <c r="IM26" s="1045"/>
      <c r="IN26" s="1570">
        <v>0.11700000000000001</v>
      </c>
      <c r="IO26" s="1044"/>
      <c r="IP26" s="1042"/>
      <c r="IQ26" s="1045"/>
      <c r="IR26" s="1042"/>
      <c r="IS26" s="1048"/>
      <c r="IT26" s="1043"/>
    </row>
    <row r="27" spans="1:256" s="2" customFormat="1" ht="26.4">
      <c r="A27" s="482">
        <f>+A26+1</f>
        <v>14</v>
      </c>
      <c r="B27" s="635" t="s">
        <v>254</v>
      </c>
      <c r="C27" s="348" t="s">
        <v>282</v>
      </c>
      <c r="D27" s="326"/>
      <c r="E27" s="732">
        <f>O10</f>
        <v>0.11050974807360493</v>
      </c>
      <c r="F27" s="223"/>
      <c r="G27" s="223"/>
      <c r="H27" s="223"/>
      <c r="I27" s="986"/>
      <c r="J27" s="732">
        <f>+E27</f>
        <v>0.11050974807360493</v>
      </c>
      <c r="K27" s="325"/>
      <c r="L27" s="325"/>
      <c r="M27" s="326"/>
      <c r="N27" s="732">
        <f>+J27</f>
        <v>0.11050974807360493</v>
      </c>
      <c r="O27" s="325"/>
      <c r="P27" s="325"/>
      <c r="Q27" s="326"/>
      <c r="R27" s="1093">
        <f>O10</f>
        <v>0.11050974807360493</v>
      </c>
      <c r="S27" s="325"/>
      <c r="T27" s="325"/>
      <c r="U27" s="325"/>
      <c r="V27" s="1093">
        <f>J27</f>
        <v>0.11050974807360493</v>
      </c>
      <c r="W27" s="325"/>
      <c r="X27" s="325"/>
      <c r="Y27" s="326"/>
      <c r="Z27" s="1093">
        <f>N27</f>
        <v>0.11050974807360493</v>
      </c>
      <c r="AA27" s="325"/>
      <c r="AB27" s="325"/>
      <c r="AC27" s="326"/>
      <c r="AD27" s="1093">
        <f>O10</f>
        <v>0.11050974807360493</v>
      </c>
      <c r="AE27" s="325"/>
      <c r="AF27" s="325"/>
      <c r="AG27" s="326"/>
      <c r="AH27" s="1093">
        <f>O10</f>
        <v>0.11050974807360493</v>
      </c>
      <c r="AI27" s="325"/>
      <c r="AJ27" s="325"/>
      <c r="AK27" s="326"/>
      <c r="AL27" s="1093">
        <f>$O$10</f>
        <v>0.11050974807360493</v>
      </c>
      <c r="AM27" s="325"/>
      <c r="AN27" s="325"/>
      <c r="AO27" s="326"/>
      <c r="AP27" s="1093">
        <f>$O$10</f>
        <v>0.11050974807360493</v>
      </c>
      <c r="AQ27" s="325"/>
      <c r="AR27" s="325"/>
      <c r="AS27" s="326"/>
      <c r="AT27" s="1093">
        <f>$O$10</f>
        <v>0.11050974807360493</v>
      </c>
      <c r="AU27" s="325"/>
      <c r="AV27" s="325"/>
      <c r="AW27" s="326"/>
      <c r="AX27" s="1093">
        <f>$O$10</f>
        <v>0.11050974807360493</v>
      </c>
      <c r="AY27" s="325"/>
      <c r="AZ27" s="325"/>
      <c r="BA27" s="326"/>
      <c r="BB27" s="1093">
        <f>$O$10</f>
        <v>0.11050974807360493</v>
      </c>
      <c r="BC27" s="325"/>
      <c r="BD27" s="325"/>
      <c r="BE27" s="326"/>
      <c r="BF27" s="1093">
        <f>$O$10</f>
        <v>0.11050974807360493</v>
      </c>
      <c r="BG27" s="325"/>
      <c r="BH27" s="325"/>
      <c r="BI27" s="326"/>
      <c r="BJ27" s="1093">
        <f>$O$10</f>
        <v>0.11050974807360493</v>
      </c>
      <c r="BK27" s="325"/>
      <c r="BL27" s="325"/>
      <c r="BM27" s="326"/>
      <c r="BN27" s="1093">
        <f>$O$10</f>
        <v>0.11050974807360493</v>
      </c>
      <c r="BO27" s="325"/>
      <c r="BP27" s="325"/>
      <c r="BQ27" s="326"/>
      <c r="BR27" s="1093">
        <f>$O$10</f>
        <v>0.11050974807360493</v>
      </c>
      <c r="BS27" s="355"/>
      <c r="BT27" s="223"/>
      <c r="BU27" s="223"/>
      <c r="BV27" s="223"/>
      <c r="BW27" s="1093">
        <f>$O$10</f>
        <v>0.11050974807360493</v>
      </c>
      <c r="BX27" s="223"/>
      <c r="BY27" s="223"/>
      <c r="BZ27" s="223"/>
      <c r="CA27" s="986"/>
      <c r="CB27" s="1093">
        <f>$O$10</f>
        <v>0.11050974807360493</v>
      </c>
      <c r="CC27" s="223"/>
      <c r="CD27" s="223"/>
      <c r="CE27" s="986"/>
      <c r="CF27" s="1093">
        <f>$O$10</f>
        <v>0.11050974807360493</v>
      </c>
      <c r="CG27" s="223"/>
      <c r="CH27" s="223"/>
      <c r="CI27" s="986"/>
      <c r="CJ27" s="1093">
        <f>$O$10</f>
        <v>0.11050974807360493</v>
      </c>
      <c r="CK27" s="223"/>
      <c r="CL27" s="223"/>
      <c r="CM27" s="986"/>
      <c r="CN27" s="1093">
        <f>$O$10</f>
        <v>0.11050974807360493</v>
      </c>
      <c r="CO27" s="223"/>
      <c r="CP27" s="223"/>
      <c r="CQ27" s="986"/>
      <c r="CR27" s="1093">
        <f>$O$10</f>
        <v>0.11050974807360493</v>
      </c>
      <c r="CS27" s="223"/>
      <c r="CT27" s="223"/>
      <c r="CU27" s="986"/>
      <c r="CV27" s="1093">
        <f>$O$10</f>
        <v>0.11050974807360493</v>
      </c>
      <c r="CW27" s="223"/>
      <c r="CX27" s="223"/>
      <c r="CY27" s="986"/>
      <c r="CZ27" s="1093">
        <f>$O$10</f>
        <v>0.11050974807360493</v>
      </c>
      <c r="DA27" s="223"/>
      <c r="DB27" s="223"/>
      <c r="DC27" s="986"/>
      <c r="DD27" s="1093">
        <f>$O$10</f>
        <v>0.11050974807360493</v>
      </c>
      <c r="DE27" s="223"/>
      <c r="DF27" s="223"/>
      <c r="DG27" s="986"/>
      <c r="DH27" s="1093">
        <f>$O$10</f>
        <v>0.11050974807360493</v>
      </c>
      <c r="DI27" s="223"/>
      <c r="DJ27" s="223"/>
      <c r="DK27" s="986"/>
      <c r="DL27" s="1093">
        <f>$O$10</f>
        <v>0.11050974807360493</v>
      </c>
      <c r="DM27" s="223"/>
      <c r="DN27" s="223"/>
      <c r="DO27" s="986"/>
      <c r="DP27" s="1093">
        <f>$O$10</f>
        <v>0.11050974807360493</v>
      </c>
      <c r="DQ27" s="223"/>
      <c r="DR27" s="223"/>
      <c r="DS27" s="986"/>
      <c r="DT27" s="1093">
        <f>$O$10</f>
        <v>0.11050974807360493</v>
      </c>
      <c r="DU27" s="223"/>
      <c r="DV27" s="223"/>
      <c r="DW27" s="986"/>
      <c r="DX27" s="1093">
        <f>$O$10</f>
        <v>0.11050974807360493</v>
      </c>
      <c r="DY27" s="223"/>
      <c r="DZ27" s="223"/>
      <c r="EA27" s="986"/>
      <c r="EB27" s="1093">
        <f>$O$10</f>
        <v>0.11050974807360493</v>
      </c>
      <c r="EC27" s="223"/>
      <c r="ED27" s="223"/>
      <c r="EE27" s="986"/>
      <c r="EF27" s="1093">
        <f>$O$10</f>
        <v>0.11050974807360493</v>
      </c>
      <c r="EG27" s="223"/>
      <c r="EH27" s="223"/>
      <c r="EI27" s="986"/>
      <c r="EJ27" s="1093">
        <f>$O$10</f>
        <v>0.11050974807360493</v>
      </c>
      <c r="EK27" s="223"/>
      <c r="EL27" s="223"/>
      <c r="EM27" s="986"/>
      <c r="EN27" s="1093">
        <f>$O$10</f>
        <v>0.11050974807360493</v>
      </c>
      <c r="EO27" s="223"/>
      <c r="EP27" s="223"/>
      <c r="EQ27" s="986"/>
      <c r="ER27" s="1093">
        <f>$O$10</f>
        <v>0.11050974807360493</v>
      </c>
      <c r="ES27" s="223"/>
      <c r="ET27" s="223"/>
      <c r="EU27" s="986"/>
      <c r="EV27" s="1093">
        <f>$O$10</f>
        <v>0.11050974807360493</v>
      </c>
      <c r="EW27" s="223"/>
      <c r="EX27" s="223"/>
      <c r="EY27" s="986"/>
      <c r="EZ27" s="1093">
        <f>$O$10</f>
        <v>0.11050974807360493</v>
      </c>
      <c r="FA27" s="223"/>
      <c r="FB27" s="223"/>
      <c r="FC27" s="986"/>
      <c r="FD27" s="1093">
        <f>$O$10</f>
        <v>0.11050974807360493</v>
      </c>
      <c r="FE27" s="223"/>
      <c r="FF27" s="223"/>
      <c r="FG27" s="986"/>
      <c r="FH27" s="1093">
        <f>$O$10</f>
        <v>0.11050974807360493</v>
      </c>
      <c r="FI27" s="223"/>
      <c r="FJ27" s="223"/>
      <c r="FK27" s="986"/>
      <c r="FL27" s="1093">
        <f>$O$10</f>
        <v>0.11050974807360493</v>
      </c>
      <c r="FM27" s="223"/>
      <c r="FN27" s="223"/>
      <c r="FO27" s="986"/>
      <c r="FP27" s="1093">
        <f>$O$10</f>
        <v>0.11050974807360493</v>
      </c>
      <c r="FQ27" s="223"/>
      <c r="FR27" s="223"/>
      <c r="FS27" s="986"/>
      <c r="FT27" s="1093">
        <f>$O$10</f>
        <v>0.11050974807360493</v>
      </c>
      <c r="FU27" s="223"/>
      <c r="FV27" s="223"/>
      <c r="FW27" s="986"/>
      <c r="FX27" s="1093">
        <f>$O$10</f>
        <v>0.11050974807360493</v>
      </c>
      <c r="FY27" s="223"/>
      <c r="FZ27" s="223"/>
      <c r="GA27" s="986"/>
      <c r="GB27" s="1093">
        <f>$O$10</f>
        <v>0.11050974807360493</v>
      </c>
      <c r="GC27" s="223"/>
      <c r="GD27" s="223"/>
      <c r="GE27" s="986"/>
      <c r="GF27" s="1093">
        <f>$O$10</f>
        <v>0.11050974807360493</v>
      </c>
      <c r="GG27" s="223"/>
      <c r="GH27" s="223"/>
      <c r="GI27" s="986"/>
      <c r="GJ27" s="1093">
        <f>$O$10</f>
        <v>0.11050974807360493</v>
      </c>
      <c r="GK27" s="223"/>
      <c r="GL27" s="223"/>
      <c r="GM27" s="986"/>
      <c r="GN27" s="1093">
        <f>$O$10</f>
        <v>0.11050974807360493</v>
      </c>
      <c r="GO27" s="223"/>
      <c r="GP27" s="223"/>
      <c r="GQ27" s="986"/>
      <c r="GR27" s="1093">
        <f>$O$10</f>
        <v>0.11050974807360493</v>
      </c>
      <c r="GS27" s="223"/>
      <c r="GT27" s="223"/>
      <c r="GU27" s="986"/>
      <c r="GV27" s="1093">
        <f>$O$10</f>
        <v>0.11050974807360493</v>
      </c>
      <c r="GW27" s="223"/>
      <c r="GX27" s="223"/>
      <c r="GY27" s="986"/>
      <c r="GZ27" s="1093">
        <f>$O$10</f>
        <v>0.11050974807360493</v>
      </c>
      <c r="HA27" s="223"/>
      <c r="HB27" s="223"/>
      <c r="HC27" s="986"/>
      <c r="HD27" s="1093">
        <f>$O$10</f>
        <v>0.11050974807360493</v>
      </c>
      <c r="HE27" s="223"/>
      <c r="HF27" s="223"/>
      <c r="HG27" s="986"/>
      <c r="HH27" s="1093">
        <f>$O$10</f>
        <v>0.11050974807360493</v>
      </c>
      <c r="HI27" s="223"/>
      <c r="HJ27" s="223"/>
      <c r="HK27" s="986"/>
      <c r="HL27" s="1093">
        <f>$O$10</f>
        <v>0.11050974807360493</v>
      </c>
      <c r="HM27" s="223"/>
      <c r="HN27" s="223"/>
      <c r="HO27" s="986"/>
      <c r="HP27" s="1093">
        <f>$O$10</f>
        <v>0.11050974807360493</v>
      </c>
      <c r="HQ27" s="223"/>
      <c r="HR27" s="223"/>
      <c r="HS27" s="986"/>
      <c r="HT27" s="1093">
        <f>$O$10</f>
        <v>0.11050974807360493</v>
      </c>
      <c r="HU27" s="223"/>
      <c r="HV27" s="223"/>
      <c r="HW27" s="986"/>
      <c r="HX27" s="1093">
        <f>$O$10</f>
        <v>0.11050974807360493</v>
      </c>
      <c r="HY27" s="223"/>
      <c r="HZ27" s="223"/>
      <c r="IA27" s="986"/>
      <c r="IB27" s="1093">
        <f>$O$10</f>
        <v>0.11050974807360493</v>
      </c>
      <c r="IC27" s="223"/>
      <c r="ID27" s="223"/>
      <c r="IE27" s="986"/>
      <c r="IF27" s="1093">
        <f>$O$10</f>
        <v>0.11050974807360493</v>
      </c>
      <c r="IG27" s="223"/>
      <c r="IH27" s="223"/>
      <c r="II27" s="986"/>
      <c r="IJ27" s="1093">
        <f>$O$10</f>
        <v>0.11050974807360493</v>
      </c>
      <c r="IK27" s="223"/>
      <c r="IL27" s="223"/>
      <c r="IM27" s="986"/>
      <c r="IN27" s="1093">
        <f>$O$10</f>
        <v>0.11050974807360493</v>
      </c>
      <c r="IO27" s="223"/>
      <c r="IP27" s="223"/>
      <c r="IQ27" s="986"/>
      <c r="IR27" s="223"/>
      <c r="IS27" s="348"/>
      <c r="IT27" s="731"/>
    </row>
    <row r="28" spans="1:256" s="2" customFormat="1" ht="26.4">
      <c r="A28" s="482">
        <f>+A27+1</f>
        <v>15</v>
      </c>
      <c r="B28" s="635" t="s">
        <v>255</v>
      </c>
      <c r="C28" s="520" t="s">
        <v>911</v>
      </c>
      <c r="D28" s="326"/>
      <c r="E28" s="732">
        <f>O11</f>
        <v>0.11720822320422503</v>
      </c>
      <c r="F28" s="223"/>
      <c r="G28" s="223"/>
      <c r="H28" s="223"/>
      <c r="I28" s="986"/>
      <c r="J28" s="732">
        <f>O10</f>
        <v>0.11050974807360493</v>
      </c>
      <c r="K28" s="223"/>
      <c r="L28" s="223"/>
      <c r="M28" s="731"/>
      <c r="N28" s="732">
        <f>O11</f>
        <v>0.11720822320422503</v>
      </c>
      <c r="O28" s="223"/>
      <c r="P28" s="223"/>
      <c r="Q28" s="731"/>
      <c r="R28" s="732">
        <f>O10</f>
        <v>0.11050974807360493</v>
      </c>
      <c r="S28" s="223"/>
      <c r="T28" s="223"/>
      <c r="U28" s="223"/>
      <c r="V28" s="732">
        <f>J28</f>
        <v>0.11050974807360493</v>
      </c>
      <c r="W28" s="223"/>
      <c r="X28" s="223"/>
      <c r="Y28" s="731"/>
      <c r="Z28" s="732">
        <f>O10</f>
        <v>0.11050974807360493</v>
      </c>
      <c r="AA28" s="223"/>
      <c r="AB28" s="223"/>
      <c r="AC28" s="731"/>
      <c r="AD28" s="732">
        <f>O10</f>
        <v>0.11050974807360493</v>
      </c>
      <c r="AE28" s="223"/>
      <c r="AF28" s="223"/>
      <c r="AG28" s="731"/>
      <c r="AH28" s="732">
        <f>O10</f>
        <v>0.11050974807360493</v>
      </c>
      <c r="AI28" s="223"/>
      <c r="AJ28" s="223"/>
      <c r="AK28" s="731"/>
      <c r="AL28" s="732">
        <f>$O$10</f>
        <v>0.11050974807360493</v>
      </c>
      <c r="AM28" s="223"/>
      <c r="AN28" s="223"/>
      <c r="AO28" s="731"/>
      <c r="AP28" s="732">
        <f>$O$10</f>
        <v>0.11050974807360493</v>
      </c>
      <c r="AQ28" s="223"/>
      <c r="AR28" s="223"/>
      <c r="AS28" s="731"/>
      <c r="AT28" s="732">
        <f>$O$10</f>
        <v>0.11050974807360493</v>
      </c>
      <c r="AU28" s="223"/>
      <c r="AV28" s="223"/>
      <c r="AW28" s="731"/>
      <c r="AX28" s="732">
        <f>$O$10</f>
        <v>0.11050974807360493</v>
      </c>
      <c r="AY28" s="223"/>
      <c r="AZ28" s="223"/>
      <c r="BA28" s="731"/>
      <c r="BB28" s="732">
        <f>$O$10</f>
        <v>0.11050974807360493</v>
      </c>
      <c r="BC28" s="223"/>
      <c r="BD28" s="223"/>
      <c r="BE28" s="731"/>
      <c r="BF28" s="732">
        <f>$O$10</f>
        <v>0.11050974807360493</v>
      </c>
      <c r="BG28" s="223"/>
      <c r="BH28" s="223"/>
      <c r="BI28" s="731"/>
      <c r="BJ28" s="732">
        <f>$O$10</f>
        <v>0.11050974807360493</v>
      </c>
      <c r="BK28" s="223"/>
      <c r="BL28" s="223"/>
      <c r="BM28" s="731"/>
      <c r="BN28" s="732">
        <f>$O$10</f>
        <v>0.11050974807360493</v>
      </c>
      <c r="BO28" s="223"/>
      <c r="BP28" s="223"/>
      <c r="BQ28" s="731"/>
      <c r="BR28" s="732">
        <f>$O$10</f>
        <v>0.11050974807360493</v>
      </c>
      <c r="BS28" s="355"/>
      <c r="BT28" s="1810"/>
      <c r="BU28" s="1810"/>
      <c r="BV28" s="223"/>
      <c r="BW28" s="732">
        <f>$O$10</f>
        <v>0.11050974807360493</v>
      </c>
      <c r="BX28" s="223"/>
      <c r="BY28" s="223"/>
      <c r="BZ28" s="223"/>
      <c r="CA28" s="986"/>
      <c r="CB28" s="732">
        <f>$O$10</f>
        <v>0.11050974807360493</v>
      </c>
      <c r="CC28" s="223"/>
      <c r="CD28" s="223"/>
      <c r="CE28" s="986"/>
      <c r="CF28" s="732">
        <f>$O$10</f>
        <v>0.11050974807360493</v>
      </c>
      <c r="CG28" s="223"/>
      <c r="CH28" s="223"/>
      <c r="CI28" s="986"/>
      <c r="CJ28" s="732">
        <f>$O$10</f>
        <v>0.11050974807360493</v>
      </c>
      <c r="CK28" s="223"/>
      <c r="CL28" s="223"/>
      <c r="CM28" s="986"/>
      <c r="CN28" s="732">
        <f>$O$10</f>
        <v>0.11050974807360493</v>
      </c>
      <c r="CO28" s="223"/>
      <c r="CP28" s="223"/>
      <c r="CQ28" s="986"/>
      <c r="CR28" s="732">
        <f>$O$10</f>
        <v>0.11050974807360493</v>
      </c>
      <c r="CS28" s="223"/>
      <c r="CT28" s="223"/>
      <c r="CU28" s="986"/>
      <c r="CV28" s="732">
        <f>$O$10</f>
        <v>0.11050974807360493</v>
      </c>
      <c r="CW28" s="223"/>
      <c r="CX28" s="223"/>
      <c r="CY28" s="986"/>
      <c r="CZ28" s="732">
        <f>$O$10</f>
        <v>0.11050974807360493</v>
      </c>
      <c r="DA28" s="223"/>
      <c r="DB28" s="223"/>
      <c r="DC28" s="986"/>
      <c r="DD28" s="732">
        <f>$O$10</f>
        <v>0.11050974807360493</v>
      </c>
      <c r="DE28" s="223"/>
      <c r="DF28" s="223"/>
      <c r="DG28" s="986"/>
      <c r="DH28" s="732">
        <f>$O$10</f>
        <v>0.11050974807360493</v>
      </c>
      <c r="DI28" s="223"/>
      <c r="DJ28" s="223"/>
      <c r="DK28" s="986"/>
      <c r="DL28" s="732">
        <f>$O$10</f>
        <v>0.11050974807360493</v>
      </c>
      <c r="DM28" s="223"/>
      <c r="DN28" s="223"/>
      <c r="DO28" s="986"/>
      <c r="DP28" s="732">
        <f>$O$10</f>
        <v>0.11050974807360493</v>
      </c>
      <c r="DQ28" s="223"/>
      <c r="DR28" s="223"/>
      <c r="DS28" s="986"/>
      <c r="DT28" s="732">
        <f>$O$10</f>
        <v>0.11050974807360493</v>
      </c>
      <c r="DU28" s="223"/>
      <c r="DV28" s="223"/>
      <c r="DW28" s="986"/>
      <c r="DX28" s="732">
        <f>$O$10</f>
        <v>0.11050974807360493</v>
      </c>
      <c r="DY28" s="223"/>
      <c r="DZ28" s="223"/>
      <c r="EA28" s="986"/>
      <c r="EB28" s="732">
        <f>$O$10</f>
        <v>0.11050974807360493</v>
      </c>
      <c r="EC28" s="223"/>
      <c r="ED28" s="223"/>
      <c r="EE28" s="986"/>
      <c r="EF28" s="732">
        <f>$O$10</f>
        <v>0.11050974807360493</v>
      </c>
      <c r="EG28" s="223"/>
      <c r="EH28" s="223"/>
      <c r="EI28" s="986"/>
      <c r="EJ28" s="732">
        <f>$O$10</f>
        <v>0.11050974807360493</v>
      </c>
      <c r="EK28" s="223"/>
      <c r="EL28" s="223"/>
      <c r="EM28" s="986"/>
      <c r="EN28" s="732">
        <f>$O$10</f>
        <v>0.11050974807360493</v>
      </c>
      <c r="EO28" s="223"/>
      <c r="EP28" s="223"/>
      <c r="EQ28" s="986"/>
      <c r="ER28" s="732">
        <f>$O$10</f>
        <v>0.11050974807360493</v>
      </c>
      <c r="ES28" s="223"/>
      <c r="ET28" s="223"/>
      <c r="EU28" s="986"/>
      <c r="EV28" s="732">
        <f>$O$10</f>
        <v>0.11050974807360493</v>
      </c>
      <c r="EW28" s="223"/>
      <c r="EX28" s="223"/>
      <c r="EY28" s="986"/>
      <c r="EZ28" s="732">
        <f>$O$10</f>
        <v>0.11050974807360493</v>
      </c>
      <c r="FA28" s="223"/>
      <c r="FB28" s="223"/>
      <c r="FC28" s="986"/>
      <c r="FD28" s="732">
        <f>$O$10</f>
        <v>0.11050974807360493</v>
      </c>
      <c r="FE28" s="223"/>
      <c r="FF28" s="223"/>
      <c r="FG28" s="986"/>
      <c r="FH28" s="732">
        <f>$O$10</f>
        <v>0.11050974807360493</v>
      </c>
      <c r="FI28" s="223"/>
      <c r="FJ28" s="223"/>
      <c r="FK28" s="986"/>
      <c r="FL28" s="732">
        <f>$O$10</f>
        <v>0.11050974807360493</v>
      </c>
      <c r="FM28" s="223"/>
      <c r="FN28" s="223"/>
      <c r="FO28" s="986"/>
      <c r="FP28" s="732">
        <f>$O$10</f>
        <v>0.11050974807360493</v>
      </c>
      <c r="FQ28" s="223"/>
      <c r="FR28" s="223"/>
      <c r="FS28" s="986"/>
      <c r="FT28" s="732">
        <f>$O$10</f>
        <v>0.11050974807360493</v>
      </c>
      <c r="FU28" s="223"/>
      <c r="FV28" s="223"/>
      <c r="FW28" s="986"/>
      <c r="FX28" s="732">
        <f>$O$10</f>
        <v>0.11050974807360493</v>
      </c>
      <c r="FY28" s="223"/>
      <c r="FZ28" s="223"/>
      <c r="GA28" s="986"/>
      <c r="GB28" s="732">
        <f>$O$10</f>
        <v>0.11050974807360493</v>
      </c>
      <c r="GC28" s="223"/>
      <c r="GD28" s="223"/>
      <c r="GE28" s="986"/>
      <c r="GF28" s="732">
        <f>$O$10</f>
        <v>0.11050974807360493</v>
      </c>
      <c r="GG28" s="223"/>
      <c r="GH28" s="223"/>
      <c r="GI28" s="986"/>
      <c r="GJ28" s="732">
        <f>$O$10</f>
        <v>0.11050974807360493</v>
      </c>
      <c r="GK28" s="223"/>
      <c r="GL28" s="223"/>
      <c r="GM28" s="986"/>
      <c r="GN28" s="732">
        <f>$O$10</f>
        <v>0.11050974807360493</v>
      </c>
      <c r="GO28" s="223"/>
      <c r="GP28" s="223"/>
      <c r="GQ28" s="986"/>
      <c r="GR28" s="732">
        <f>$O$10</f>
        <v>0.11050974807360493</v>
      </c>
      <c r="GS28" s="223"/>
      <c r="GT28" s="223"/>
      <c r="GU28" s="986"/>
      <c r="GV28" s="732">
        <f>$O$10</f>
        <v>0.11050974807360493</v>
      </c>
      <c r="GW28" s="223"/>
      <c r="GX28" s="223"/>
      <c r="GY28" s="986"/>
      <c r="GZ28" s="732">
        <f>$O$10</f>
        <v>0.11050974807360493</v>
      </c>
      <c r="HA28" s="223"/>
      <c r="HB28" s="223"/>
      <c r="HC28" s="986"/>
      <c r="HD28" s="732">
        <f>$O$10</f>
        <v>0.11050974807360493</v>
      </c>
      <c r="HE28" s="223"/>
      <c r="HF28" s="223"/>
      <c r="HG28" s="986"/>
      <c r="HH28" s="732">
        <f>$O$10</f>
        <v>0.11050974807360493</v>
      </c>
      <c r="HI28" s="223"/>
      <c r="HJ28" s="223"/>
      <c r="HK28" s="986"/>
      <c r="HL28" s="732">
        <f>$O$10</f>
        <v>0.11050974807360493</v>
      </c>
      <c r="HM28" s="223"/>
      <c r="HN28" s="223"/>
      <c r="HO28" s="986"/>
      <c r="HP28" s="732">
        <f>$O$10</f>
        <v>0.11050974807360493</v>
      </c>
      <c r="HQ28" s="223"/>
      <c r="HR28" s="223"/>
      <c r="HS28" s="986"/>
      <c r="HT28" s="732">
        <f>$O$10</f>
        <v>0.11050974807360493</v>
      </c>
      <c r="HU28" s="223"/>
      <c r="HV28" s="223"/>
      <c r="HW28" s="986"/>
      <c r="HX28" s="732">
        <f>$O$10</f>
        <v>0.11050974807360493</v>
      </c>
      <c r="HY28" s="223"/>
      <c r="HZ28" s="223"/>
      <c r="IA28" s="986"/>
      <c r="IB28" s="732">
        <f>$O$10</f>
        <v>0.11050974807360493</v>
      </c>
      <c r="IC28" s="223"/>
      <c r="ID28" s="223"/>
      <c r="IE28" s="986"/>
      <c r="IF28" s="732">
        <f>$O$10</f>
        <v>0.11050974807360493</v>
      </c>
      <c r="IG28" s="223"/>
      <c r="IH28" s="223"/>
      <c r="II28" s="986"/>
      <c r="IJ28" s="732">
        <f>$O$10</f>
        <v>0.11050974807360493</v>
      </c>
      <c r="IK28" s="223"/>
      <c r="IL28" s="223"/>
      <c r="IM28" s="986"/>
      <c r="IN28" s="732">
        <f>$O$10</f>
        <v>0.11050974807360493</v>
      </c>
      <c r="IO28" s="223"/>
      <c r="IP28" s="223"/>
      <c r="IQ28" s="986"/>
      <c r="IR28" s="223"/>
      <c r="IS28" s="348"/>
      <c r="IT28" s="731"/>
    </row>
    <row r="29" spans="1:256" s="2" customFormat="1" ht="51" customHeight="1">
      <c r="A29" s="482">
        <f>+A28+1</f>
        <v>16</v>
      </c>
      <c r="B29" s="528" t="s">
        <v>196</v>
      </c>
      <c r="C29" s="348" t="s">
        <v>913</v>
      </c>
      <c r="D29" s="326"/>
      <c r="E29" s="1166">
        <f>'6- Est &amp; Reconcile WS'!V143+'5 - Cost Support'!J20-'5 - Cost Support'!J85</f>
        <v>890683909.69473052</v>
      </c>
      <c r="F29" s="1050" t="s">
        <v>525</v>
      </c>
      <c r="G29" s="1050"/>
      <c r="H29" s="1050"/>
      <c r="I29" s="1045"/>
      <c r="J29" s="1166">
        <f>'6- Est &amp; Reconcile WS'!V163+'5 - Cost Support'!I20-'5 - Cost Support'!I85</f>
        <v>17543015.729230769</v>
      </c>
      <c r="K29" s="1050" t="s">
        <v>525</v>
      </c>
      <c r="L29" s="1050"/>
      <c r="M29" s="1045"/>
      <c r="N29" s="1166">
        <f>'6- Est &amp; Reconcile WS'!Q163+'5 - Cost Support'!H20-'5 - Cost Support'!H85</f>
        <v>32356114.60538464</v>
      </c>
      <c r="O29" s="1050" t="s">
        <v>525</v>
      </c>
      <c r="P29" s="1050"/>
      <c r="Q29" s="1045"/>
      <c r="R29" s="1166">
        <f>'5 - Cost Support'!N20-'5 - Cost Support'!N85</f>
        <v>1561127.5799999991</v>
      </c>
      <c r="S29" s="1050"/>
      <c r="T29" s="1050" t="s">
        <v>525</v>
      </c>
      <c r="U29" s="1050"/>
      <c r="V29" s="1166">
        <f>+'5 - Cost Support'!M20-'5 - Cost Support'!M85</f>
        <v>6309245.549999998</v>
      </c>
      <c r="W29" s="1050" t="s">
        <v>525</v>
      </c>
      <c r="X29" s="1050"/>
      <c r="Y29" s="1045"/>
      <c r="Z29" s="1166">
        <f>+'5 - Cost Support'!O20-'5 - Cost Support'!O85</f>
        <v>5962861.950000003</v>
      </c>
      <c r="AA29" s="1050" t="s">
        <v>525</v>
      </c>
      <c r="AB29" s="1050"/>
      <c r="AC29" s="1045"/>
      <c r="AD29" s="1166">
        <f>'6- Est &amp; Reconcile WS'!R183+'5 - Cost Support'!P20-'5 - Cost Support'!P85</f>
        <v>5034016.9376923097</v>
      </c>
      <c r="AE29" s="1050" t="s">
        <v>525</v>
      </c>
      <c r="AF29" s="1050"/>
      <c r="AG29" s="1045"/>
      <c r="AH29" s="1166">
        <f>'6- Est &amp; Reconcile WS'!U143+'5 - Cost Support'!Q20-'5 - Cost Support'!Q85</f>
        <v>31148012.20615384</v>
      </c>
      <c r="AI29" s="1050" t="s">
        <v>525</v>
      </c>
      <c r="AJ29" s="1050"/>
      <c r="AK29" s="1045"/>
      <c r="AL29" s="1166">
        <f>+'5 - Cost Support'!R20-'5 - Cost Support'!R85</f>
        <v>4261024.4299999988</v>
      </c>
      <c r="AM29" s="1050" t="s">
        <v>525</v>
      </c>
      <c r="AN29" s="1050"/>
      <c r="AO29" s="1045"/>
      <c r="AP29" s="1166">
        <f>+'5 - Cost Support'!S20-'5 - Cost Support'!S85</f>
        <v>3967640.040000001</v>
      </c>
      <c r="AQ29" s="1050" t="s">
        <v>525</v>
      </c>
      <c r="AR29" s="1050"/>
      <c r="AS29" s="1045"/>
      <c r="AT29" s="1166">
        <f>+'5 - Cost Support'!T20-'5 - Cost Support'!T85</f>
        <v>4349068.92</v>
      </c>
      <c r="AU29" s="1050" t="s">
        <v>525</v>
      </c>
      <c r="AV29" s="1050"/>
      <c r="AW29" s="1045"/>
      <c r="AX29" s="1166">
        <f>'6- Est &amp; Reconcile WS'!U183++'5 - Cost Support'!U20-'5 - Cost Support'!U85</f>
        <v>6151627.078461539</v>
      </c>
      <c r="AY29" s="1050" t="s">
        <v>525</v>
      </c>
      <c r="AZ29" s="1050"/>
      <c r="BA29" s="1045"/>
      <c r="BB29" s="1166">
        <f>'5 - Cost Support'!V20-'5 - Cost Support'!V85</f>
        <v>13784826.52</v>
      </c>
      <c r="BC29" s="1050" t="s">
        <v>525</v>
      </c>
      <c r="BD29" s="1050"/>
      <c r="BE29" s="1045"/>
      <c r="BF29" s="1166">
        <f>'6- Est &amp; Reconcile WS'!P183+'5 - Cost Support'!W20-'5 - Cost Support'!W85</f>
        <v>1950022.01</v>
      </c>
      <c r="BG29" s="1050" t="s">
        <v>525</v>
      </c>
      <c r="BH29" s="1050"/>
      <c r="BI29" s="1045"/>
      <c r="BJ29" s="1166">
        <f>'5 - Cost Support'!X20-'5 - Cost Support'!X85</f>
        <v>730986.23</v>
      </c>
      <c r="BK29" s="1050"/>
      <c r="BL29" s="1050"/>
      <c r="BM29" s="1045"/>
      <c r="BN29" s="1166">
        <f>'6- Est &amp; Reconcile WS'!T163+'5 - Cost Support'!Y20-'5 - Cost Support'!Y85</f>
        <v>4422934.959999999</v>
      </c>
      <c r="BO29" s="1050"/>
      <c r="BP29" s="1050"/>
      <c r="BQ29" s="1045"/>
      <c r="BR29" s="1166">
        <f>+'5 - Cost Support'!K20-'5 - Cost Support'!K85</f>
        <v>1780111.9700000002</v>
      </c>
      <c r="BS29" s="1050" t="s">
        <v>525</v>
      </c>
      <c r="BT29" s="469"/>
      <c r="BU29" s="469"/>
      <c r="BV29" s="1050"/>
      <c r="BW29" s="1166">
        <f>'6- Est &amp; Reconcile WS'!R163+'5 - Cost Support'!L20-'5 - Cost Support'!L85</f>
        <v>20829937.896923073</v>
      </c>
      <c r="BX29" s="1050"/>
      <c r="BY29" s="1050"/>
      <c r="BZ29" s="1050"/>
      <c r="CA29" s="1045"/>
      <c r="CB29" s="1166">
        <f>'6- Est &amp; Reconcile WS'!O163+'5 - Cost Support'!Z20-'5 - Cost Support'!Z85</f>
        <v>54498149.950000003</v>
      </c>
      <c r="CC29" s="1050"/>
      <c r="CD29" s="1050"/>
      <c r="CE29" s="1045"/>
      <c r="CF29" s="1166">
        <f>'5 - Cost Support'!AJ20-'5 - Cost Support'!AJ85</f>
        <v>38869857.489999995</v>
      </c>
      <c r="CG29" s="1050"/>
      <c r="CH29" s="1050"/>
      <c r="CI29" s="1045"/>
      <c r="CJ29" s="1166">
        <f>'6- Est &amp; Reconcile WS'!Q183+'5 - Cost Support'!AN20-'5 - Cost Support'!AN85</f>
        <v>52928763.334718645</v>
      </c>
      <c r="CK29" s="1050"/>
      <c r="CL29" s="1050"/>
      <c r="CM29" s="1045"/>
      <c r="CN29" s="1166">
        <f>'6- Est &amp; Reconcile WS'!S183+'5 - Cost Support'!AC20-'5 - Cost Support'!AC85</f>
        <v>25082621.685456455</v>
      </c>
      <c r="CO29" s="1050"/>
      <c r="CP29" s="1050"/>
      <c r="CQ29" s="1045"/>
      <c r="CR29" s="1166">
        <f>'5 - Cost Support'!AH20-'5 - Cost Support'!AH85</f>
        <v>2942273.92</v>
      </c>
      <c r="CS29" s="1050"/>
      <c r="CT29" s="1050"/>
      <c r="CU29" s="1045"/>
      <c r="CV29" s="1166">
        <f>'5 - Cost Support'!AO20-'5 - Cost Support'!AO85</f>
        <v>8706864.5199999996</v>
      </c>
      <c r="CW29" s="1050"/>
      <c r="CX29" s="1050"/>
      <c r="CY29" s="1045"/>
      <c r="CZ29" s="1166">
        <f>'5 - Cost Support'!AK20-'5 - Cost Support'!AK85</f>
        <v>4372898.58</v>
      </c>
      <c r="DA29" s="1050"/>
      <c r="DB29" s="1050"/>
      <c r="DC29" s="1045"/>
      <c r="DD29" s="1166">
        <f>'5 - Cost Support'!BC20-'5 - Cost Support'!BC85</f>
        <v>1036490.0299999998</v>
      </c>
      <c r="DE29" s="1050"/>
      <c r="DF29" s="1050"/>
      <c r="DG29" s="1045"/>
      <c r="DH29" s="1166">
        <f>'5 - Cost Support'!AA20-'5 - Cost Support'!AA85</f>
        <v>570698.65</v>
      </c>
      <c r="DI29" s="1050"/>
      <c r="DJ29" s="1050"/>
      <c r="DK29" s="1045"/>
      <c r="DL29" s="1166">
        <f>'5 - Cost Support'!AG20-'5 - Cost Support'!AG85</f>
        <v>32078658.529999994</v>
      </c>
      <c r="DM29" s="1050"/>
      <c r="DN29" s="1050"/>
      <c r="DO29" s="1045"/>
      <c r="DP29" s="1166">
        <f>'5 - Cost Support'!AD20-'5 - Cost Support'!AD85</f>
        <v>1065257.1599999999</v>
      </c>
      <c r="DQ29" s="1050"/>
      <c r="DR29" s="1050"/>
      <c r="DS29" s="1045"/>
      <c r="DT29" s="1166">
        <f>'5 - Cost Support'!AE20-'5 - Cost Support'!AE85</f>
        <v>1574402.32</v>
      </c>
      <c r="DU29" s="1050"/>
      <c r="DV29" s="1050"/>
      <c r="DW29" s="1045"/>
      <c r="DX29" s="1166">
        <f>'6- Est &amp; Reconcile WS'!Q202+'5 - Cost Support'!AM20-'5 - Cost Support'!AM85</f>
        <v>6784194.4599999981</v>
      </c>
      <c r="DY29" s="1050"/>
      <c r="DZ29" s="1050"/>
      <c r="EA29" s="1045"/>
      <c r="EB29" s="1166">
        <f>'5 - Cost Support'!AI20-'5 - Cost Support'!AI85</f>
        <v>504898.9</v>
      </c>
      <c r="EC29" s="1050"/>
      <c r="ED29" s="1050"/>
      <c r="EE29" s="1045"/>
      <c r="EF29" s="1166">
        <f>'5 - Cost Support'!AZ20-'5 - Cost Support'!AZ85</f>
        <v>2059711.7000000002</v>
      </c>
      <c r="EG29" s="1050"/>
      <c r="EH29" s="1050"/>
      <c r="EI29" s="1045"/>
      <c r="EJ29" s="1166">
        <v>0</v>
      </c>
      <c r="EK29" s="1050"/>
      <c r="EL29" s="1050"/>
      <c r="EM29" s="1045"/>
      <c r="EN29" s="1166">
        <f>'6- Est &amp; Reconcile WS'!O183+'5 - Cost Support'!AQ20-'5 - Cost Support'!AQ85</f>
        <v>1354666.1000000003</v>
      </c>
      <c r="EO29" s="1050"/>
      <c r="EP29" s="1050"/>
      <c r="EQ29" s="1045"/>
      <c r="ER29" s="1166">
        <f>'5 - Cost Support'!AL20-'5 - Cost Support'!AL85</f>
        <v>389129.69</v>
      </c>
      <c r="ES29" s="1050"/>
      <c r="ET29" s="1050"/>
      <c r="EU29" s="1045"/>
      <c r="EV29" s="1166">
        <v>0</v>
      </c>
      <c r="EW29" s="1050"/>
      <c r="EX29" s="1050"/>
      <c r="EY29" s="1045"/>
      <c r="EZ29" s="1166">
        <f>'5 - Cost Support'!AX20-'5 - Cost Support'!AX85</f>
        <v>833860.82000000007</v>
      </c>
      <c r="FA29" s="1050"/>
      <c r="FB29" s="1050"/>
      <c r="FC29" s="1045"/>
      <c r="FD29" s="1166">
        <f>'6- Est &amp; Reconcile WS'!P163+'5 - Cost Support'!AB20-'5 - Cost Support'!AB85</f>
        <v>13835535.799999995</v>
      </c>
      <c r="FE29" s="1050"/>
      <c r="FF29" s="1050"/>
      <c r="FG29" s="1045"/>
      <c r="FH29" s="1166">
        <f>'5 - Cost Support'!AF20-'5 - Cost Support'!AF85</f>
        <v>11299308.090000005</v>
      </c>
      <c r="FI29" s="1050"/>
      <c r="FJ29" s="1050"/>
      <c r="FK29" s="1045"/>
      <c r="FL29" s="1166">
        <f>'5 - Cost Support'!AP20-'5 - Cost Support'!AP85</f>
        <v>795807.30999999994</v>
      </c>
      <c r="FM29" s="1050"/>
      <c r="FN29" s="1050"/>
      <c r="FO29" s="1045"/>
      <c r="FP29" s="1166">
        <f>'6- Est &amp; Reconcile WS'!T183+'5 - Cost Support'!AY20-'5 - Cost Support'!AY85</f>
        <v>16891255.594615389</v>
      </c>
      <c r="FQ29" s="1050"/>
      <c r="FR29" s="1050"/>
      <c r="FS29" s="1045"/>
      <c r="FT29" s="1166">
        <f>'6- Est &amp; Reconcile WS'!V183+'5 - Cost Support'!BA20-'5 - Cost Support'!BA85</f>
        <v>34795560.970000014</v>
      </c>
      <c r="FU29" s="1050"/>
      <c r="FV29" s="1050"/>
      <c r="FW29" s="1045"/>
      <c r="FX29" s="1166">
        <f>'6- Est &amp; Reconcile WS'!U163+'5 - Cost Support'!AR20-'5 - Cost Support'!AR85</f>
        <v>635810.5199999999</v>
      </c>
      <c r="FY29" s="1050"/>
      <c r="FZ29" s="1050"/>
      <c r="GA29" s="1045"/>
      <c r="GB29" s="1166">
        <f>'6- Est &amp; Reconcile WS'!O202+'5 - Cost Support'!BB20-'5 - Cost Support'!BB85</f>
        <v>31226805.890158996</v>
      </c>
      <c r="GC29" s="1050"/>
      <c r="GD29" s="1050"/>
      <c r="GE29" s="1045"/>
      <c r="GF29" s="1166">
        <f>'5 - Cost Support'!AW20-'5 - Cost Support'!AW85</f>
        <v>1241364.5299999996</v>
      </c>
      <c r="GG29" s="1050"/>
      <c r="GH29" s="1050"/>
      <c r="GI29" s="1045"/>
      <c r="GJ29" s="1166">
        <f>'5 - Cost Support'!AV20-'5 - Cost Support'!AV85</f>
        <v>6989178.9800000014</v>
      </c>
      <c r="GK29" s="1050"/>
      <c r="GL29" s="1050"/>
      <c r="GM29" s="1045"/>
      <c r="GN29" s="1166">
        <v>0</v>
      </c>
      <c r="GO29" s="1050"/>
      <c r="GP29" s="1050"/>
      <c r="GQ29" s="1045"/>
      <c r="GR29" s="1166">
        <f>'6- Est &amp; Reconcile WS'!S163+'5 - Cost Support'!AS20-'5 - Cost Support'!AS85</f>
        <v>16711311.741538472</v>
      </c>
      <c r="GS29" s="1050"/>
      <c r="GT29" s="1050"/>
      <c r="GU29" s="1045"/>
      <c r="GV29" s="1166">
        <f>'5 - Cost Support'!AT20-'5 - Cost Support'!AT85</f>
        <v>27376650.950000003</v>
      </c>
      <c r="GW29" s="1050"/>
      <c r="GX29" s="1050"/>
      <c r="GY29" s="1045"/>
      <c r="GZ29" s="1166">
        <f>'5 - Cost Support'!AU20-'5 - Cost Support'!AU85</f>
        <v>1560553.4299999995</v>
      </c>
      <c r="HA29" s="1050"/>
      <c r="HB29" s="1050"/>
      <c r="HC29" s="1045"/>
      <c r="HD29" s="1166">
        <f>'5 - Cost Support'!BD20-'5 - Cost Support'!BD85</f>
        <v>857015.95000000019</v>
      </c>
      <c r="HE29" s="1050"/>
      <c r="HF29" s="1050"/>
      <c r="HG29" s="1045"/>
      <c r="HH29" s="1166">
        <f>'6- Est &amp; Reconcile WS'!O143+'5 - Cost Support'!BI20-'5 - Cost Support'!BI85</f>
        <v>68647886.548461586</v>
      </c>
      <c r="HI29" s="1050"/>
      <c r="HJ29" s="1050"/>
      <c r="HK29" s="1045"/>
      <c r="HL29" s="1166">
        <f>'6- Est &amp; Reconcile WS'!P143+'5 - Cost Support'!BG20-'5 - Cost Support'!BG85</f>
        <v>41612813.758461535</v>
      </c>
      <c r="HM29" s="1050"/>
      <c r="HN29" s="1050"/>
      <c r="HO29" s="1045"/>
      <c r="HP29" s="1166">
        <f>'6- Est &amp; Reconcile WS'!Q143+'5 - Cost Support'!BF20-'5 - Cost Support'!BF85</f>
        <v>44277592.414615378</v>
      </c>
      <c r="HQ29" s="1050"/>
      <c r="HR29" s="1050"/>
      <c r="HS29" s="1045"/>
      <c r="HT29" s="1166">
        <f>'6- Est &amp; Reconcile WS'!R143+'5 - Cost Support'!BE20-'5 - Cost Support'!BE85</f>
        <v>106153657.33674783</v>
      </c>
      <c r="HU29" s="1050"/>
      <c r="HV29" s="1050"/>
      <c r="HW29" s="1045"/>
      <c r="HX29" s="1166">
        <f>'6- Est &amp; Reconcile WS'!R202+'5 - Cost Support'!BH20-'5 - Cost Support'!BH85</f>
        <v>36176067.3523077</v>
      </c>
      <c r="HY29" s="1050"/>
      <c r="HZ29" s="1050"/>
      <c r="IA29" s="1045"/>
      <c r="IB29" s="1166">
        <f>'6- Est &amp; Reconcile WS'!S143+'5 - Cost Support'!$BJ$20-'5 - Cost Support'!$BJ$85</f>
        <v>1886817.4100000004</v>
      </c>
      <c r="IC29" s="1050"/>
      <c r="ID29" s="1050"/>
      <c r="IE29" s="1045"/>
      <c r="IF29" s="1166">
        <f>'6- Est &amp; Reconcile WS'!T143+'5 - Cost Support'!$BK$20-'5 - Cost Support'!$BK$85</f>
        <v>22734916.784615386</v>
      </c>
      <c r="IG29" s="1050"/>
      <c r="IH29" s="1050"/>
      <c r="II29" s="1045"/>
      <c r="IJ29" s="1166">
        <v>0</v>
      </c>
      <c r="IK29" s="1050"/>
      <c r="IL29" s="1050"/>
      <c r="IM29" s="1045"/>
      <c r="IN29" s="1166">
        <f>'6- Est &amp; Reconcile WS'!P202+'5 - Cost Support'!$BL$20-'5 - Cost Support'!$BL$85</f>
        <v>10317832.933846153</v>
      </c>
      <c r="IO29" s="1050"/>
      <c r="IP29" s="1050"/>
      <c r="IQ29" s="1045"/>
      <c r="IR29" s="1042"/>
      <c r="IS29" s="1048"/>
      <c r="IT29" s="1043"/>
    </row>
    <row r="30" spans="1:256" s="2" customFormat="1" ht="17.25" customHeight="1">
      <c r="A30" s="482">
        <f>+A29+1</f>
        <v>17</v>
      </c>
      <c r="B30" s="733" t="s">
        <v>933</v>
      </c>
      <c r="C30" s="737"/>
      <c r="D30" s="735"/>
      <c r="E30" s="1166">
        <f>'5 - Cost Support'!M273</f>
        <v>21240605.569999997</v>
      </c>
      <c r="F30" s="1050"/>
      <c r="G30" s="1050"/>
      <c r="H30" s="1050"/>
      <c r="I30" s="1045"/>
      <c r="J30" s="1166">
        <f>'5 - Cost Support'!L273</f>
        <v>578055.88</v>
      </c>
      <c r="K30" s="1050"/>
      <c r="L30" s="1050"/>
      <c r="M30" s="1045"/>
      <c r="N30" s="1166">
        <f>'5 - Cost Support'!K273</f>
        <v>1410713</v>
      </c>
      <c r="O30" s="1050"/>
      <c r="P30" s="1050"/>
      <c r="Q30" s="1045"/>
      <c r="R30" s="1166">
        <f>'5 - Cost Support'!O273</f>
        <v>40401.96</v>
      </c>
      <c r="S30" s="1050"/>
      <c r="T30" s="1050"/>
      <c r="U30" s="1050"/>
      <c r="V30" s="1166">
        <f>'5 - Cost Support'!N273</f>
        <v>167121.60999999999</v>
      </c>
      <c r="W30" s="1050"/>
      <c r="X30" s="1050"/>
      <c r="Y30" s="1045"/>
      <c r="Z30" s="1166">
        <f>'5 - Cost Support'!P273</f>
        <v>162194.28000000003</v>
      </c>
      <c r="AA30" s="1050"/>
      <c r="AB30" s="1050"/>
      <c r="AC30" s="1045"/>
      <c r="AD30" s="1166">
        <f>'5 - Cost Support'!Q273</f>
        <v>144891.64000000001</v>
      </c>
      <c r="AE30" s="1050"/>
      <c r="AF30" s="1050"/>
      <c r="AG30" s="1045"/>
      <c r="AH30" s="1166">
        <f>'5 - Cost Support'!R273</f>
        <v>831423.82</v>
      </c>
      <c r="AI30" s="1050"/>
      <c r="AJ30" s="1050"/>
      <c r="AK30" s="1045"/>
      <c r="AL30" s="1166">
        <f>'5 - Cost Support'!S273</f>
        <v>94933.5</v>
      </c>
      <c r="AM30" s="1050"/>
      <c r="AN30" s="1050"/>
      <c r="AO30" s="1045"/>
      <c r="AP30" s="1166">
        <f>'5 - Cost Support'!T273</f>
        <v>82981.84</v>
      </c>
      <c r="AQ30" s="1050"/>
      <c r="AR30" s="1050"/>
      <c r="AS30" s="1045"/>
      <c r="AT30" s="1166">
        <f>'5 - Cost Support'!U273</f>
        <v>149637.85</v>
      </c>
      <c r="AU30" s="1050"/>
      <c r="AV30" s="1050"/>
      <c r="AW30" s="1045"/>
      <c r="AX30" s="1166">
        <f>'5 - Cost Support'!V273</f>
        <v>151493.92000000001</v>
      </c>
      <c r="AY30" s="1050"/>
      <c r="AZ30" s="1050"/>
      <c r="BA30" s="1045"/>
      <c r="BB30" s="1166">
        <f>'5 - Cost Support'!Z273</f>
        <v>332538.12</v>
      </c>
      <c r="BC30" s="1050"/>
      <c r="BD30" s="1050"/>
      <c r="BE30" s="1045"/>
      <c r="BF30" s="1166">
        <f>'5 - Cost Support'!AA273</f>
        <v>19690.68</v>
      </c>
      <c r="BG30" s="1050"/>
      <c r="BH30" s="1050"/>
      <c r="BI30" s="1045"/>
      <c r="BJ30" s="1166">
        <f>'5 - Cost Support'!AB273</f>
        <v>17476.2</v>
      </c>
      <c r="BK30" s="1050"/>
      <c r="BL30" s="1050"/>
      <c r="BM30" s="1045"/>
      <c r="BN30" s="1166">
        <f>'5 - Cost Support'!AC273</f>
        <v>104079.6</v>
      </c>
      <c r="BO30" s="1050"/>
      <c r="BP30" s="1050"/>
      <c r="BQ30" s="1045"/>
      <c r="BR30" s="1166">
        <f>'5 - Cost Support'!X273</f>
        <v>34383.360000000001</v>
      </c>
      <c r="BS30" s="469"/>
      <c r="BT30" s="1050"/>
      <c r="BU30" s="1050"/>
      <c r="BV30" s="1050"/>
      <c r="BW30" s="1166">
        <f>'5 - Cost Support'!Y273</f>
        <v>572720.75000000012</v>
      </c>
      <c r="BX30" s="1050"/>
      <c r="BY30" s="1050"/>
      <c r="BZ30" s="1050"/>
      <c r="CA30" s="1045"/>
      <c r="CB30" s="1166">
        <f>'5 - Cost Support'!AD273</f>
        <v>1273246.05</v>
      </c>
      <c r="CC30" s="1050"/>
      <c r="CD30" s="1050"/>
      <c r="CE30" s="1045"/>
      <c r="CF30" s="1166">
        <f>'5 - Cost Support'!AM273</f>
        <v>923792.47</v>
      </c>
      <c r="CG30" s="1050"/>
      <c r="CH30" s="1050"/>
      <c r="CI30" s="1045"/>
      <c r="CJ30" s="1166">
        <f>'5 - Cost Support'!AQ273</f>
        <v>1512944.53</v>
      </c>
      <c r="CK30" s="1050"/>
      <c r="CL30" s="1050"/>
      <c r="CM30" s="1045"/>
      <c r="CN30" s="1166">
        <f>'5 - Cost Support'!AF273</f>
        <v>651083.9</v>
      </c>
      <c r="CO30" s="1050"/>
      <c r="CP30" s="1050"/>
      <c r="CQ30" s="1045"/>
      <c r="CR30" s="1166">
        <f>'5 - Cost Support'!AK273</f>
        <v>69881.039999999994</v>
      </c>
      <c r="CS30" s="1050"/>
      <c r="CT30" s="1050"/>
      <c r="CU30" s="1045"/>
      <c r="CV30" s="1166">
        <f>'5 - Cost Support'!AR273</f>
        <v>190715.52000000002</v>
      </c>
      <c r="CW30" s="1050"/>
      <c r="CX30" s="1050"/>
      <c r="CY30" s="1045"/>
      <c r="CZ30" s="1166">
        <f>'5 - Cost Support'!AN273</f>
        <v>103796.4</v>
      </c>
      <c r="DA30" s="1050"/>
      <c r="DB30" s="1050"/>
      <c r="DC30" s="1045"/>
      <c r="DD30" s="1166">
        <f>'5 - Cost Support'!BF273</f>
        <v>21813.05</v>
      </c>
      <c r="DE30" s="1050"/>
      <c r="DF30" s="1050"/>
      <c r="DG30" s="1045"/>
      <c r="DH30" s="1166">
        <f>'5 - Cost Support'!W273</f>
        <v>13813.68</v>
      </c>
      <c r="DI30" s="1050"/>
      <c r="DJ30" s="1050"/>
      <c r="DK30" s="1045"/>
      <c r="DL30" s="1166">
        <f>'5 - Cost Support'!AJ273</f>
        <v>761424.96</v>
      </c>
      <c r="DM30" s="1050"/>
      <c r="DN30" s="1050"/>
      <c r="DO30" s="1045"/>
      <c r="DP30" s="1166">
        <f>'5 - Cost Support'!AG273</f>
        <v>25345.200000000001</v>
      </c>
      <c r="DQ30" s="1050"/>
      <c r="DR30" s="1050"/>
      <c r="DS30" s="1045"/>
      <c r="DT30" s="1166">
        <f>'5 - Cost Support'!AH273</f>
        <v>37270.44</v>
      </c>
      <c r="DU30" s="1050"/>
      <c r="DV30" s="1050"/>
      <c r="DW30" s="1045"/>
      <c r="DX30" s="1166">
        <f>'5 - Cost Support'!AP273</f>
        <v>157870.1</v>
      </c>
      <c r="DY30" s="1050"/>
      <c r="DZ30" s="1050"/>
      <c r="EA30" s="1045"/>
      <c r="EB30" s="1166">
        <f>'5 - Cost Support'!AL273</f>
        <v>11957.52</v>
      </c>
      <c r="EC30" s="1050"/>
      <c r="ED30" s="1050"/>
      <c r="EE30" s="1045"/>
      <c r="EF30" s="1166">
        <f>'5 - Cost Support'!BC273</f>
        <v>47011.44</v>
      </c>
      <c r="EG30" s="1050"/>
      <c r="EH30" s="1050"/>
      <c r="EI30" s="1045"/>
      <c r="EJ30" s="1166">
        <v>0</v>
      </c>
      <c r="EK30" s="1050"/>
      <c r="EL30" s="1050"/>
      <c r="EM30" s="1045"/>
      <c r="EN30" s="1166">
        <f>'5 - Cost Support'!AT273</f>
        <v>31476.720000000001</v>
      </c>
      <c r="EO30" s="1050"/>
      <c r="EP30" s="1050"/>
      <c r="EQ30" s="1045"/>
      <c r="ER30" s="1166">
        <f>'5 - Cost Support'!AO273</f>
        <v>9215.64</v>
      </c>
      <c r="ES30" s="1050"/>
      <c r="ET30" s="1050"/>
      <c r="EU30" s="1045"/>
      <c r="EV30" s="1166">
        <v>0</v>
      </c>
      <c r="EW30" s="1050"/>
      <c r="EX30" s="1050"/>
      <c r="EY30" s="1045"/>
      <c r="EZ30" s="1166">
        <f>'5 - Cost Support'!BA273</f>
        <v>11306.52</v>
      </c>
      <c r="FA30" s="1050"/>
      <c r="FB30" s="1050"/>
      <c r="FC30" s="1045"/>
      <c r="FD30" s="1166">
        <f>'5 - Cost Support'!AE273</f>
        <v>124532.16</v>
      </c>
      <c r="FE30" s="1050"/>
      <c r="FF30" s="1050"/>
      <c r="FG30" s="1045"/>
      <c r="FH30" s="1166">
        <f>'5 - Cost Support'!AI273</f>
        <v>276580.06</v>
      </c>
      <c r="FI30" s="1050"/>
      <c r="FJ30" s="1050"/>
      <c r="FK30" s="1045"/>
      <c r="FL30" s="1166">
        <f>'5 - Cost Support'!AS273</f>
        <v>18716.88</v>
      </c>
      <c r="FM30" s="1050"/>
      <c r="FN30" s="1050"/>
      <c r="FO30" s="1045"/>
      <c r="FP30" s="1166">
        <f>'5 - Cost Support'!BB273</f>
        <v>504900.12000000011</v>
      </c>
      <c r="FQ30" s="1050"/>
      <c r="FR30" s="1050"/>
      <c r="FS30" s="1045"/>
      <c r="FT30" s="1166">
        <f>'5 - Cost Support'!BD273</f>
        <v>801815.4</v>
      </c>
      <c r="FU30" s="1050"/>
      <c r="FV30" s="1050"/>
      <c r="FW30" s="1045"/>
      <c r="FX30" s="1166">
        <f>'5 - Cost Support'!AU273</f>
        <v>14537.76</v>
      </c>
      <c r="FY30" s="1050"/>
      <c r="FZ30" s="1050"/>
      <c r="GA30" s="1045"/>
      <c r="GB30" s="1166">
        <f>'5 - Cost Support'!BE273</f>
        <v>543503.05000000005</v>
      </c>
      <c r="GC30" s="1050"/>
      <c r="GD30" s="1050"/>
      <c r="GE30" s="1045"/>
      <c r="GF30" s="1166">
        <f>'5 - Cost Support'!AZ273</f>
        <v>28746.48</v>
      </c>
      <c r="GG30" s="1050"/>
      <c r="GH30" s="1050"/>
      <c r="GI30" s="1045"/>
      <c r="GJ30" s="1166">
        <f>'5 - Cost Support'!AY273</f>
        <v>163194.12</v>
      </c>
      <c r="GK30" s="1050"/>
      <c r="GL30" s="1050"/>
      <c r="GM30" s="1045"/>
      <c r="GN30" s="1166">
        <v>0</v>
      </c>
      <c r="GO30" s="1050"/>
      <c r="GP30" s="1050"/>
      <c r="GQ30" s="1045"/>
      <c r="GR30" s="1166">
        <f>'5 - Cost Support'!AV273</f>
        <v>482269.92000000004</v>
      </c>
      <c r="GS30" s="1050"/>
      <c r="GT30" s="1050"/>
      <c r="GU30" s="1045"/>
      <c r="GV30" s="1166">
        <f>'5 - Cost Support'!AW273</f>
        <v>922122.60000000009</v>
      </c>
      <c r="GW30" s="1050"/>
      <c r="GX30" s="1050"/>
      <c r="GY30" s="1045"/>
      <c r="GZ30" s="1166">
        <f>'5 - Cost Support'!AX273</f>
        <v>44129.760000000002</v>
      </c>
      <c r="HA30" s="1050"/>
      <c r="HB30" s="1050"/>
      <c r="HC30" s="1045"/>
      <c r="HD30" s="1166">
        <f>'5 - Cost Support'!BG273</f>
        <v>19669.439999999999</v>
      </c>
      <c r="HE30" s="1050"/>
      <c r="HF30" s="1050"/>
      <c r="HG30" s="1045"/>
      <c r="HH30" s="1166">
        <f>'5 - Cost Support'!BL273</f>
        <v>1854532.87</v>
      </c>
      <c r="HI30" s="1050"/>
      <c r="HJ30" s="1050"/>
      <c r="HK30" s="1045"/>
      <c r="HL30" s="1166">
        <f>'5 - Cost Support'!BJ273</f>
        <v>1376383.55</v>
      </c>
      <c r="HM30" s="1050"/>
      <c r="HN30" s="1050"/>
      <c r="HO30" s="1045"/>
      <c r="HP30" s="1166">
        <f>'5 - Cost Support'!BI273</f>
        <v>1249142.3999999999</v>
      </c>
      <c r="HQ30" s="1050"/>
      <c r="HR30" s="1050"/>
      <c r="HS30" s="1045"/>
      <c r="HT30" s="1166">
        <f>'5 - Cost Support'!BH273</f>
        <v>2096806.2</v>
      </c>
      <c r="HU30" s="1050"/>
      <c r="HV30" s="1050"/>
      <c r="HW30" s="1045"/>
      <c r="HX30" s="1166">
        <f>'5 - Cost Support'!BK273</f>
        <v>828680.56</v>
      </c>
      <c r="HY30" s="1050"/>
      <c r="HZ30" s="1050"/>
      <c r="IA30" s="1045"/>
      <c r="IB30" s="1166">
        <f>'5 - Cost Support'!$BM$273</f>
        <v>33634.050000000003</v>
      </c>
      <c r="IC30" s="1050"/>
      <c r="ID30" s="1050"/>
      <c r="IE30" s="1045"/>
      <c r="IF30" s="1166">
        <f>'5 - Cost Support'!$BN$273</f>
        <v>503731.84</v>
      </c>
      <c r="IG30" s="1050"/>
      <c r="IH30" s="1050"/>
      <c r="II30" s="1045"/>
      <c r="IJ30" s="1166">
        <v>0</v>
      </c>
      <c r="IK30" s="1050"/>
      <c r="IL30" s="1050"/>
      <c r="IM30" s="1045"/>
      <c r="IN30" s="1166">
        <f>'5 - Cost Support'!$BO$273</f>
        <v>219356.02</v>
      </c>
      <c r="IO30" s="1050"/>
      <c r="IP30" s="1050"/>
      <c r="IQ30" s="1045"/>
      <c r="IR30" s="1042"/>
      <c r="IS30" s="1048"/>
      <c r="IT30" s="1043"/>
    </row>
    <row r="31" spans="1:256" s="2" customFormat="1" ht="14.4" thickBot="1">
      <c r="A31" s="482"/>
      <c r="B31" s="635"/>
      <c r="C31" s="633"/>
      <c r="D31" s="734"/>
      <c r="E31" s="1204"/>
      <c r="F31" s="349"/>
      <c r="G31" s="349"/>
      <c r="H31" s="803"/>
      <c r="I31" s="350"/>
      <c r="J31" s="846"/>
      <c r="K31" s="803"/>
      <c r="L31" s="803"/>
      <c r="M31" s="847"/>
      <c r="N31" s="846"/>
      <c r="O31" s="803"/>
      <c r="P31" s="803"/>
      <c r="Q31" s="847"/>
      <c r="R31" s="849"/>
      <c r="S31" s="803"/>
      <c r="T31" s="803"/>
      <c r="U31" s="349"/>
      <c r="V31" s="849"/>
      <c r="W31" s="803"/>
      <c r="X31" s="803"/>
      <c r="Y31" s="847"/>
      <c r="Z31" s="849"/>
      <c r="AA31" s="803"/>
      <c r="AB31" s="803"/>
      <c r="AC31" s="847"/>
      <c r="AD31" s="849"/>
      <c r="AE31" s="803"/>
      <c r="AF31" s="803"/>
      <c r="AG31" s="847"/>
      <c r="AH31" s="849"/>
      <c r="AI31" s="803"/>
      <c r="AJ31" s="803"/>
      <c r="AK31" s="847"/>
      <c r="AL31" s="849"/>
      <c r="AM31" s="803"/>
      <c r="AN31" s="803"/>
      <c r="AO31" s="847"/>
      <c r="AP31" s="849"/>
      <c r="AQ31" s="803"/>
      <c r="AR31" s="803"/>
      <c r="AS31" s="847"/>
      <c r="AT31" s="849"/>
      <c r="AU31" s="803"/>
      <c r="AV31" s="803"/>
      <c r="AW31" s="847"/>
      <c r="AX31" s="849"/>
      <c r="AY31" s="803"/>
      <c r="AZ31" s="803"/>
      <c r="BA31" s="847"/>
      <c r="BB31" s="1563"/>
      <c r="BC31" s="1564"/>
      <c r="BD31" s="1564"/>
      <c r="BE31" s="1565"/>
      <c r="BF31" s="1563"/>
      <c r="BG31" s="1564"/>
      <c r="BH31" s="1564"/>
      <c r="BI31" s="1565"/>
      <c r="BJ31" s="1563"/>
      <c r="BK31" s="1564"/>
      <c r="BL31" s="1564"/>
      <c r="BM31" s="1565"/>
      <c r="BN31" s="1563"/>
      <c r="BO31" s="1564"/>
      <c r="BP31" s="1564"/>
      <c r="BQ31" s="1565"/>
      <c r="BR31" s="1809"/>
      <c r="BS31" s="355"/>
      <c r="BT31" s="1617"/>
      <c r="BU31" s="1564"/>
      <c r="BV31" s="1617"/>
      <c r="BW31" s="1616"/>
      <c r="BX31" s="1617"/>
      <c r="BY31" s="1617"/>
      <c r="BZ31" s="1564"/>
      <c r="CA31" s="986"/>
      <c r="CB31" s="1616"/>
      <c r="CC31" s="1617"/>
      <c r="CD31" s="1564"/>
      <c r="CE31" s="986"/>
      <c r="CF31" s="1616"/>
      <c r="CG31" s="1617"/>
      <c r="CH31" s="1564"/>
      <c r="CI31" s="986"/>
      <c r="CJ31" s="1616"/>
      <c r="CK31" s="1617"/>
      <c r="CL31" s="1564"/>
      <c r="CM31" s="986"/>
      <c r="CN31" s="1616"/>
      <c r="CO31" s="1617"/>
      <c r="CP31" s="1564"/>
      <c r="CQ31" s="986"/>
      <c r="CR31" s="1616"/>
      <c r="CS31" s="1617"/>
      <c r="CT31" s="1564"/>
      <c r="CU31" s="986"/>
      <c r="CV31" s="1616"/>
      <c r="CW31" s="1617"/>
      <c r="CX31" s="1564"/>
      <c r="CY31" s="986"/>
      <c r="CZ31" s="1616"/>
      <c r="DA31" s="1617"/>
      <c r="DB31" s="1564"/>
      <c r="DC31" s="986"/>
      <c r="DD31" s="1616"/>
      <c r="DE31" s="1617"/>
      <c r="DF31" s="1564"/>
      <c r="DG31" s="986"/>
      <c r="DH31" s="1616"/>
      <c r="DI31" s="1617"/>
      <c r="DJ31" s="1564"/>
      <c r="DK31" s="986"/>
      <c r="DL31" s="1616"/>
      <c r="DM31" s="1617"/>
      <c r="DN31" s="1564"/>
      <c r="DO31" s="986"/>
      <c r="DP31" s="1616"/>
      <c r="DQ31" s="1617"/>
      <c r="DR31" s="1564"/>
      <c r="DS31" s="986"/>
      <c r="DT31" s="1616"/>
      <c r="DU31" s="1617"/>
      <c r="DV31" s="1564"/>
      <c r="DW31" s="986"/>
      <c r="DX31" s="1616"/>
      <c r="DY31" s="1617"/>
      <c r="DZ31" s="1564"/>
      <c r="EA31" s="986"/>
      <c r="EB31" s="1616"/>
      <c r="EC31" s="1617"/>
      <c r="ED31" s="1564"/>
      <c r="EE31" s="986"/>
      <c r="EF31" s="1616"/>
      <c r="EG31" s="1617"/>
      <c r="EH31" s="1564"/>
      <c r="EI31" s="986"/>
      <c r="EJ31" s="1616"/>
      <c r="EK31" s="1617"/>
      <c r="EL31" s="1564"/>
      <c r="EM31" s="986"/>
      <c r="EN31" s="1616"/>
      <c r="EO31" s="1617"/>
      <c r="EP31" s="1564"/>
      <c r="EQ31" s="986"/>
      <c r="ER31" s="1616"/>
      <c r="ES31" s="1617"/>
      <c r="ET31" s="1564"/>
      <c r="EU31" s="986"/>
      <c r="EV31" s="1616"/>
      <c r="EW31" s="1617"/>
      <c r="EX31" s="1564"/>
      <c r="EY31" s="986"/>
      <c r="EZ31" s="1616"/>
      <c r="FA31" s="1617"/>
      <c r="FB31" s="1564"/>
      <c r="FC31" s="986"/>
      <c r="FD31" s="1616"/>
      <c r="FE31" s="1617"/>
      <c r="FF31" s="1564"/>
      <c r="FG31" s="986"/>
      <c r="FH31" s="1616"/>
      <c r="FI31" s="1617"/>
      <c r="FJ31" s="1564"/>
      <c r="FK31" s="986"/>
      <c r="FL31" s="1616"/>
      <c r="FM31" s="1617"/>
      <c r="FN31" s="1564"/>
      <c r="FO31" s="986"/>
      <c r="FP31" s="1616"/>
      <c r="FQ31" s="1617"/>
      <c r="FR31" s="1564"/>
      <c r="FS31" s="986"/>
      <c r="FT31" s="1616"/>
      <c r="FU31" s="1617"/>
      <c r="FV31" s="1564"/>
      <c r="FW31" s="986"/>
      <c r="FX31" s="1616"/>
      <c r="FY31" s="1617"/>
      <c r="FZ31" s="1564"/>
      <c r="GA31" s="986"/>
      <c r="GB31" s="1616"/>
      <c r="GC31" s="1617"/>
      <c r="GD31" s="1564"/>
      <c r="GE31" s="986"/>
      <c r="GF31" s="1616"/>
      <c r="GG31" s="1617"/>
      <c r="GH31" s="1564"/>
      <c r="GI31" s="986"/>
      <c r="GJ31" s="1616"/>
      <c r="GK31" s="1617"/>
      <c r="GL31" s="1564"/>
      <c r="GM31" s="986"/>
      <c r="GN31" s="1616"/>
      <c r="GO31" s="1617"/>
      <c r="GP31" s="1564"/>
      <c r="GQ31" s="986"/>
      <c r="GR31" s="1616"/>
      <c r="GS31" s="1617"/>
      <c r="GT31" s="1564"/>
      <c r="GU31" s="986"/>
      <c r="GV31" s="1616"/>
      <c r="GW31" s="1617"/>
      <c r="GX31" s="1564"/>
      <c r="GY31" s="986"/>
      <c r="GZ31" s="1616"/>
      <c r="HA31" s="1617"/>
      <c r="HB31" s="1564"/>
      <c r="HC31" s="986"/>
      <c r="HD31" s="1616"/>
      <c r="HE31" s="1617"/>
      <c r="HF31" s="1564"/>
      <c r="HG31" s="986"/>
      <c r="HH31" s="1616"/>
      <c r="HI31" s="1617"/>
      <c r="HJ31" s="1564"/>
      <c r="HK31" s="986"/>
      <c r="HL31" s="1616"/>
      <c r="HM31" s="1617"/>
      <c r="HN31" s="1564"/>
      <c r="HO31" s="986"/>
      <c r="HP31" s="1616"/>
      <c r="HQ31" s="1617"/>
      <c r="HR31" s="1564"/>
      <c r="HS31" s="986"/>
      <c r="HT31" s="1616"/>
      <c r="HU31" s="1617"/>
      <c r="HV31" s="1564"/>
      <c r="HW31" s="986"/>
      <c r="HX31" s="1616"/>
      <c r="HY31" s="1617"/>
      <c r="HZ31" s="1564"/>
      <c r="IA31" s="986"/>
      <c r="IB31" s="1616"/>
      <c r="IC31" s="1617"/>
      <c r="ID31" s="1564"/>
      <c r="IE31" s="986"/>
      <c r="IF31" s="1616"/>
      <c r="IG31" s="1617"/>
      <c r="IH31" s="1564"/>
      <c r="II31" s="986"/>
      <c r="IJ31" s="1616"/>
      <c r="IK31" s="1617"/>
      <c r="IL31" s="1564"/>
      <c r="IM31" s="986"/>
      <c r="IN31" s="1616"/>
      <c r="IO31" s="1617"/>
      <c r="IP31" s="1564"/>
      <c r="IQ31" s="986"/>
      <c r="IR31" s="223"/>
      <c r="IS31" s="633"/>
      <c r="IT31" s="634"/>
    </row>
    <row r="32" spans="1:256" s="2" customFormat="1" ht="37.5" customHeight="1">
      <c r="A32" s="484">
        <f>+A30+1</f>
        <v>18</v>
      </c>
      <c r="B32" s="446"/>
      <c r="C32" s="1859"/>
      <c r="D32" s="1073" t="s">
        <v>907</v>
      </c>
      <c r="E32" s="850" t="s">
        <v>250</v>
      </c>
      <c r="F32" s="851" t="s">
        <v>915</v>
      </c>
      <c r="G32" s="851" t="s">
        <v>726</v>
      </c>
      <c r="H32" s="1071" t="s">
        <v>143</v>
      </c>
      <c r="I32" s="1860" t="s">
        <v>914</v>
      </c>
      <c r="J32" s="850" t="s">
        <v>250</v>
      </c>
      <c r="K32" s="851" t="s">
        <v>915</v>
      </c>
      <c r="L32" s="1071" t="s">
        <v>143</v>
      </c>
      <c r="M32" s="799" t="s">
        <v>914</v>
      </c>
      <c r="N32" s="850" t="s">
        <v>250</v>
      </c>
      <c r="O32" s="851" t="s">
        <v>915</v>
      </c>
      <c r="P32" s="1071" t="s">
        <v>143</v>
      </c>
      <c r="Q32" s="799" t="s">
        <v>914</v>
      </c>
      <c r="R32" s="850" t="s">
        <v>250</v>
      </c>
      <c r="S32" s="851" t="s">
        <v>915</v>
      </c>
      <c r="T32" s="1071" t="s">
        <v>143</v>
      </c>
      <c r="U32" s="1072" t="s">
        <v>914</v>
      </c>
      <c r="V32" s="850" t="s">
        <v>250</v>
      </c>
      <c r="W32" s="851" t="s">
        <v>915</v>
      </c>
      <c r="X32" s="1071" t="s">
        <v>143</v>
      </c>
      <c r="Y32" s="799" t="s">
        <v>914</v>
      </c>
      <c r="Z32" s="850" t="s">
        <v>250</v>
      </c>
      <c r="AA32" s="851" t="s">
        <v>915</v>
      </c>
      <c r="AB32" s="1071" t="s">
        <v>143</v>
      </c>
      <c r="AC32" s="799" t="s">
        <v>914</v>
      </c>
      <c r="AD32" s="850" t="s">
        <v>250</v>
      </c>
      <c r="AE32" s="851" t="s">
        <v>915</v>
      </c>
      <c r="AF32" s="1071" t="s">
        <v>143</v>
      </c>
      <c r="AG32" s="799" t="s">
        <v>914</v>
      </c>
      <c r="AH32" s="850" t="s">
        <v>250</v>
      </c>
      <c r="AI32" s="851" t="s">
        <v>915</v>
      </c>
      <c r="AJ32" s="1071" t="s">
        <v>143</v>
      </c>
      <c r="AK32" s="799" t="s">
        <v>914</v>
      </c>
      <c r="AL32" s="850" t="s">
        <v>250</v>
      </c>
      <c r="AM32" s="851" t="s">
        <v>915</v>
      </c>
      <c r="AN32" s="1071" t="s">
        <v>143</v>
      </c>
      <c r="AO32" s="799" t="s">
        <v>914</v>
      </c>
      <c r="AP32" s="850" t="s">
        <v>250</v>
      </c>
      <c r="AQ32" s="851" t="s">
        <v>915</v>
      </c>
      <c r="AR32" s="1071" t="s">
        <v>143</v>
      </c>
      <c r="AS32" s="799" t="s">
        <v>914</v>
      </c>
      <c r="AT32" s="850" t="s">
        <v>250</v>
      </c>
      <c r="AU32" s="851" t="s">
        <v>915</v>
      </c>
      <c r="AV32" s="1071" t="s">
        <v>143</v>
      </c>
      <c r="AW32" s="799" t="s">
        <v>914</v>
      </c>
      <c r="AX32" s="850" t="s">
        <v>250</v>
      </c>
      <c r="AY32" s="851" t="s">
        <v>915</v>
      </c>
      <c r="AZ32" s="1071" t="s">
        <v>143</v>
      </c>
      <c r="BA32" s="799" t="s">
        <v>914</v>
      </c>
      <c r="BB32" s="850" t="s">
        <v>250</v>
      </c>
      <c r="BC32" s="851" t="s">
        <v>915</v>
      </c>
      <c r="BD32" s="1071" t="s">
        <v>143</v>
      </c>
      <c r="BE32" s="799" t="s">
        <v>914</v>
      </c>
      <c r="BF32" s="850" t="s">
        <v>250</v>
      </c>
      <c r="BG32" s="851" t="s">
        <v>915</v>
      </c>
      <c r="BH32" s="1071" t="s">
        <v>143</v>
      </c>
      <c r="BI32" s="799" t="s">
        <v>914</v>
      </c>
      <c r="BJ32" s="850" t="s">
        <v>250</v>
      </c>
      <c r="BK32" s="851" t="s">
        <v>915</v>
      </c>
      <c r="BL32" s="1071" t="s">
        <v>143</v>
      </c>
      <c r="BM32" s="799" t="s">
        <v>914</v>
      </c>
      <c r="BN32" s="850" t="s">
        <v>250</v>
      </c>
      <c r="BO32" s="851" t="s">
        <v>915</v>
      </c>
      <c r="BP32" s="1071" t="s">
        <v>143</v>
      </c>
      <c r="BQ32" s="799" t="s">
        <v>914</v>
      </c>
      <c r="BR32" s="850" t="s">
        <v>250</v>
      </c>
      <c r="BS32" s="851" t="s">
        <v>915</v>
      </c>
      <c r="BT32" s="851" t="s">
        <v>726</v>
      </c>
      <c r="BU32" s="1071" t="s">
        <v>143</v>
      </c>
      <c r="BV32" s="1618" t="s">
        <v>914</v>
      </c>
      <c r="BW32" s="850" t="s">
        <v>250</v>
      </c>
      <c r="BX32" s="851" t="s">
        <v>915</v>
      </c>
      <c r="BY32" s="851" t="s">
        <v>726</v>
      </c>
      <c r="BZ32" s="1071" t="s">
        <v>259</v>
      </c>
      <c r="CA32" s="1618" t="s">
        <v>914</v>
      </c>
      <c r="CB32" s="850" t="s">
        <v>250</v>
      </c>
      <c r="CC32" s="851" t="s">
        <v>915</v>
      </c>
      <c r="CD32" s="1071" t="s">
        <v>259</v>
      </c>
      <c r="CE32" s="1618" t="s">
        <v>914</v>
      </c>
      <c r="CF32" s="850" t="s">
        <v>250</v>
      </c>
      <c r="CG32" s="851" t="s">
        <v>915</v>
      </c>
      <c r="CH32" s="1071" t="s">
        <v>259</v>
      </c>
      <c r="CI32" s="1618" t="s">
        <v>914</v>
      </c>
      <c r="CJ32" s="850" t="s">
        <v>250</v>
      </c>
      <c r="CK32" s="851" t="s">
        <v>915</v>
      </c>
      <c r="CL32" s="1071" t="s">
        <v>259</v>
      </c>
      <c r="CM32" s="1618" t="s">
        <v>914</v>
      </c>
      <c r="CN32" s="850" t="s">
        <v>250</v>
      </c>
      <c r="CO32" s="851" t="s">
        <v>915</v>
      </c>
      <c r="CP32" s="1071" t="s">
        <v>259</v>
      </c>
      <c r="CQ32" s="1618" t="s">
        <v>914</v>
      </c>
      <c r="CR32" s="850" t="s">
        <v>250</v>
      </c>
      <c r="CS32" s="851" t="s">
        <v>915</v>
      </c>
      <c r="CT32" s="1071" t="s">
        <v>259</v>
      </c>
      <c r="CU32" s="1618" t="s">
        <v>914</v>
      </c>
      <c r="CV32" s="850" t="s">
        <v>250</v>
      </c>
      <c r="CW32" s="851" t="s">
        <v>915</v>
      </c>
      <c r="CX32" s="1071" t="s">
        <v>259</v>
      </c>
      <c r="CY32" s="1618" t="s">
        <v>914</v>
      </c>
      <c r="CZ32" s="850" t="s">
        <v>250</v>
      </c>
      <c r="DA32" s="851" t="s">
        <v>915</v>
      </c>
      <c r="DB32" s="1071" t="s">
        <v>259</v>
      </c>
      <c r="DC32" s="1618" t="s">
        <v>914</v>
      </c>
      <c r="DD32" s="850" t="s">
        <v>250</v>
      </c>
      <c r="DE32" s="851" t="s">
        <v>915</v>
      </c>
      <c r="DF32" s="1071" t="s">
        <v>259</v>
      </c>
      <c r="DG32" s="1618" t="s">
        <v>914</v>
      </c>
      <c r="DH32" s="850" t="s">
        <v>250</v>
      </c>
      <c r="DI32" s="851" t="s">
        <v>915</v>
      </c>
      <c r="DJ32" s="1071" t="s">
        <v>259</v>
      </c>
      <c r="DK32" s="1618" t="s">
        <v>914</v>
      </c>
      <c r="DL32" s="850" t="s">
        <v>250</v>
      </c>
      <c r="DM32" s="851" t="s">
        <v>915</v>
      </c>
      <c r="DN32" s="1071" t="s">
        <v>259</v>
      </c>
      <c r="DO32" s="1618" t="s">
        <v>914</v>
      </c>
      <c r="DP32" s="850" t="s">
        <v>250</v>
      </c>
      <c r="DQ32" s="851" t="s">
        <v>915</v>
      </c>
      <c r="DR32" s="1071" t="s">
        <v>259</v>
      </c>
      <c r="DS32" s="1618" t="s">
        <v>914</v>
      </c>
      <c r="DT32" s="850" t="s">
        <v>250</v>
      </c>
      <c r="DU32" s="851" t="s">
        <v>915</v>
      </c>
      <c r="DV32" s="1071" t="s">
        <v>259</v>
      </c>
      <c r="DW32" s="1618" t="s">
        <v>914</v>
      </c>
      <c r="DX32" s="850" t="s">
        <v>250</v>
      </c>
      <c r="DY32" s="851" t="s">
        <v>915</v>
      </c>
      <c r="DZ32" s="1071" t="s">
        <v>259</v>
      </c>
      <c r="EA32" s="1618" t="s">
        <v>914</v>
      </c>
      <c r="EB32" s="850" t="s">
        <v>250</v>
      </c>
      <c r="EC32" s="851" t="s">
        <v>915</v>
      </c>
      <c r="ED32" s="1071" t="s">
        <v>259</v>
      </c>
      <c r="EE32" s="1618" t="s">
        <v>914</v>
      </c>
      <c r="EF32" s="850" t="s">
        <v>250</v>
      </c>
      <c r="EG32" s="851" t="s">
        <v>915</v>
      </c>
      <c r="EH32" s="1071" t="s">
        <v>259</v>
      </c>
      <c r="EI32" s="1618" t="s">
        <v>914</v>
      </c>
      <c r="EJ32" s="850" t="s">
        <v>250</v>
      </c>
      <c r="EK32" s="851" t="s">
        <v>915</v>
      </c>
      <c r="EL32" s="1071" t="s">
        <v>259</v>
      </c>
      <c r="EM32" s="1618" t="s">
        <v>914</v>
      </c>
      <c r="EN32" s="850" t="s">
        <v>250</v>
      </c>
      <c r="EO32" s="851" t="s">
        <v>915</v>
      </c>
      <c r="EP32" s="1071" t="s">
        <v>259</v>
      </c>
      <c r="EQ32" s="1618" t="s">
        <v>914</v>
      </c>
      <c r="ER32" s="850" t="s">
        <v>250</v>
      </c>
      <c r="ES32" s="851" t="s">
        <v>915</v>
      </c>
      <c r="ET32" s="1071" t="s">
        <v>259</v>
      </c>
      <c r="EU32" s="1618" t="s">
        <v>914</v>
      </c>
      <c r="EV32" s="850" t="s">
        <v>250</v>
      </c>
      <c r="EW32" s="851" t="s">
        <v>915</v>
      </c>
      <c r="EX32" s="1071" t="s">
        <v>259</v>
      </c>
      <c r="EY32" s="1618" t="s">
        <v>914</v>
      </c>
      <c r="EZ32" s="850" t="s">
        <v>250</v>
      </c>
      <c r="FA32" s="851" t="s">
        <v>915</v>
      </c>
      <c r="FB32" s="1071" t="s">
        <v>259</v>
      </c>
      <c r="FC32" s="1618" t="s">
        <v>914</v>
      </c>
      <c r="FD32" s="850" t="s">
        <v>250</v>
      </c>
      <c r="FE32" s="851" t="s">
        <v>915</v>
      </c>
      <c r="FF32" s="1071" t="s">
        <v>259</v>
      </c>
      <c r="FG32" s="1618" t="s">
        <v>914</v>
      </c>
      <c r="FH32" s="850" t="s">
        <v>250</v>
      </c>
      <c r="FI32" s="851" t="s">
        <v>915</v>
      </c>
      <c r="FJ32" s="1071" t="s">
        <v>259</v>
      </c>
      <c r="FK32" s="1618" t="s">
        <v>914</v>
      </c>
      <c r="FL32" s="850" t="s">
        <v>250</v>
      </c>
      <c r="FM32" s="851" t="s">
        <v>915</v>
      </c>
      <c r="FN32" s="1071" t="s">
        <v>259</v>
      </c>
      <c r="FO32" s="1618" t="s">
        <v>914</v>
      </c>
      <c r="FP32" s="850" t="s">
        <v>250</v>
      </c>
      <c r="FQ32" s="851" t="s">
        <v>915</v>
      </c>
      <c r="FR32" s="1071" t="s">
        <v>259</v>
      </c>
      <c r="FS32" s="1618" t="s">
        <v>914</v>
      </c>
      <c r="FT32" s="850" t="s">
        <v>250</v>
      </c>
      <c r="FU32" s="851" t="s">
        <v>915</v>
      </c>
      <c r="FV32" s="1071" t="s">
        <v>259</v>
      </c>
      <c r="FW32" s="1618" t="s">
        <v>914</v>
      </c>
      <c r="FX32" s="850" t="s">
        <v>250</v>
      </c>
      <c r="FY32" s="851" t="s">
        <v>915</v>
      </c>
      <c r="FZ32" s="1071" t="s">
        <v>259</v>
      </c>
      <c r="GA32" s="1618" t="s">
        <v>914</v>
      </c>
      <c r="GB32" s="850" t="s">
        <v>250</v>
      </c>
      <c r="GC32" s="851" t="s">
        <v>915</v>
      </c>
      <c r="GD32" s="1071" t="s">
        <v>259</v>
      </c>
      <c r="GE32" s="1618" t="s">
        <v>914</v>
      </c>
      <c r="GF32" s="850" t="s">
        <v>250</v>
      </c>
      <c r="GG32" s="851" t="s">
        <v>915</v>
      </c>
      <c r="GH32" s="1071" t="s">
        <v>259</v>
      </c>
      <c r="GI32" s="1618" t="s">
        <v>914</v>
      </c>
      <c r="GJ32" s="850" t="s">
        <v>250</v>
      </c>
      <c r="GK32" s="851" t="s">
        <v>915</v>
      </c>
      <c r="GL32" s="1071" t="s">
        <v>259</v>
      </c>
      <c r="GM32" s="1618" t="s">
        <v>914</v>
      </c>
      <c r="GN32" s="850" t="s">
        <v>250</v>
      </c>
      <c r="GO32" s="851" t="s">
        <v>915</v>
      </c>
      <c r="GP32" s="1071" t="s">
        <v>259</v>
      </c>
      <c r="GQ32" s="1618" t="s">
        <v>914</v>
      </c>
      <c r="GR32" s="850" t="s">
        <v>250</v>
      </c>
      <c r="GS32" s="851" t="s">
        <v>915</v>
      </c>
      <c r="GT32" s="1071" t="s">
        <v>259</v>
      </c>
      <c r="GU32" s="1618" t="s">
        <v>914</v>
      </c>
      <c r="GV32" s="850" t="s">
        <v>250</v>
      </c>
      <c r="GW32" s="851" t="s">
        <v>915</v>
      </c>
      <c r="GX32" s="1071" t="s">
        <v>259</v>
      </c>
      <c r="GY32" s="1618" t="s">
        <v>914</v>
      </c>
      <c r="GZ32" s="850" t="s">
        <v>250</v>
      </c>
      <c r="HA32" s="851" t="s">
        <v>915</v>
      </c>
      <c r="HB32" s="1071" t="s">
        <v>259</v>
      </c>
      <c r="HC32" s="1618" t="s">
        <v>914</v>
      </c>
      <c r="HD32" s="850" t="s">
        <v>250</v>
      </c>
      <c r="HE32" s="851" t="s">
        <v>915</v>
      </c>
      <c r="HF32" s="1071" t="s">
        <v>259</v>
      </c>
      <c r="HG32" s="1618" t="s">
        <v>914</v>
      </c>
      <c r="HH32" s="850" t="s">
        <v>250</v>
      </c>
      <c r="HI32" s="851" t="s">
        <v>915</v>
      </c>
      <c r="HJ32" s="1071" t="s">
        <v>259</v>
      </c>
      <c r="HK32" s="1618" t="s">
        <v>914</v>
      </c>
      <c r="HL32" s="850" t="s">
        <v>250</v>
      </c>
      <c r="HM32" s="851" t="s">
        <v>915</v>
      </c>
      <c r="HN32" s="1071" t="s">
        <v>259</v>
      </c>
      <c r="HO32" s="1618" t="s">
        <v>914</v>
      </c>
      <c r="HP32" s="850" t="s">
        <v>250</v>
      </c>
      <c r="HQ32" s="851" t="s">
        <v>915</v>
      </c>
      <c r="HR32" s="1071" t="s">
        <v>259</v>
      </c>
      <c r="HS32" s="1618" t="s">
        <v>914</v>
      </c>
      <c r="HT32" s="850" t="s">
        <v>250</v>
      </c>
      <c r="HU32" s="851" t="s">
        <v>915</v>
      </c>
      <c r="HV32" s="1071" t="s">
        <v>259</v>
      </c>
      <c r="HW32" s="1618" t="s">
        <v>914</v>
      </c>
      <c r="HX32" s="850" t="s">
        <v>250</v>
      </c>
      <c r="HY32" s="851" t="s">
        <v>915</v>
      </c>
      <c r="HZ32" s="1071" t="s">
        <v>259</v>
      </c>
      <c r="IA32" s="1618" t="s">
        <v>914</v>
      </c>
      <c r="IB32" s="850" t="s">
        <v>250</v>
      </c>
      <c r="IC32" s="851" t="s">
        <v>915</v>
      </c>
      <c r="ID32" s="1071" t="s">
        <v>259</v>
      </c>
      <c r="IE32" s="1618" t="s">
        <v>914</v>
      </c>
      <c r="IF32" s="850" t="s">
        <v>250</v>
      </c>
      <c r="IG32" s="851" t="s">
        <v>915</v>
      </c>
      <c r="IH32" s="1071" t="s">
        <v>259</v>
      </c>
      <c r="II32" s="1618" t="s">
        <v>914</v>
      </c>
      <c r="IJ32" s="850" t="s">
        <v>250</v>
      </c>
      <c r="IK32" s="851" t="s">
        <v>915</v>
      </c>
      <c r="IL32" s="1071" t="s">
        <v>259</v>
      </c>
      <c r="IM32" s="1618" t="s">
        <v>914</v>
      </c>
      <c r="IN32" s="850" t="s">
        <v>250</v>
      </c>
      <c r="IO32" s="851" t="s">
        <v>915</v>
      </c>
      <c r="IP32" s="1071" t="s">
        <v>259</v>
      </c>
      <c r="IQ32" s="1618" t="s">
        <v>914</v>
      </c>
      <c r="IR32" s="1073" t="s">
        <v>603</v>
      </c>
      <c r="IS32" s="851" t="s">
        <v>916</v>
      </c>
      <c r="IT32" s="613" t="s">
        <v>917</v>
      </c>
      <c r="IU32" s="1861">
        <f>IS34-IT33</f>
        <v>6182960.6473413408</v>
      </c>
    </row>
    <row r="33" spans="1:255" s="2" customFormat="1" ht="13.8">
      <c r="A33" s="484">
        <v>19</v>
      </c>
      <c r="B33" s="446" t="s">
        <v>742</v>
      </c>
      <c r="C33" s="1862" t="str">
        <f>"Wo Incentive ROE"</f>
        <v>Wo Incentive ROE</v>
      </c>
      <c r="D33" s="559">
        <v>2011</v>
      </c>
      <c r="E33" s="1863">
        <f>E29*E27</f>
        <v>98429254.473578155</v>
      </c>
      <c r="F33" s="1251">
        <f>E30</f>
        <v>21240605.569999997</v>
      </c>
      <c r="G33" s="1251">
        <f>'5a- Precommercial Costs'!H50+'5a- Precommercial Costs'!J50</f>
        <v>0</v>
      </c>
      <c r="H33" s="1251">
        <f>'6- Est &amp; Reconcile WS'!Q304</f>
        <v>2946361.8269589269</v>
      </c>
      <c r="I33" s="1864">
        <f>SUM(E33:H33)</f>
        <v>122616221.87053707</v>
      </c>
      <c r="J33" s="1863">
        <f>J29*J27</f>
        <v>1938674.2486885809</v>
      </c>
      <c r="K33" s="1251">
        <f>J30</f>
        <v>578055.88</v>
      </c>
      <c r="L33" s="1251">
        <f>'6- Est &amp; Reconcile WS'!P304</f>
        <v>49535.396733767106</v>
      </c>
      <c r="M33" s="1864">
        <f>SUM(J33:L33)</f>
        <v>2566265.5254223477</v>
      </c>
      <c r="N33" s="1863">
        <f>N29*N27</f>
        <v>3575666.0736817457</v>
      </c>
      <c r="O33" s="1252">
        <f>N30</f>
        <v>1410713</v>
      </c>
      <c r="P33" s="1251">
        <f>'6- Est &amp; Reconcile WS'!O304</f>
        <v>90504.686839300761</v>
      </c>
      <c r="Q33" s="1864">
        <f>SUM(N33:P33)</f>
        <v>5076883.7605210468</v>
      </c>
      <c r="R33" s="1863">
        <f>R29*R27</f>
        <v>172519.81557655643</v>
      </c>
      <c r="S33" s="1251">
        <f>R30</f>
        <v>40401.96</v>
      </c>
      <c r="T33" s="1251">
        <f>'6- Est &amp; Reconcile WS'!N304</f>
        <v>5304.6932521135486</v>
      </c>
      <c r="U33" s="1251">
        <f>SUM(R33:T33)</f>
        <v>218226.46882866998</v>
      </c>
      <c r="V33" s="1863">
        <f>V29*V27</f>
        <v>697233.13626501278</v>
      </c>
      <c r="W33" s="1251">
        <f>V30</f>
        <v>167121.60999999999</v>
      </c>
      <c r="X33" s="1251">
        <f>'6- Est &amp; Reconcile WS'!M304</f>
        <v>18346.6528782651</v>
      </c>
      <c r="Y33" s="1864">
        <f>SUM(V33:X33)</f>
        <v>882701.3991432779</v>
      </c>
      <c r="Z33" s="1863">
        <f>Z29*Z27</f>
        <v>658954.37189218495</v>
      </c>
      <c r="AA33" s="1251">
        <f>Z30</f>
        <v>162194.28000000003</v>
      </c>
      <c r="AB33" s="1251">
        <f>'6- Est &amp; Reconcile WS'!L304</f>
        <v>19841.22319814545</v>
      </c>
      <c r="AC33" s="1864">
        <f>SUM(Z33:AB33)</f>
        <v>840989.87509033037</v>
      </c>
      <c r="AD33" s="1863">
        <f>AD29*AD27</f>
        <v>556307.94358263735</v>
      </c>
      <c r="AE33" s="1251">
        <f>AD30</f>
        <v>144891.64000000001</v>
      </c>
      <c r="AF33" s="1251">
        <f>'6- Est &amp; Reconcile WS'!K304</f>
        <v>16049.814957911827</v>
      </c>
      <c r="AG33" s="1864">
        <f>SUM(AD33:AF33)</f>
        <v>717249.39854054921</v>
      </c>
      <c r="AH33" s="1863">
        <f>AH29*AH27</f>
        <v>3442158.9818956321</v>
      </c>
      <c r="AI33" s="1251">
        <f>AH30</f>
        <v>831423.82</v>
      </c>
      <c r="AJ33" s="1251">
        <f>'6- Est &amp; Reconcile WS'!J304</f>
        <v>104569.49450055354</v>
      </c>
      <c r="AK33" s="1864">
        <f>SUM(AH33:AJ33)</f>
        <v>4378152.2963961856</v>
      </c>
      <c r="AL33" s="1863">
        <f>AL29*AL27</f>
        <v>470884.73629477591</v>
      </c>
      <c r="AM33" s="1251">
        <f>AL30</f>
        <v>94933.5</v>
      </c>
      <c r="AN33" s="1251">
        <f>'6- Est &amp; Reconcile WS'!I304</f>
        <v>15345.698192895132</v>
      </c>
      <c r="AO33" s="1864">
        <f>SUM(AL33:AN33)</f>
        <v>581163.93448767113</v>
      </c>
      <c r="AP33" s="1863">
        <f>AP29*AP27</f>
        <v>438462.90126714791</v>
      </c>
      <c r="AQ33" s="1251">
        <f>AP30</f>
        <v>82981.84</v>
      </c>
      <c r="AR33" s="1251">
        <f>'6- Est &amp; Reconcile WS'!H304</f>
        <v>14947.195092161814</v>
      </c>
      <c r="AS33" s="1864">
        <f>SUM(AP33:AR33)</f>
        <v>536391.93635930971</v>
      </c>
      <c r="AT33" s="1863">
        <f>AT29*AT27</f>
        <v>480614.51070394507</v>
      </c>
      <c r="AU33" s="1251">
        <f>AT30</f>
        <v>149637.85</v>
      </c>
      <c r="AV33" s="1251">
        <f>'6- Est &amp; Reconcile WS'!G304</f>
        <v>12873.037472305949</v>
      </c>
      <c r="AW33" s="1864">
        <f>SUM(AT33:AV33)</f>
        <v>643125.39817625098</v>
      </c>
      <c r="AX33" s="1863">
        <f>AX29*AX27</f>
        <v>679814.75868355099</v>
      </c>
      <c r="AY33" s="1251">
        <f>AX30</f>
        <v>151493.92000000001</v>
      </c>
      <c r="AZ33" s="1251">
        <f>'6- Est &amp; Reconcile WS'!F304</f>
        <v>26519.929426397019</v>
      </c>
      <c r="BA33" s="1864">
        <f>SUM(AX33:AZ33)</f>
        <v>857828.60810994799</v>
      </c>
      <c r="BB33" s="1865">
        <f>BB29*BB27</f>
        <v>1523357.705963548</v>
      </c>
      <c r="BC33" s="1566">
        <f>BB30</f>
        <v>332538.12</v>
      </c>
      <c r="BD33" s="1566">
        <f>'6- Est &amp; Reconcile WS'!S304</f>
        <v>48133.531782497572</v>
      </c>
      <c r="BE33" s="1619">
        <f>SUM(BB33:BD33)</f>
        <v>1904029.3577460456</v>
      </c>
      <c r="BF33" s="1865">
        <f>BF29*BF27</f>
        <v>215496.44106308473</v>
      </c>
      <c r="BG33" s="1566">
        <f>BF30</f>
        <v>19690.68</v>
      </c>
      <c r="BH33" s="1566">
        <f>'6- Est &amp; Reconcile WS'!T304</f>
        <v>8269.4285293872854</v>
      </c>
      <c r="BI33" s="1619">
        <f>SUM(BF33:BH33)</f>
        <v>243456.549592472</v>
      </c>
      <c r="BJ33" s="1865">
        <f>BJ29*BJ27</f>
        <v>80781.104122574223</v>
      </c>
      <c r="BK33" s="1566">
        <f>BJ30</f>
        <v>17476.2</v>
      </c>
      <c r="BL33" s="1566">
        <f>'6- Est &amp; Reconcile WS'!U304</f>
        <v>2560.8629172227397</v>
      </c>
      <c r="BM33" s="1619">
        <f>SUM(BJ33:BL33)</f>
        <v>100818.16703979696</v>
      </c>
      <c r="BN33" s="1865">
        <f>BN29*BN27</f>
        <v>488777.42817553983</v>
      </c>
      <c r="BO33" s="1566">
        <f>BN30</f>
        <v>104079.6</v>
      </c>
      <c r="BP33" s="1566">
        <f>'6- Est &amp; Reconcile WS'!V304</f>
        <v>15020.475080327453</v>
      </c>
      <c r="BQ33" s="1619">
        <f>SUM(BN33:BP33)</f>
        <v>607877.50325586728</v>
      </c>
      <c r="BR33" s="1166">
        <f>BR29*BR27</f>
        <v>196719.72534750862</v>
      </c>
      <c r="BS33" s="1571">
        <f>BR30</f>
        <v>34383.360000000001</v>
      </c>
      <c r="BT33" s="1571">
        <v>0</v>
      </c>
      <c r="BU33" s="1571">
        <f>'6- Est &amp; Reconcile WS'!E304</f>
        <v>6672.7687342870031</v>
      </c>
      <c r="BV33" s="1619">
        <f>BR33+BS33+BT33+BU33</f>
        <v>237775.85408179561</v>
      </c>
      <c r="BW33" s="1166">
        <f>BW29*BW27</f>
        <v>2301911.1893778048</v>
      </c>
      <c r="BX33" s="1571">
        <f>BW30</f>
        <v>572720.75000000012</v>
      </c>
      <c r="BY33" s="1571">
        <v>0</v>
      </c>
      <c r="BZ33" s="1571">
        <f>'6- Est &amp; Reconcile WS'!R304</f>
        <v>71088.273305084454</v>
      </c>
      <c r="CA33" s="1619">
        <f>SUM(BW33:BZ33)</f>
        <v>2945720.2126828893</v>
      </c>
      <c r="CB33" s="1166">
        <f>CB29*CB27</f>
        <v>6022576.8214520458</v>
      </c>
      <c r="CC33" s="1571">
        <f>CB30</f>
        <v>1273246.05</v>
      </c>
      <c r="CD33" s="1571">
        <f>'6- Est &amp; Reconcile WS'!E307</f>
        <v>182759.11215689947</v>
      </c>
      <c r="CE33" s="1619">
        <f>SUM(CB33:CD33)</f>
        <v>7478581.9836089453</v>
      </c>
      <c r="CF33" s="1166">
        <f>CF29*CF27</f>
        <v>4295498.1588768251</v>
      </c>
      <c r="CG33" s="1571">
        <f>CF30</f>
        <v>923792.47</v>
      </c>
      <c r="CH33" s="1571">
        <f>'6- Est &amp; Reconcile WS'!P307</f>
        <v>136064.83256224648</v>
      </c>
      <c r="CI33" s="1619">
        <f>SUM(CF33:CH33)</f>
        <v>5355355.4614390712</v>
      </c>
      <c r="CJ33" s="1166">
        <f>CJ29*CJ27</f>
        <v>5849144.3019672148</v>
      </c>
      <c r="CK33" s="1571">
        <f>CJ30</f>
        <v>1512944.53</v>
      </c>
      <c r="CL33" s="1571">
        <f>'6- Est &amp; Reconcile WS'!S307</f>
        <v>280034.91170784831</v>
      </c>
      <c r="CM33" s="1619">
        <f>SUM(CJ33:CL33)</f>
        <v>7642123.7436750634</v>
      </c>
      <c r="CN33" s="1166">
        <f>CN29*CN27</f>
        <v>2771874.2034853329</v>
      </c>
      <c r="CO33" s="1571">
        <f>CN30</f>
        <v>651083.9</v>
      </c>
      <c r="CP33" s="1571">
        <f>'6- Est &amp; Reconcile WS'!M307</f>
        <v>96748.603198256082</v>
      </c>
      <c r="CQ33" s="1619">
        <f>SUM(CN33:CP33)</f>
        <v>3519706.7066835887</v>
      </c>
      <c r="CR33" s="1166">
        <f>CR29*CR27</f>
        <v>325149.94966273801</v>
      </c>
      <c r="CS33" s="1571">
        <f>CR30</f>
        <v>69881.039999999994</v>
      </c>
      <c r="CT33" s="1571">
        <f>'6- Est &amp; Reconcile WS'!L307</f>
        <v>10332.330197558034</v>
      </c>
      <c r="CU33" s="1619">
        <f>SUM(CR33:CT33)</f>
        <v>405363.31986029603</v>
      </c>
      <c r="CV33" s="1166">
        <f>CV29*CV27</f>
        <v>962193.4046162091</v>
      </c>
      <c r="CW33" s="1571">
        <f>CV30</f>
        <v>190715.52000000002</v>
      </c>
      <c r="CX33" s="1571">
        <f>'6- Est &amp; Reconcile WS'!T307</f>
        <v>31436.011026582972</v>
      </c>
      <c r="CY33" s="1619">
        <f>SUM(CV33:CX33)</f>
        <v>1184344.9356427921</v>
      </c>
      <c r="CZ33" s="1166">
        <f>CZ29*CZ27</f>
        <v>483247.92042722477</v>
      </c>
      <c r="DA33" s="1571">
        <f>CZ30</f>
        <v>103796.4</v>
      </c>
      <c r="DB33" s="1571">
        <f>'6- Est &amp; Reconcile WS'!Q307</f>
        <v>15359.590991544397</v>
      </c>
      <c r="DC33" s="1619">
        <f>SUM(CZ33:DB33)</f>
        <v>602403.91141876916</v>
      </c>
      <c r="DD33" s="1166">
        <f>DD29*DD27</f>
        <v>114542.2520961032</v>
      </c>
      <c r="DE33" s="1571">
        <f>DD30</f>
        <v>21813.05</v>
      </c>
      <c r="DF33" s="1571">
        <f>'6- Est &amp; Reconcile WS'!E310</f>
        <v>1551.0048575182338</v>
      </c>
      <c r="DG33" s="1619">
        <f>SUM(DD33:DF33)</f>
        <v>137906.30695362145</v>
      </c>
      <c r="DH33" s="1166">
        <f>DH29*DH27</f>
        <v>63067.764037446439</v>
      </c>
      <c r="DI33" s="1571">
        <f>DH30</f>
        <v>13813.68</v>
      </c>
      <c r="DJ33" s="1571">
        <f>'6- Est &amp; Reconcile WS'!H307</f>
        <v>1990.2725681915615</v>
      </c>
      <c r="DK33" s="1619">
        <f>SUM(DH33:DJ33)</f>
        <v>78871.716605637994</v>
      </c>
      <c r="DL33" s="1166">
        <f>DL29*DL27</f>
        <v>3545004.4726894973</v>
      </c>
      <c r="DM33" s="1571">
        <f>DL30</f>
        <v>761424.96</v>
      </c>
      <c r="DN33" s="1571">
        <f>'6- Est &amp; Reconcile WS'!K307</f>
        <v>112674.89384405308</v>
      </c>
      <c r="DO33" s="1619">
        <f>SUM(DL33:DN33)</f>
        <v>4419104.3265335504</v>
      </c>
      <c r="DP33" s="1166">
        <f>DP29*DP27</f>
        <v>117721.30038520385</v>
      </c>
      <c r="DQ33" s="1571">
        <f>DP30</f>
        <v>25345.200000000001</v>
      </c>
      <c r="DR33" s="1571">
        <f>'6- Est &amp; Reconcile WS'!I307</f>
        <v>3738.4626032703873</v>
      </c>
      <c r="DS33" s="1619">
        <f>SUM(DP33:DR33)</f>
        <v>146804.96298847426</v>
      </c>
      <c r="DT33" s="1166">
        <f>DT29*DT27</f>
        <v>173986.80374969915</v>
      </c>
      <c r="DU33" s="1571">
        <f>DT30</f>
        <v>37270.44</v>
      </c>
      <c r="DV33" s="1571">
        <f>'6- Est &amp; Reconcile WS'!J307</f>
        <v>5535.3519605494766</v>
      </c>
      <c r="DW33" s="1619">
        <f>SUM(DT33:DV33)</f>
        <v>216792.59571024863</v>
      </c>
      <c r="DX33" s="1166">
        <f>DX29*DX27</f>
        <v>749719.62065694609</v>
      </c>
      <c r="DY33" s="1571">
        <f>DX30</f>
        <v>157870.1</v>
      </c>
      <c r="DZ33" s="1571">
        <f>'6- Est &amp; Reconcile WS'!R307</f>
        <v>32002.256709623438</v>
      </c>
      <c r="EA33" s="1619">
        <f>SUM(DX33:DZ33)</f>
        <v>939591.97736656945</v>
      </c>
      <c r="EB33" s="1166">
        <f>EB29*EB27</f>
        <v>55796.250241640249</v>
      </c>
      <c r="EC33" s="1571">
        <f>EB30</f>
        <v>11957.52</v>
      </c>
      <c r="ED33" s="1571">
        <f>'6- Est &amp; Reconcile WS'!O307</f>
        <v>1774.8692830216478</v>
      </c>
      <c r="EE33" s="1619">
        <f>SUM(EB33:ED33)</f>
        <v>69528.639524661892</v>
      </c>
      <c r="EF33" s="1166">
        <f>EF29*EF27</f>
        <v>227618.22107125656</v>
      </c>
      <c r="EG33" s="1571">
        <f>EF30</f>
        <v>47011.44</v>
      </c>
      <c r="EH33" s="1571">
        <f>'6- Est &amp; Reconcile WS'!Q310</f>
        <v>7334.9373243032524</v>
      </c>
      <c r="EI33" s="1619">
        <f>SUM(EF33:EH33)</f>
        <v>281964.59839555982</v>
      </c>
      <c r="EJ33" s="1166">
        <f>EJ29*EJ27</f>
        <v>0</v>
      </c>
      <c r="EK33" s="1571">
        <f>EJ30</f>
        <v>0</v>
      </c>
      <c r="EL33" s="1571">
        <v>0</v>
      </c>
      <c r="EM33" s="1619">
        <f>SUM(EJ33:EL33)</f>
        <v>0</v>
      </c>
      <c r="EN33" s="1166">
        <f>EN29*EN27</f>
        <v>149703.80943485294</v>
      </c>
      <c r="EO33" s="1571">
        <f>EN30</f>
        <v>31476.720000000001</v>
      </c>
      <c r="EP33" s="1571">
        <f>'6- Est &amp; Reconcile WS'!H310</f>
        <v>3508.3438374607244</v>
      </c>
      <c r="EQ33" s="1619">
        <f>SUM(EN33:EP33)</f>
        <v>184688.87327231368</v>
      </c>
      <c r="ER33" s="1166">
        <f>ER29*ER27</f>
        <v>43002.624009859988</v>
      </c>
      <c r="ES33" s="1571">
        <f>ER30</f>
        <v>9215.64</v>
      </c>
      <c r="ET33" s="1571">
        <f>'6- Est &amp; Reconcile WS'!F307</f>
        <v>1367.9124943015804</v>
      </c>
      <c r="EU33" s="1619">
        <f>SUM(ER33:ET33)</f>
        <v>53586.176504161565</v>
      </c>
      <c r="EV33" s="1166">
        <f>EV29*EV27</f>
        <v>0</v>
      </c>
      <c r="EW33" s="1571">
        <f>EV30</f>
        <v>0</v>
      </c>
      <c r="EX33" s="1571">
        <v>0</v>
      </c>
      <c r="EY33" s="1619">
        <f>SUM(EV33:EX33)</f>
        <v>0</v>
      </c>
      <c r="EZ33" s="1166">
        <f>EZ29*EZ27</f>
        <v>92149.749146649643</v>
      </c>
      <c r="FA33" s="1571">
        <f>EZ30</f>
        <v>11306.52</v>
      </c>
      <c r="FB33" s="1571">
        <f>'6- Est &amp; Reconcile WS'!K310</f>
        <v>3382.0179278916439</v>
      </c>
      <c r="FC33" s="1619">
        <f>SUM(EZ33:FB33)</f>
        <v>106838.28707454129</v>
      </c>
      <c r="FD33" s="1166">
        <f>FD29*FD27</f>
        <v>1528961.5757213417</v>
      </c>
      <c r="FE33" s="1571">
        <f>FD30</f>
        <v>124532.16</v>
      </c>
      <c r="FF33" s="1571">
        <f>'6- Est &amp; Reconcile WS'!N307</f>
        <v>84202.404465804429</v>
      </c>
      <c r="FG33" s="1619">
        <f>SUM(FD33:FF33)</f>
        <v>1737696.1401871459</v>
      </c>
      <c r="FH33" s="1166">
        <f>FH29*FH27</f>
        <v>1248683.6904319467</v>
      </c>
      <c r="FI33" s="1571">
        <f>FH30</f>
        <v>276580.06</v>
      </c>
      <c r="FJ33" s="1571">
        <f>'6- Est &amp; Reconcile WS'!G307</f>
        <v>39244.611481840395</v>
      </c>
      <c r="FK33" s="1619">
        <f>SUM(FH33:FJ33)</f>
        <v>1564508.3619137872</v>
      </c>
      <c r="FL33" s="1166">
        <f>FL29*FL27</f>
        <v>87944.465343233212</v>
      </c>
      <c r="FM33" s="1571">
        <f>FL30</f>
        <v>18716.88</v>
      </c>
      <c r="FN33" s="1571">
        <f>'6- Est &amp; Reconcile WS'!U307</f>
        <v>2804.4518491497338</v>
      </c>
      <c r="FO33" s="1619">
        <f>SUM(FL33:FN33)</f>
        <v>109465.79719238295</v>
      </c>
      <c r="FP33" s="1166">
        <f>FP29*FP27</f>
        <v>1866648.4004078165</v>
      </c>
      <c r="FQ33" s="1571">
        <f>FP30</f>
        <v>504900.12000000011</v>
      </c>
      <c r="FR33" s="1571">
        <f>'6- Est &amp; Reconcile WS'!F310</f>
        <v>131087.48395526342</v>
      </c>
      <c r="FS33" s="1619">
        <f>SUM(FP33:FR33)</f>
        <v>2502636.00436308</v>
      </c>
      <c r="FT33" s="1166">
        <f>FT29*FT27</f>
        <v>3845248.676874462</v>
      </c>
      <c r="FU33" s="1571">
        <f>FT30</f>
        <v>801815.4</v>
      </c>
      <c r="FV33" s="1571">
        <f>'6- Est &amp; Reconcile WS'!G310</f>
        <v>122746.68771666037</v>
      </c>
      <c r="FW33" s="1619">
        <f>SUM(FT33:FV33)</f>
        <v>4769810.764591122</v>
      </c>
      <c r="FX33" s="1166">
        <f>FX29*FX27</f>
        <v>70263.260387747738</v>
      </c>
      <c r="FY33" s="1571">
        <f>FX30</f>
        <v>14537.76</v>
      </c>
      <c r="FZ33" s="1571">
        <f>'6- Est &amp; Reconcile WS'!V307</f>
        <v>2262.8352791846387</v>
      </c>
      <c r="GA33" s="1619">
        <f>SUM(FX33:FZ33)</f>
        <v>87063.855666932373</v>
      </c>
      <c r="GB33" s="1166">
        <f>GB29*GB27</f>
        <v>3450866.4520648331</v>
      </c>
      <c r="GC33" s="1571">
        <f>GB30</f>
        <v>543503.05000000005</v>
      </c>
      <c r="GD33" s="1571">
        <f>'6- Est &amp; Reconcile WS'!I310</f>
        <v>89826.60015951973</v>
      </c>
      <c r="GE33" s="1619">
        <f>SUM(GB33:GD33)</f>
        <v>4084196.1022243532</v>
      </c>
      <c r="GF33" s="1166">
        <f>GF29*GF27</f>
        <v>137182.88147780896</v>
      </c>
      <c r="GG33" s="1571">
        <f>GF30</f>
        <v>28746.48</v>
      </c>
      <c r="GH33" s="1571">
        <f>'6- Est &amp; Reconcile WS'!J310</f>
        <v>4398.6180742828756</v>
      </c>
      <c r="GI33" s="1619">
        <f>SUM(GF33:GH33)</f>
        <v>170327.97955209186</v>
      </c>
      <c r="GJ33" s="1166">
        <f>GJ29*GJ27</f>
        <v>772372.40832113521</v>
      </c>
      <c r="GK33" s="1571">
        <f>GJ30</f>
        <v>163194.12</v>
      </c>
      <c r="GL33" s="1571">
        <f>'6- Est &amp; Reconcile WS'!L310</f>
        <v>24693.477841939046</v>
      </c>
      <c r="GM33" s="1619">
        <f>SUM(GJ33:GL33)</f>
        <v>960260.00616307429</v>
      </c>
      <c r="GN33" s="1166">
        <f>GN29*GN27</f>
        <v>0</v>
      </c>
      <c r="GO33" s="1571">
        <f>GN30</f>
        <v>0</v>
      </c>
      <c r="GP33" s="1571">
        <v>0</v>
      </c>
      <c r="GQ33" s="1619">
        <f>SUM(GN33:GP33)</f>
        <v>0</v>
      </c>
      <c r="GR33" s="1166">
        <f>GR29*GR27</f>
        <v>1846762.8505368927</v>
      </c>
      <c r="GS33" s="1571">
        <f>GR30</f>
        <v>482269.92000000004</v>
      </c>
      <c r="GT33" s="1571">
        <f>'6- Est &amp; Reconcile WS'!M310</f>
        <v>53690.343201183285</v>
      </c>
      <c r="GU33" s="1619">
        <f>SUM(GR33:GT33)</f>
        <v>2382723.1137380758</v>
      </c>
      <c r="GV33" s="1166">
        <f>GV29*GV27</f>
        <v>3025386.7995835175</v>
      </c>
      <c r="GW33" s="1571">
        <f>GV30</f>
        <v>922122.60000000009</v>
      </c>
      <c r="GX33" s="1571">
        <f>'6- Est &amp; Reconcile WS'!N310</f>
        <v>81885.042229751809</v>
      </c>
      <c r="GY33" s="1619">
        <f>SUM(GV33:GX33)</f>
        <v>4029394.4418132692</v>
      </c>
      <c r="GZ33" s="1166">
        <f>GZ29*GZ27</f>
        <v>172456.36640470001</v>
      </c>
      <c r="HA33" s="1571">
        <f>GZ30</f>
        <v>44129.760000000002</v>
      </c>
      <c r="HB33" s="1571">
        <f>'6- Est &amp; Reconcile WS'!O310</f>
        <v>5102.9030955582184</v>
      </c>
      <c r="HC33" s="1619">
        <f>SUM(GZ33:HB33)</f>
        <v>221689.02950025824</v>
      </c>
      <c r="HD33" s="1166">
        <f>HD29*HD27</f>
        <v>94708.616729561225</v>
      </c>
      <c r="HE33" s="1571">
        <f>HD30</f>
        <v>19669.439999999999</v>
      </c>
      <c r="HF33" s="1571">
        <f>'6- Est &amp; Reconcile WS'!P310</f>
        <v>3046.758462372647</v>
      </c>
      <c r="HG33" s="1619">
        <f>SUM(HD33:HF33)</f>
        <v>117424.81519193387</v>
      </c>
      <c r="HH33" s="1166">
        <f>HH29*HH27</f>
        <v>7586260.6482559023</v>
      </c>
      <c r="HI33" s="1571">
        <f>HH30</f>
        <v>1854532.87</v>
      </c>
      <c r="HJ33" s="1571">
        <f>'6- Est &amp; Reconcile WS'!V310</f>
        <v>230628.62313512529</v>
      </c>
      <c r="HK33" s="1619">
        <f>SUM(HH33:HJ33)</f>
        <v>9671422.1413910277</v>
      </c>
      <c r="HL33" s="1166">
        <f>HL29*HL27</f>
        <v>4598621.565081425</v>
      </c>
      <c r="HM33" s="1571">
        <f>HL30</f>
        <v>1376383.55</v>
      </c>
      <c r="HN33" s="1571">
        <f>'6- Est &amp; Reconcile WS'!T310</f>
        <v>125653.86650315054</v>
      </c>
      <c r="HO33" s="1619">
        <f>SUM(HL33:HN33)</f>
        <v>6100658.981584575</v>
      </c>
      <c r="HP33" s="1166">
        <f>HP29*HP27</f>
        <v>4893105.5830449061</v>
      </c>
      <c r="HQ33" s="1571">
        <f>HP30</f>
        <v>1249142.3999999999</v>
      </c>
      <c r="HR33" s="1571">
        <f>'6- Est &amp; Reconcile WS'!S310</f>
        <v>145428.79336958966</v>
      </c>
      <c r="HS33" s="1619">
        <f>SUM(HP33:HR33)</f>
        <v>6287676.776414495</v>
      </c>
      <c r="HT33" s="1166">
        <f>HT29*HT27</f>
        <v>11731013.929375786</v>
      </c>
      <c r="HU33" s="1571">
        <f>HT30</f>
        <v>2096806.2</v>
      </c>
      <c r="HV33" s="1571">
        <f>'6- Est &amp; Reconcile WS'!R310</f>
        <v>331074.17927084508</v>
      </c>
      <c r="HW33" s="1619">
        <f>SUM(HT33:HV33)</f>
        <v>14158894.30864663</v>
      </c>
      <c r="HX33" s="1166">
        <f>HX29*HX27</f>
        <v>3997808.0893972879</v>
      </c>
      <c r="HY33" s="1571">
        <f>HX30</f>
        <v>828680.56</v>
      </c>
      <c r="HZ33" s="1571">
        <f>'6- Est &amp; Reconcile WS'!U310</f>
        <v>113304.72768399797</v>
      </c>
      <c r="IA33" s="1619">
        <f>SUM(HX33:HZ33)</f>
        <v>4939793.3770812852</v>
      </c>
      <c r="IB33" s="1166">
        <f>IB29*IB27</f>
        <v>208511.71663999179</v>
      </c>
      <c r="IC33" s="1571">
        <f>IB30</f>
        <v>33634.050000000003</v>
      </c>
      <c r="ID33" s="1571">
        <f>'6- Est &amp; Reconcile WS'!E313</f>
        <v>43209.595291746868</v>
      </c>
      <c r="IE33" s="1619">
        <f>SUM(IB33:ID33)</f>
        <v>285355.36193173868</v>
      </c>
      <c r="IF33" s="1166">
        <f>IF29*IF27</f>
        <v>2512429.9263422186</v>
      </c>
      <c r="IG33" s="1571">
        <f>IF30</f>
        <v>503731.84</v>
      </c>
      <c r="IH33" s="1571">
        <f>'6- Est &amp; Reconcile WS'!F313</f>
        <v>80996.075797537793</v>
      </c>
      <c r="II33" s="1619">
        <f>SUM(IF33:IH33)</f>
        <v>3097157.8421397563</v>
      </c>
      <c r="IJ33" s="1166">
        <f>IJ29*IJ27</f>
        <v>0</v>
      </c>
      <c r="IK33" s="1571">
        <f>IJ30</f>
        <v>0</v>
      </c>
      <c r="IL33" s="1571">
        <f>'6- Est &amp; Reconcile WS'!G313</f>
        <v>0</v>
      </c>
      <c r="IM33" s="1619">
        <f>SUM(IJ33:IL33)</f>
        <v>0</v>
      </c>
      <c r="IN33" s="1166">
        <f>IN29*IN27</f>
        <v>1140221.1181848824</v>
      </c>
      <c r="IO33" s="1571">
        <f>IN30</f>
        <v>219356.02</v>
      </c>
      <c r="IP33" s="1571">
        <f>'6- Est &amp; Reconcile WS'!H313</f>
        <v>151847.94773515759</v>
      </c>
      <c r="IQ33" s="1619">
        <f>SUM(IN33:IP33)</f>
        <v>1511425.08592004</v>
      </c>
      <c r="IR33" s="1866">
        <f>+I33+M33+Q33+U33+Y33+AC33+AG33+AK33+AO33+AW33+AS33+BA33+BE33+BI33+BM33+BQ33+BV33+CA33+CI33+CM33+CU33+CY33+DC33+DG33+DK33+DO33+DS33+DW33+EA33+EE33+EI33+EM33+EQ33+EU33+CQ33+CE33+EY33+FC33+FG33+FK33+FO33+FS33+FW33+GA33+GE33+GI33+GM33+GQ33+GU33+GY33+HC33+HG33+HK33+HO33+HS33+HW33+IA33+IE33+II33+IM33+IQ33</f>
        <v>247568016.92647639</v>
      </c>
      <c r="IS33" s="1253"/>
      <c r="IT33" s="1254">
        <f>+IR33</f>
        <v>247568016.92647639</v>
      </c>
      <c r="IU33" s="600" t="s">
        <v>1018</v>
      </c>
    </row>
    <row r="34" spans="1:255" s="2" customFormat="1" ht="14.4" thickBot="1">
      <c r="A34" s="484">
        <v>20</v>
      </c>
      <c r="B34" s="446" t="s">
        <v>742</v>
      </c>
      <c r="C34" s="1867" t="s">
        <v>735</v>
      </c>
      <c r="D34" s="960">
        <f>D33</f>
        <v>2011</v>
      </c>
      <c r="E34" s="1868">
        <f>E29*E28</f>
        <v>104395478.49191178</v>
      </c>
      <c r="F34" s="1255">
        <f>F33</f>
        <v>21240605.569999997</v>
      </c>
      <c r="G34" s="1255">
        <f>+G33</f>
        <v>0</v>
      </c>
      <c r="H34" s="1255">
        <f>H33</f>
        <v>2946361.8269589269</v>
      </c>
      <c r="I34" s="1869">
        <f>SUM(E34:H34)</f>
        <v>128582445.8888707</v>
      </c>
      <c r="J34" s="1868">
        <f>J29*J28</f>
        <v>1938674.2486885809</v>
      </c>
      <c r="K34" s="1255">
        <f>+K33</f>
        <v>578055.88</v>
      </c>
      <c r="L34" s="1255">
        <f>L33</f>
        <v>49535.396733767106</v>
      </c>
      <c r="M34" s="1869">
        <f>SUM(J34:L34)</f>
        <v>2566265.5254223477</v>
      </c>
      <c r="N34" s="1868">
        <f>N29*N28</f>
        <v>3792402.7026894083</v>
      </c>
      <c r="O34" s="1256">
        <f>O33</f>
        <v>1410713</v>
      </c>
      <c r="P34" s="1255">
        <f>P33</f>
        <v>90504.686839300761</v>
      </c>
      <c r="Q34" s="1869">
        <f>SUM(N34:P34)</f>
        <v>5293620.3895287095</v>
      </c>
      <c r="R34" s="1255">
        <f>R29*R28</f>
        <v>172519.81557655643</v>
      </c>
      <c r="S34" s="1255">
        <f>S33</f>
        <v>40401.96</v>
      </c>
      <c r="T34" s="1255">
        <f>T33</f>
        <v>5304.6932521135486</v>
      </c>
      <c r="U34" s="1255">
        <f>SUM(R34:T34)</f>
        <v>218226.46882866998</v>
      </c>
      <c r="V34" s="1868">
        <f>V29*V28</f>
        <v>697233.13626501278</v>
      </c>
      <c r="W34" s="1255">
        <f>W33</f>
        <v>167121.60999999999</v>
      </c>
      <c r="X34" s="1255">
        <f>+X33</f>
        <v>18346.6528782651</v>
      </c>
      <c r="Y34" s="1869">
        <f>SUM(V34:X34)</f>
        <v>882701.3991432779</v>
      </c>
      <c r="Z34" s="1868">
        <f>Z29*Z28</f>
        <v>658954.37189218495</v>
      </c>
      <c r="AA34" s="1255">
        <f>AA33</f>
        <v>162194.28000000003</v>
      </c>
      <c r="AB34" s="1255">
        <f>+AB33</f>
        <v>19841.22319814545</v>
      </c>
      <c r="AC34" s="1869">
        <f>SUM(Z34:AB34)</f>
        <v>840989.87509033037</v>
      </c>
      <c r="AD34" s="1868">
        <f>AD29*AD28</f>
        <v>556307.94358263735</v>
      </c>
      <c r="AE34" s="1255">
        <f>AE33</f>
        <v>144891.64000000001</v>
      </c>
      <c r="AF34" s="1255">
        <f>+AF33</f>
        <v>16049.814957911827</v>
      </c>
      <c r="AG34" s="1869">
        <f>SUM(AD34:AF34)</f>
        <v>717249.39854054921</v>
      </c>
      <c r="AH34" s="1868">
        <f>AH29*AH28</f>
        <v>3442158.9818956321</v>
      </c>
      <c r="AI34" s="1255">
        <f>AI33</f>
        <v>831423.82</v>
      </c>
      <c r="AJ34" s="1255">
        <f>+AJ33</f>
        <v>104569.49450055354</v>
      </c>
      <c r="AK34" s="1869">
        <f>SUM(AH34:AJ34)</f>
        <v>4378152.2963961856</v>
      </c>
      <c r="AL34" s="1868">
        <f>AL29*AL28</f>
        <v>470884.73629477591</v>
      </c>
      <c r="AM34" s="1255">
        <f>AM33</f>
        <v>94933.5</v>
      </c>
      <c r="AN34" s="1255">
        <f>+AN33</f>
        <v>15345.698192895132</v>
      </c>
      <c r="AO34" s="1869">
        <f>SUM(AL34:AN34)</f>
        <v>581163.93448767113</v>
      </c>
      <c r="AP34" s="1868">
        <f>AP29*AP28</f>
        <v>438462.90126714791</v>
      </c>
      <c r="AQ34" s="1255">
        <f>AQ33</f>
        <v>82981.84</v>
      </c>
      <c r="AR34" s="1255">
        <f>+AR33</f>
        <v>14947.195092161814</v>
      </c>
      <c r="AS34" s="1869">
        <f>SUM(AP34:AR34)</f>
        <v>536391.93635930971</v>
      </c>
      <c r="AT34" s="1868">
        <f>AT29*AT28</f>
        <v>480614.51070394507</v>
      </c>
      <c r="AU34" s="1255">
        <f>AU33</f>
        <v>149637.85</v>
      </c>
      <c r="AV34" s="1255">
        <f>+AV33</f>
        <v>12873.037472305949</v>
      </c>
      <c r="AW34" s="1869">
        <f>SUM(AT34:AV34)</f>
        <v>643125.39817625098</v>
      </c>
      <c r="AX34" s="1868">
        <f>AX29*AX28</f>
        <v>679814.75868355099</v>
      </c>
      <c r="AY34" s="1255">
        <f>AY33</f>
        <v>151493.92000000001</v>
      </c>
      <c r="AZ34" s="1255">
        <f>+AZ33</f>
        <v>26519.929426397019</v>
      </c>
      <c r="BA34" s="1869">
        <f>SUM(AX34:AZ34)</f>
        <v>857828.60810994799</v>
      </c>
      <c r="BB34" s="1870">
        <f>BB29*BB28</f>
        <v>1523357.705963548</v>
      </c>
      <c r="BC34" s="1567">
        <f>BC33</f>
        <v>332538.12</v>
      </c>
      <c r="BD34" s="1567">
        <f>BD33</f>
        <v>48133.531782497572</v>
      </c>
      <c r="BE34" s="1621">
        <f>SUM(BB34:BD34)</f>
        <v>1904029.3577460456</v>
      </c>
      <c r="BF34" s="1870">
        <f>BF29*BF28</f>
        <v>215496.44106308473</v>
      </c>
      <c r="BG34" s="1567">
        <f>BG33</f>
        <v>19690.68</v>
      </c>
      <c r="BH34" s="1567">
        <f>BH33</f>
        <v>8269.4285293872854</v>
      </c>
      <c r="BI34" s="1621">
        <f>SUM(BF34:BH34)</f>
        <v>243456.549592472</v>
      </c>
      <c r="BJ34" s="1870">
        <f>BJ29*BJ28</f>
        <v>80781.104122574223</v>
      </c>
      <c r="BK34" s="1567">
        <f>BK33</f>
        <v>17476.2</v>
      </c>
      <c r="BL34" s="1567">
        <f>BL33</f>
        <v>2560.8629172227397</v>
      </c>
      <c r="BM34" s="1621">
        <f>SUM(BJ34:BL34)</f>
        <v>100818.16703979696</v>
      </c>
      <c r="BN34" s="1870">
        <f>BN29*BN28</f>
        <v>488777.42817553983</v>
      </c>
      <c r="BO34" s="1567">
        <f>BO33</f>
        <v>104079.6</v>
      </c>
      <c r="BP34" s="1567">
        <f>BP33</f>
        <v>15020.475080327453</v>
      </c>
      <c r="BQ34" s="1621">
        <f>SUM(BN34:BP34)</f>
        <v>607877.50325586728</v>
      </c>
      <c r="BR34" s="1620">
        <f>BR29*BR28</f>
        <v>196719.72534750862</v>
      </c>
      <c r="BS34" s="1572">
        <f>BS33</f>
        <v>34383.360000000001</v>
      </c>
      <c r="BT34" s="1572">
        <f>+BT33</f>
        <v>0</v>
      </c>
      <c r="BU34" s="1572">
        <f>BU33</f>
        <v>6672.7687342870031</v>
      </c>
      <c r="BV34" s="1621">
        <f>BR34+BS34+BT34+BU34</f>
        <v>237775.85408179561</v>
      </c>
      <c r="BW34" s="1620">
        <f>BW29*BW28</f>
        <v>2301911.1893778048</v>
      </c>
      <c r="BX34" s="1572">
        <f>BX33</f>
        <v>572720.75000000012</v>
      </c>
      <c r="BY34" s="1572">
        <f>BY33</f>
        <v>0</v>
      </c>
      <c r="BZ34" s="1572">
        <f>BZ33</f>
        <v>71088.273305084454</v>
      </c>
      <c r="CA34" s="1621">
        <f>SUM(BW34:BZ34)</f>
        <v>2945720.2126828893</v>
      </c>
      <c r="CB34" s="1620">
        <f>CB29*CB28</f>
        <v>6022576.8214520458</v>
      </c>
      <c r="CC34" s="1572">
        <f>CC33</f>
        <v>1273246.05</v>
      </c>
      <c r="CD34" s="1572">
        <f>CD33</f>
        <v>182759.11215689947</v>
      </c>
      <c r="CE34" s="1621">
        <f>SUM(CB34:CD34)</f>
        <v>7478581.9836089453</v>
      </c>
      <c r="CF34" s="1620">
        <f>CF29*CF28</f>
        <v>4295498.1588768251</v>
      </c>
      <c r="CG34" s="1572">
        <f>CG33</f>
        <v>923792.47</v>
      </c>
      <c r="CH34" s="1572">
        <f>CH33</f>
        <v>136064.83256224648</v>
      </c>
      <c r="CI34" s="1621">
        <f>SUM(CF34:CH34)</f>
        <v>5355355.4614390712</v>
      </c>
      <c r="CJ34" s="1620">
        <f>CJ29*CJ28</f>
        <v>5849144.3019672148</v>
      </c>
      <c r="CK34" s="1572">
        <f>CK33</f>
        <v>1512944.53</v>
      </c>
      <c r="CL34" s="1572">
        <f>CL33</f>
        <v>280034.91170784831</v>
      </c>
      <c r="CM34" s="1621">
        <f>SUM(CJ34:CL34)</f>
        <v>7642123.7436750634</v>
      </c>
      <c r="CN34" s="1620">
        <f>CN29*CN28</f>
        <v>2771874.2034853329</v>
      </c>
      <c r="CO34" s="1572">
        <f>CO33</f>
        <v>651083.9</v>
      </c>
      <c r="CP34" s="1572">
        <f>CP33</f>
        <v>96748.603198256082</v>
      </c>
      <c r="CQ34" s="1621">
        <f>SUM(CN34:CP34)</f>
        <v>3519706.7066835887</v>
      </c>
      <c r="CR34" s="1620">
        <f>CR29*CR28</f>
        <v>325149.94966273801</v>
      </c>
      <c r="CS34" s="1572">
        <f>CS33</f>
        <v>69881.039999999994</v>
      </c>
      <c r="CT34" s="1572">
        <f>CT33</f>
        <v>10332.330197558034</v>
      </c>
      <c r="CU34" s="1621">
        <f>SUM(CR34:CT34)</f>
        <v>405363.31986029603</v>
      </c>
      <c r="CV34" s="1620">
        <f>CV29*CV28</f>
        <v>962193.4046162091</v>
      </c>
      <c r="CW34" s="1572">
        <f>CW33</f>
        <v>190715.52000000002</v>
      </c>
      <c r="CX34" s="1572">
        <f>CX33</f>
        <v>31436.011026582972</v>
      </c>
      <c r="CY34" s="1621">
        <f>SUM(CV34:CX34)</f>
        <v>1184344.9356427921</v>
      </c>
      <c r="CZ34" s="1620">
        <f>CZ29*CZ28</f>
        <v>483247.92042722477</v>
      </c>
      <c r="DA34" s="1572">
        <f>DA33</f>
        <v>103796.4</v>
      </c>
      <c r="DB34" s="1572">
        <f>DB33</f>
        <v>15359.590991544397</v>
      </c>
      <c r="DC34" s="1621">
        <f>SUM(CZ34:DB34)</f>
        <v>602403.91141876916</v>
      </c>
      <c r="DD34" s="1620">
        <f>DD29*DD28</f>
        <v>114542.2520961032</v>
      </c>
      <c r="DE34" s="1572">
        <f>DE33</f>
        <v>21813.05</v>
      </c>
      <c r="DF34" s="1572">
        <f>DF33</f>
        <v>1551.0048575182338</v>
      </c>
      <c r="DG34" s="1621">
        <f>SUM(DD34:DF34)</f>
        <v>137906.30695362145</v>
      </c>
      <c r="DH34" s="1620">
        <f>DH29*DH28</f>
        <v>63067.764037446439</v>
      </c>
      <c r="DI34" s="1572">
        <f>DI33</f>
        <v>13813.68</v>
      </c>
      <c r="DJ34" s="1572">
        <f>DJ33</f>
        <v>1990.2725681915615</v>
      </c>
      <c r="DK34" s="1621">
        <f>SUM(DH34:DJ34)</f>
        <v>78871.716605637994</v>
      </c>
      <c r="DL34" s="1620">
        <f>DL29*DL28</f>
        <v>3545004.4726894973</v>
      </c>
      <c r="DM34" s="1572">
        <f>DM33</f>
        <v>761424.96</v>
      </c>
      <c r="DN34" s="1572">
        <f>DN33</f>
        <v>112674.89384405308</v>
      </c>
      <c r="DO34" s="1621">
        <f>SUM(DL34:DN34)</f>
        <v>4419104.3265335504</v>
      </c>
      <c r="DP34" s="1620">
        <f>DP29*DP28</f>
        <v>117721.30038520385</v>
      </c>
      <c r="DQ34" s="1572">
        <f>DQ33</f>
        <v>25345.200000000001</v>
      </c>
      <c r="DR34" s="1572">
        <f>DR33</f>
        <v>3738.4626032703873</v>
      </c>
      <c r="DS34" s="1621">
        <f>SUM(DP34:DR34)</f>
        <v>146804.96298847426</v>
      </c>
      <c r="DT34" s="1620">
        <f>DT29*DT28</f>
        <v>173986.80374969915</v>
      </c>
      <c r="DU34" s="1572">
        <f>DU33</f>
        <v>37270.44</v>
      </c>
      <c r="DV34" s="1572">
        <f>DV33</f>
        <v>5535.3519605494766</v>
      </c>
      <c r="DW34" s="1621">
        <f>SUM(DT34:DV34)</f>
        <v>216792.59571024863</v>
      </c>
      <c r="DX34" s="1620">
        <f>DX29*DX28</f>
        <v>749719.62065694609</v>
      </c>
      <c r="DY34" s="1572">
        <f>DY33</f>
        <v>157870.1</v>
      </c>
      <c r="DZ34" s="1572">
        <f>DZ33</f>
        <v>32002.256709623438</v>
      </c>
      <c r="EA34" s="1621">
        <f>SUM(DX34:DZ34)</f>
        <v>939591.97736656945</v>
      </c>
      <c r="EB34" s="1620">
        <f>EB29*EB28</f>
        <v>55796.250241640249</v>
      </c>
      <c r="EC34" s="1572">
        <f>EC33</f>
        <v>11957.52</v>
      </c>
      <c r="ED34" s="1572">
        <f>ED33</f>
        <v>1774.8692830216478</v>
      </c>
      <c r="EE34" s="1621">
        <f>SUM(EB34:ED34)</f>
        <v>69528.639524661892</v>
      </c>
      <c r="EF34" s="1620">
        <f>EF29*EF28</f>
        <v>227618.22107125656</v>
      </c>
      <c r="EG34" s="1572">
        <f>EG33</f>
        <v>47011.44</v>
      </c>
      <c r="EH34" s="1572">
        <f>EH33</f>
        <v>7334.9373243032524</v>
      </c>
      <c r="EI34" s="1621">
        <f>SUM(EF34:EH34)</f>
        <v>281964.59839555982</v>
      </c>
      <c r="EJ34" s="1620">
        <f>EJ29*EJ28</f>
        <v>0</v>
      </c>
      <c r="EK34" s="1572">
        <f>EK33</f>
        <v>0</v>
      </c>
      <c r="EL34" s="1572">
        <f>EL33</f>
        <v>0</v>
      </c>
      <c r="EM34" s="1621">
        <f>SUM(EJ34:EL34)</f>
        <v>0</v>
      </c>
      <c r="EN34" s="1620">
        <f>EN29*EN28</f>
        <v>149703.80943485294</v>
      </c>
      <c r="EO34" s="1572">
        <f>EO33</f>
        <v>31476.720000000001</v>
      </c>
      <c r="EP34" s="1572">
        <f>EP33</f>
        <v>3508.3438374607244</v>
      </c>
      <c r="EQ34" s="1621">
        <f>SUM(EN34:EP34)</f>
        <v>184688.87327231368</v>
      </c>
      <c r="ER34" s="1620">
        <f>ER29*ER28</f>
        <v>43002.624009859988</v>
      </c>
      <c r="ES34" s="1572">
        <f>ES33</f>
        <v>9215.64</v>
      </c>
      <c r="ET34" s="1572">
        <f>ET33</f>
        <v>1367.9124943015804</v>
      </c>
      <c r="EU34" s="1621">
        <f>SUM(ER34:ET34)</f>
        <v>53586.176504161565</v>
      </c>
      <c r="EV34" s="1620">
        <f>EV29*EV28</f>
        <v>0</v>
      </c>
      <c r="EW34" s="1572">
        <f>EW33</f>
        <v>0</v>
      </c>
      <c r="EX34" s="1572">
        <f>EX33</f>
        <v>0</v>
      </c>
      <c r="EY34" s="1621">
        <f>SUM(EV34:EX34)</f>
        <v>0</v>
      </c>
      <c r="EZ34" s="1620">
        <f>EZ29*EZ28</f>
        <v>92149.749146649643</v>
      </c>
      <c r="FA34" s="1572">
        <f>FA33</f>
        <v>11306.52</v>
      </c>
      <c r="FB34" s="1572">
        <f>FB33</f>
        <v>3382.0179278916439</v>
      </c>
      <c r="FC34" s="1621">
        <f>SUM(EZ34:FB34)</f>
        <v>106838.28707454129</v>
      </c>
      <c r="FD34" s="1620">
        <f>FD29*FD28</f>
        <v>1528961.5757213417</v>
      </c>
      <c r="FE34" s="1572">
        <f>FE33</f>
        <v>124532.16</v>
      </c>
      <c r="FF34" s="1572">
        <f>FF33</f>
        <v>84202.404465804429</v>
      </c>
      <c r="FG34" s="1621">
        <f>SUM(FD34:FF34)</f>
        <v>1737696.1401871459</v>
      </c>
      <c r="FH34" s="1620">
        <f>FH29*FH28</f>
        <v>1248683.6904319467</v>
      </c>
      <c r="FI34" s="1572">
        <f>FI33</f>
        <v>276580.06</v>
      </c>
      <c r="FJ34" s="1572">
        <f>FJ33</f>
        <v>39244.611481840395</v>
      </c>
      <c r="FK34" s="1621">
        <f>SUM(FH34:FJ34)</f>
        <v>1564508.3619137872</v>
      </c>
      <c r="FL34" s="1620">
        <f>FL29*FL28</f>
        <v>87944.465343233212</v>
      </c>
      <c r="FM34" s="1572">
        <f>FM33</f>
        <v>18716.88</v>
      </c>
      <c r="FN34" s="1572">
        <f>FN33</f>
        <v>2804.4518491497338</v>
      </c>
      <c r="FO34" s="1621">
        <f>SUM(FL34:FN34)</f>
        <v>109465.79719238295</v>
      </c>
      <c r="FP34" s="1620">
        <f>FP29*FP28</f>
        <v>1866648.4004078165</v>
      </c>
      <c r="FQ34" s="1572">
        <f>FQ33</f>
        <v>504900.12000000011</v>
      </c>
      <c r="FR34" s="1572">
        <f>FR33</f>
        <v>131087.48395526342</v>
      </c>
      <c r="FS34" s="1621">
        <f>SUM(FP34:FR34)</f>
        <v>2502636.00436308</v>
      </c>
      <c r="FT34" s="1620">
        <f>FT29*FT28</f>
        <v>3845248.676874462</v>
      </c>
      <c r="FU34" s="1572">
        <f>FU33</f>
        <v>801815.4</v>
      </c>
      <c r="FV34" s="1572">
        <f>FV33</f>
        <v>122746.68771666037</v>
      </c>
      <c r="FW34" s="1621">
        <f>SUM(FT34:FV34)</f>
        <v>4769810.764591122</v>
      </c>
      <c r="FX34" s="1620">
        <f>FX29*FX28</f>
        <v>70263.260387747738</v>
      </c>
      <c r="FY34" s="1572">
        <f>FY33</f>
        <v>14537.76</v>
      </c>
      <c r="FZ34" s="1572">
        <f>FZ33</f>
        <v>2262.8352791846387</v>
      </c>
      <c r="GA34" s="1621">
        <f>SUM(FX34:FZ34)</f>
        <v>87063.855666932373</v>
      </c>
      <c r="GB34" s="1620">
        <f>GB29*GB28</f>
        <v>3450866.4520648331</v>
      </c>
      <c r="GC34" s="1572">
        <f>GC33</f>
        <v>543503.05000000005</v>
      </c>
      <c r="GD34" s="1572">
        <f>GD33</f>
        <v>89826.60015951973</v>
      </c>
      <c r="GE34" s="1621">
        <f>SUM(GB34:GD34)</f>
        <v>4084196.1022243532</v>
      </c>
      <c r="GF34" s="1620">
        <f>GF29*GF28</f>
        <v>137182.88147780896</v>
      </c>
      <c r="GG34" s="1572">
        <f>GG33</f>
        <v>28746.48</v>
      </c>
      <c r="GH34" s="1572">
        <f>GH33</f>
        <v>4398.6180742828756</v>
      </c>
      <c r="GI34" s="1621">
        <f>SUM(GF34:GH34)</f>
        <v>170327.97955209186</v>
      </c>
      <c r="GJ34" s="1620">
        <f>GJ29*GJ28</f>
        <v>772372.40832113521</v>
      </c>
      <c r="GK34" s="1572">
        <f>GK33</f>
        <v>163194.12</v>
      </c>
      <c r="GL34" s="1572">
        <f>GL33</f>
        <v>24693.477841939046</v>
      </c>
      <c r="GM34" s="1621">
        <f>SUM(GJ34:GL34)</f>
        <v>960260.00616307429</v>
      </c>
      <c r="GN34" s="1620">
        <f>GN29*GN28</f>
        <v>0</v>
      </c>
      <c r="GO34" s="1572">
        <f>GO33</f>
        <v>0</v>
      </c>
      <c r="GP34" s="1572">
        <f>GP33</f>
        <v>0</v>
      </c>
      <c r="GQ34" s="1621">
        <f>SUM(GN34:GP34)</f>
        <v>0</v>
      </c>
      <c r="GR34" s="1620">
        <f>GR29*GR28</f>
        <v>1846762.8505368927</v>
      </c>
      <c r="GS34" s="1572">
        <f>GS33</f>
        <v>482269.92000000004</v>
      </c>
      <c r="GT34" s="1572">
        <f>GT33</f>
        <v>53690.343201183285</v>
      </c>
      <c r="GU34" s="1621">
        <f>SUM(GR34:GT34)</f>
        <v>2382723.1137380758</v>
      </c>
      <c r="GV34" s="1620">
        <f>GV29*GV28</f>
        <v>3025386.7995835175</v>
      </c>
      <c r="GW34" s="1572">
        <f>GW33</f>
        <v>922122.60000000009</v>
      </c>
      <c r="GX34" s="1572">
        <f>GX33</f>
        <v>81885.042229751809</v>
      </c>
      <c r="GY34" s="1621">
        <f>SUM(GV34:GX34)</f>
        <v>4029394.4418132692</v>
      </c>
      <c r="GZ34" s="1620">
        <f>GZ29*GZ28</f>
        <v>172456.36640470001</v>
      </c>
      <c r="HA34" s="1572">
        <f>HA33</f>
        <v>44129.760000000002</v>
      </c>
      <c r="HB34" s="1572">
        <f>HB33</f>
        <v>5102.9030955582184</v>
      </c>
      <c r="HC34" s="1621">
        <f>SUM(GZ34:HB34)</f>
        <v>221689.02950025824</v>
      </c>
      <c r="HD34" s="1620">
        <f>HD29*HD28</f>
        <v>94708.616729561225</v>
      </c>
      <c r="HE34" s="1572">
        <f>HE33</f>
        <v>19669.439999999999</v>
      </c>
      <c r="HF34" s="1572">
        <f>HF33</f>
        <v>3046.758462372647</v>
      </c>
      <c r="HG34" s="1621">
        <f>SUM(HD34:HF34)</f>
        <v>117424.81519193387</v>
      </c>
      <c r="HH34" s="1620">
        <f>HH29*HH28</f>
        <v>7586260.6482559023</v>
      </c>
      <c r="HI34" s="1572">
        <f>HI33</f>
        <v>1854532.87</v>
      </c>
      <c r="HJ34" s="1572">
        <f>HJ33</f>
        <v>230628.62313512529</v>
      </c>
      <c r="HK34" s="1621">
        <f>SUM(HH34:HJ34)</f>
        <v>9671422.1413910277</v>
      </c>
      <c r="HL34" s="1620">
        <f>HL29*HL28</f>
        <v>4598621.565081425</v>
      </c>
      <c r="HM34" s="1572">
        <f>HM33</f>
        <v>1376383.55</v>
      </c>
      <c r="HN34" s="1572">
        <f>HN33</f>
        <v>125653.86650315054</v>
      </c>
      <c r="HO34" s="1621">
        <f>SUM(HL34:HN34)</f>
        <v>6100658.981584575</v>
      </c>
      <c r="HP34" s="1620">
        <f>HP29*HP28</f>
        <v>4893105.5830449061</v>
      </c>
      <c r="HQ34" s="1572">
        <f>HQ33</f>
        <v>1249142.3999999999</v>
      </c>
      <c r="HR34" s="1572">
        <f>HR33</f>
        <v>145428.79336958966</v>
      </c>
      <c r="HS34" s="1621">
        <f>SUM(HP34:HR34)</f>
        <v>6287676.776414495</v>
      </c>
      <c r="HT34" s="1620">
        <f>HT29*HT28</f>
        <v>11731013.929375786</v>
      </c>
      <c r="HU34" s="1572">
        <f>HU33</f>
        <v>2096806.2</v>
      </c>
      <c r="HV34" s="1572">
        <f>HV33</f>
        <v>331074.17927084508</v>
      </c>
      <c r="HW34" s="1621">
        <f>SUM(HT34:HV34)</f>
        <v>14158894.30864663</v>
      </c>
      <c r="HX34" s="1620">
        <f>HX29*HX28</f>
        <v>3997808.0893972879</v>
      </c>
      <c r="HY34" s="1572">
        <f>HY33</f>
        <v>828680.56</v>
      </c>
      <c r="HZ34" s="1572">
        <f>HZ33</f>
        <v>113304.72768399797</v>
      </c>
      <c r="IA34" s="1621">
        <f>SUM(HX34:HZ34)</f>
        <v>4939793.3770812852</v>
      </c>
      <c r="IB34" s="1620">
        <f>IB29*IB28</f>
        <v>208511.71663999179</v>
      </c>
      <c r="IC34" s="1572">
        <f>IC33</f>
        <v>33634.050000000003</v>
      </c>
      <c r="ID34" s="1572">
        <f>ID33</f>
        <v>43209.595291746868</v>
      </c>
      <c r="IE34" s="1621">
        <f>SUM(IB34:ID34)</f>
        <v>285355.36193173868</v>
      </c>
      <c r="IF34" s="1620">
        <f>IF29*IF28</f>
        <v>2512429.9263422186</v>
      </c>
      <c r="IG34" s="1572">
        <f>IG33</f>
        <v>503731.84</v>
      </c>
      <c r="IH34" s="1572">
        <f>IH33</f>
        <v>80996.075797537793</v>
      </c>
      <c r="II34" s="1621">
        <f>SUM(IF34:IH34)</f>
        <v>3097157.8421397563</v>
      </c>
      <c r="IJ34" s="1620">
        <f>IJ29*IJ28</f>
        <v>0</v>
      </c>
      <c r="IK34" s="1572">
        <f>IK33</f>
        <v>0</v>
      </c>
      <c r="IL34" s="1572">
        <f>IL33</f>
        <v>0</v>
      </c>
      <c r="IM34" s="1621">
        <f>SUM(IJ34:IL34)</f>
        <v>0</v>
      </c>
      <c r="IN34" s="1620">
        <f>IN29*IN28</f>
        <v>1140221.1181848824</v>
      </c>
      <c r="IO34" s="1572">
        <f>IO33</f>
        <v>219356.02</v>
      </c>
      <c r="IP34" s="1572">
        <f>IP33</f>
        <v>151847.94773515759</v>
      </c>
      <c r="IQ34" s="1621">
        <f>SUM(IN34:IP34)</f>
        <v>1511425.08592004</v>
      </c>
      <c r="IR34" s="1987">
        <f>+I34+M34+Q34+U34+Y34+AC34+AG34+AK34+AO34+AW34+AS34+BA34+BE34+BI34+BM34+BQ34+BV34+CA34+CI34+CM34+CU34+CY34+DC34+DG34+DK34+DO34+DS34+DW34+EA34+EE34+EI34+EM34+EQ34+EU34+CQ34+CE34+EY34+FC34+FG34+FK34+FO34+FS34+FW34+GA34+GE34+GI34+GM34+GQ34+GU34+GY34+HC34+HG34+HK34+HO34+HS34+HW34+IA34+IE34+II34+IM34+IQ34</f>
        <v>253750977.57381773</v>
      </c>
      <c r="IS34" s="1257">
        <f>+IR34</f>
        <v>253750977.57381773</v>
      </c>
      <c r="IT34" s="1258"/>
      <c r="IU34" s="443"/>
    </row>
    <row r="35" spans="1:255">
      <c r="IU35" s="445"/>
    </row>
    <row r="36" spans="1:255">
      <c r="M36" s="418"/>
      <c r="Q36" s="418"/>
      <c r="U36" s="418"/>
      <c r="Y36" s="418"/>
      <c r="AC36" s="418"/>
      <c r="AG36" s="418"/>
      <c r="AK36" s="418"/>
      <c r="AO36" s="418"/>
      <c r="AS36" s="418"/>
      <c r="AW36" s="418"/>
      <c r="BA36" s="418"/>
      <c r="BB36" s="1568"/>
      <c r="BC36" s="1568"/>
      <c r="BD36" s="1568"/>
      <c r="BE36" s="418"/>
      <c r="BI36" s="418"/>
      <c r="BM36" s="418"/>
      <c r="BQ36" s="418"/>
      <c r="BV36" s="418"/>
      <c r="CA36" s="418"/>
      <c r="CE36" s="418"/>
      <c r="CI36" s="418"/>
      <c r="CM36" s="418"/>
      <c r="CQ36" s="418"/>
      <c r="CU36" s="418"/>
      <c r="CY36" s="418"/>
      <c r="DC36" s="418"/>
      <c r="DG36" s="418"/>
      <c r="DK36" s="418"/>
      <c r="DO36" s="418"/>
      <c r="DS36" s="418"/>
      <c r="DW36" s="418"/>
      <c r="EA36" s="418"/>
      <c r="EE36" s="418"/>
      <c r="EI36" s="418"/>
      <c r="EM36" s="418"/>
      <c r="EQ36" s="418"/>
      <c r="EU36" s="418"/>
      <c r="EY36" s="418"/>
      <c r="FC36" s="418"/>
      <c r="FG36" s="418"/>
      <c r="FK36" s="418"/>
      <c r="FO36" s="418"/>
      <c r="FS36" s="418"/>
      <c r="FW36" s="418"/>
      <c r="GA36" s="418"/>
      <c r="GE36" s="418"/>
      <c r="GI36" s="418"/>
      <c r="GM36" s="418"/>
      <c r="GQ36" s="418"/>
      <c r="GU36" s="418"/>
      <c r="GY36" s="418"/>
      <c r="HC36" s="418"/>
      <c r="HG36" s="418"/>
      <c r="HK36" s="418"/>
      <c r="HO36" s="418"/>
      <c r="HS36" s="418"/>
      <c r="HW36" s="418"/>
      <c r="IA36" s="418"/>
      <c r="IB36" s="418"/>
      <c r="IC36" s="418"/>
      <c r="ID36" s="418"/>
      <c r="IE36" s="418"/>
      <c r="IF36" s="418"/>
      <c r="IG36" s="418"/>
      <c r="IH36" s="418"/>
      <c r="II36" s="418"/>
      <c r="IJ36" s="418"/>
      <c r="IK36" s="418"/>
      <c r="IL36" s="418"/>
      <c r="IM36" s="418"/>
      <c r="IN36" s="418"/>
      <c r="IO36" s="418"/>
      <c r="IP36" s="418"/>
      <c r="IQ36" s="418"/>
      <c r="IR36" s="1607"/>
      <c r="IU36" s="445"/>
    </row>
    <row r="37" spans="1:255">
      <c r="I37" s="1607"/>
      <c r="M37" s="1607"/>
      <c r="Q37" s="1607"/>
      <c r="U37" s="1607"/>
      <c r="Y37" s="1607"/>
      <c r="AC37" s="1607"/>
      <c r="AG37" s="1607"/>
      <c r="AK37" s="1607"/>
      <c r="AO37" s="1607"/>
      <c r="AS37" s="1607"/>
      <c r="AW37" s="1607"/>
      <c r="BA37" s="1607"/>
      <c r="BE37" s="1607"/>
      <c r="BI37" s="1607"/>
      <c r="BM37" s="1607"/>
      <c r="BQ37" s="1607"/>
      <c r="BV37" s="1607"/>
      <c r="BZ37" s="1607"/>
      <c r="CA37" s="1607"/>
      <c r="CE37" s="1607"/>
      <c r="CI37" s="1607"/>
      <c r="CM37" s="1607"/>
      <c r="CQ37" s="1607"/>
      <c r="CU37" s="1607"/>
      <c r="CY37" s="1607"/>
      <c r="DC37" s="1607"/>
      <c r="DG37" s="1607"/>
      <c r="DK37" s="1607"/>
      <c r="DO37" s="1607"/>
      <c r="DS37" s="1607"/>
      <c r="DW37" s="1607"/>
      <c r="EA37" s="1607"/>
      <c r="EE37" s="1607"/>
      <c r="EI37" s="1607"/>
      <c r="EM37" s="1607"/>
      <c r="EQ37" s="1607"/>
      <c r="EU37" s="1607"/>
      <c r="EV37" s="1812"/>
      <c r="EW37" s="1812"/>
      <c r="EX37" s="1812"/>
      <c r="EY37" s="1812"/>
      <c r="EZ37" s="1812"/>
      <c r="FA37" s="1812"/>
      <c r="FB37" s="1812"/>
      <c r="FC37" s="1812"/>
      <c r="FD37" s="1812"/>
      <c r="FE37" s="1812"/>
      <c r="FF37" s="1812"/>
      <c r="FG37" s="1812"/>
      <c r="FH37" s="1812"/>
      <c r="FI37" s="1812"/>
      <c r="FJ37" s="1812"/>
      <c r="FK37" s="1812"/>
      <c r="FL37" s="1812"/>
      <c r="FM37" s="1812"/>
      <c r="FN37" s="1812"/>
      <c r="FO37" s="1812"/>
      <c r="FP37" s="1812"/>
      <c r="FQ37" s="1812"/>
      <c r="FR37" s="1812"/>
      <c r="FS37" s="1812"/>
      <c r="FT37" s="1812"/>
      <c r="FU37" s="1812"/>
      <c r="FV37" s="1812"/>
      <c r="FW37" s="1812"/>
      <c r="FX37" s="1812"/>
      <c r="FY37" s="1812"/>
      <c r="FZ37" s="1812"/>
      <c r="GA37" s="1812"/>
      <c r="GB37" s="1812"/>
      <c r="GC37" s="1812"/>
      <c r="GD37" s="1812"/>
      <c r="GE37" s="1812"/>
      <c r="GF37" s="1812"/>
      <c r="GG37" s="1812"/>
      <c r="GH37" s="1812"/>
      <c r="GI37" s="1812"/>
      <c r="GJ37" s="1812"/>
      <c r="GK37" s="1812"/>
      <c r="GL37" s="1812"/>
      <c r="GM37" s="1812"/>
      <c r="GN37" s="1812"/>
      <c r="GO37" s="1812"/>
      <c r="GP37" s="1812"/>
      <c r="GQ37" s="1812"/>
      <c r="GR37" s="1812"/>
      <c r="GS37" s="1812"/>
      <c r="GT37" s="1812"/>
      <c r="GU37" s="1812"/>
      <c r="GV37" s="1812"/>
      <c r="GW37" s="1812"/>
      <c r="GX37" s="1812"/>
      <c r="GY37" s="1812"/>
      <c r="GZ37" s="1812"/>
      <c r="HA37" s="1812"/>
      <c r="HB37" s="1812"/>
      <c r="HC37" s="1812"/>
      <c r="HD37" s="1812"/>
      <c r="HE37" s="1812"/>
      <c r="HF37" s="1812"/>
      <c r="HG37" s="1812"/>
      <c r="HH37" s="1812"/>
      <c r="HI37" s="1812"/>
      <c r="HJ37" s="1812"/>
      <c r="HK37" s="1812"/>
      <c r="HL37" s="1812"/>
      <c r="HM37" s="1812"/>
      <c r="HN37" s="1812"/>
      <c r="HO37" s="1812"/>
      <c r="HP37" s="1812"/>
      <c r="HQ37" s="1812"/>
      <c r="HR37" s="1812"/>
      <c r="HS37" s="1812"/>
      <c r="HT37" s="1812"/>
      <c r="HU37" s="1812"/>
      <c r="HV37" s="1812"/>
      <c r="HW37" s="1812"/>
      <c r="IK37" s="2"/>
      <c r="IL37" s="394"/>
      <c r="IM37" s="2"/>
      <c r="IU37" s="445"/>
    </row>
    <row r="38" spans="1:255">
      <c r="B38" s="244" t="s">
        <v>390</v>
      </c>
      <c r="K38" s="244"/>
      <c r="L38" s="244"/>
      <c r="IK38" s="2"/>
      <c r="IL38" s="394"/>
      <c r="IM38" s="2"/>
      <c r="IS38" s="239"/>
      <c r="IU38" s="445"/>
    </row>
    <row r="39" spans="1:255">
      <c r="B39" s="446" t="s">
        <v>729</v>
      </c>
      <c r="K39" s="399"/>
      <c r="L39" s="399"/>
      <c r="IK39" s="2"/>
      <c r="IL39" s="2"/>
      <c r="IM39" s="2"/>
      <c r="IU39" s="445"/>
    </row>
    <row r="40" spans="1:255">
      <c r="B40" s="446" t="s">
        <v>256</v>
      </c>
      <c r="L40" s="399"/>
      <c r="IK40" s="2"/>
      <c r="IL40" s="1812"/>
      <c r="IM40" s="2"/>
      <c r="IU40" s="445"/>
    </row>
    <row r="41" spans="1:255">
      <c r="B41" s="800" t="s">
        <v>140</v>
      </c>
      <c r="K41" s="399"/>
      <c r="L41" s="399"/>
      <c r="IU41" s="445"/>
    </row>
    <row r="42" spans="1:255">
      <c r="I42"/>
      <c r="J42" s="212"/>
      <c r="K42" s="212"/>
      <c r="L42" s="212"/>
    </row>
    <row r="43" spans="1:255">
      <c r="I43"/>
      <c r="J43" s="445"/>
      <c r="K43" s="1517"/>
      <c r="L43" s="445"/>
    </row>
    <row r="44" spans="1:255">
      <c r="I44"/>
      <c r="J44" s="445"/>
      <c r="K44" s="1517"/>
      <c r="L44" s="445"/>
    </row>
    <row r="45" spans="1:255">
      <c r="I45"/>
      <c r="J45" s="445"/>
      <c r="K45" s="1517"/>
      <c r="L45" s="445"/>
    </row>
    <row r="46" spans="1:255">
      <c r="I46"/>
      <c r="J46" s="445"/>
      <c r="K46" s="1517"/>
    </row>
    <row r="47" spans="1:255">
      <c r="C47" s="212"/>
      <c r="D47"/>
      <c r="I47"/>
      <c r="J47" s="239"/>
      <c r="K47" s="1518"/>
      <c r="O47" s="2"/>
      <c r="P47" s="2"/>
    </row>
    <row r="48" spans="1:255">
      <c r="C48" s="212"/>
      <c r="I48"/>
      <c r="K48" s="1517"/>
      <c r="O48" s="355"/>
      <c r="P48" s="355"/>
    </row>
    <row r="49" spans="3:12">
      <c r="C49" s="212"/>
      <c r="D49" s="998"/>
      <c r="I49"/>
      <c r="J49" s="212"/>
      <c r="K49" s="212"/>
      <c r="L49" s="998"/>
    </row>
    <row r="50" spans="3:12">
      <c r="C50" s="212"/>
      <c r="D50" s="998"/>
      <c r="I50"/>
      <c r="J50" s="239"/>
      <c r="K50" s="1148"/>
      <c r="L50" s="445"/>
    </row>
    <row r="51" spans="3:12">
      <c r="C51" s="212"/>
      <c r="D51" s="998"/>
      <c r="I51"/>
      <c r="J51" s="239"/>
      <c r="K51" s="998"/>
      <c r="L51" s="445"/>
    </row>
    <row r="52" spans="3:12">
      <c r="C52" s="212"/>
      <c r="D52" s="998"/>
      <c r="I52" t="s">
        <v>525</v>
      </c>
      <c r="J52" s="239"/>
      <c r="K52" s="998"/>
      <c r="L52" s="445"/>
    </row>
    <row r="53" spans="3:12">
      <c r="C53" s="212"/>
      <c r="D53" s="998"/>
      <c r="I53"/>
      <c r="L53" s="998"/>
    </row>
    <row r="54" spans="3:12">
      <c r="C54" s="212"/>
      <c r="D54" s="998"/>
    </row>
    <row r="55" spans="3:12">
      <c r="C55" s="225"/>
      <c r="D55" s="998"/>
    </row>
    <row r="56" spans="3:12">
      <c r="C56" s="212"/>
      <c r="D56" s="1249"/>
    </row>
    <row r="57" spans="3:12">
      <c r="C57" s="225"/>
      <c r="D57" s="1249"/>
    </row>
    <row r="58" spans="3:12">
      <c r="C58" s="212"/>
      <c r="D58" s="1249"/>
    </row>
    <row r="59" spans="3:12">
      <c r="C59" s="212"/>
      <c r="D59" s="1249"/>
    </row>
    <row r="268" spans="3:4">
      <c r="C268" s="355"/>
      <c r="D268" s="354"/>
    </row>
    <row r="269" spans="3:4">
      <c r="C269" s="355"/>
      <c r="D269" s="354"/>
    </row>
    <row r="270" spans="3:4">
      <c r="C270" s="355"/>
      <c r="D270" s="354"/>
    </row>
    <row r="271" spans="3:4">
      <c r="C271" s="355"/>
      <c r="D271" s="354"/>
    </row>
    <row r="272" spans="3:4">
      <c r="C272" s="355"/>
      <c r="D272" s="354"/>
    </row>
    <row r="273" spans="3:4">
      <c r="C273" s="355"/>
      <c r="D273" s="354"/>
    </row>
    <row r="274" spans="3:4">
      <c r="C274" s="355"/>
      <c r="D274" s="354"/>
    </row>
    <row r="275" spans="3:4">
      <c r="C275" s="355"/>
      <c r="D275" s="354"/>
    </row>
    <row r="276" spans="3:4">
      <c r="C276" s="355"/>
      <c r="D276" s="354"/>
    </row>
  </sheetData>
  <mergeCells count="122">
    <mergeCell ref="HT22:HW22"/>
    <mergeCell ref="HT23:HW23"/>
    <mergeCell ref="HH22:HK22"/>
    <mergeCell ref="HH23:HK23"/>
    <mergeCell ref="HL22:HO22"/>
    <mergeCell ref="HL23:HO23"/>
    <mergeCell ref="HP22:HS22"/>
    <mergeCell ref="HP23:HS23"/>
    <mergeCell ref="IN22:IQ22"/>
    <mergeCell ref="IN23:IQ23"/>
    <mergeCell ref="IB22:IE22"/>
    <mergeCell ref="IB23:IE23"/>
    <mergeCell ref="IF22:II22"/>
    <mergeCell ref="IF23:II23"/>
    <mergeCell ref="IJ22:IM22"/>
    <mergeCell ref="IJ23:IM23"/>
    <mergeCell ref="EF22:EI22"/>
    <mergeCell ref="EF23:EI23"/>
    <mergeCell ref="EJ22:EM22"/>
    <mergeCell ref="EJ23:EM23"/>
    <mergeCell ref="CB22:CE22"/>
    <mergeCell ref="CB23:CE23"/>
    <mergeCell ref="EN22:EQ22"/>
    <mergeCell ref="EN23:EQ23"/>
    <mergeCell ref="ER22:EU22"/>
    <mergeCell ref="ER23:EU23"/>
    <mergeCell ref="DT22:DW22"/>
    <mergeCell ref="DT23:DW23"/>
    <mergeCell ref="DX22:EA22"/>
    <mergeCell ref="DX23:EA23"/>
    <mergeCell ref="DD22:DG22"/>
    <mergeCell ref="DD23:DG23"/>
    <mergeCell ref="DH22:DK22"/>
    <mergeCell ref="DH23:DK23"/>
    <mergeCell ref="DL22:DO22"/>
    <mergeCell ref="DL23:DO23"/>
    <mergeCell ref="DP22:DS22"/>
    <mergeCell ref="DP23:DS23"/>
    <mergeCell ref="EB22:EE22"/>
    <mergeCell ref="EB23:EE23"/>
    <mergeCell ref="CJ22:CM22"/>
    <mergeCell ref="CJ23:CM23"/>
    <mergeCell ref="CR22:CU22"/>
    <mergeCell ref="CR23:CU23"/>
    <mergeCell ref="CN22:CQ22"/>
    <mergeCell ref="CN23:CQ23"/>
    <mergeCell ref="CV22:CY22"/>
    <mergeCell ref="CV23:CY23"/>
    <mergeCell ref="CZ22:DC22"/>
    <mergeCell ref="CZ23:DC23"/>
    <mergeCell ref="AL22:AO22"/>
    <mergeCell ref="AL23:AO23"/>
    <mergeCell ref="AT22:AW22"/>
    <mergeCell ref="AT23:AW23"/>
    <mergeCell ref="AP22:AS22"/>
    <mergeCell ref="AP23:AS23"/>
    <mergeCell ref="HX22:IA22"/>
    <mergeCell ref="HX23:IA23"/>
    <mergeCell ref="AX22:BA22"/>
    <mergeCell ref="AX23:BA23"/>
    <mergeCell ref="BR22:BV22"/>
    <mergeCell ref="BW22:CA22"/>
    <mergeCell ref="BR23:BV23"/>
    <mergeCell ref="BW23:CA23"/>
    <mergeCell ref="BB22:BE22"/>
    <mergeCell ref="BB23:BE23"/>
    <mergeCell ref="BF22:BI22"/>
    <mergeCell ref="BF23:BI23"/>
    <mergeCell ref="BJ22:BM22"/>
    <mergeCell ref="BN22:BQ22"/>
    <mergeCell ref="BJ23:BM23"/>
    <mergeCell ref="BN23:BQ23"/>
    <mergeCell ref="CF22:CI22"/>
    <mergeCell ref="CF23:CI23"/>
    <mergeCell ref="AH22:AK22"/>
    <mergeCell ref="AH23:AK23"/>
    <mergeCell ref="Z22:AC22"/>
    <mergeCell ref="Z23:AC23"/>
    <mergeCell ref="AD22:AG22"/>
    <mergeCell ref="AD23:AG23"/>
    <mergeCell ref="R22:U22"/>
    <mergeCell ref="V22:Y22"/>
    <mergeCell ref="E22:I22"/>
    <mergeCell ref="J22:M22"/>
    <mergeCell ref="N22:Q22"/>
    <mergeCell ref="V23:Y23"/>
    <mergeCell ref="R23:U23"/>
    <mergeCell ref="E23:I23"/>
    <mergeCell ref="J23:M23"/>
    <mergeCell ref="N23:Q23"/>
    <mergeCell ref="FH22:FK22"/>
    <mergeCell ref="FH23:FK23"/>
    <mergeCell ref="FL22:FO22"/>
    <mergeCell ref="FL23:FO23"/>
    <mergeCell ref="FP22:FS22"/>
    <mergeCell ref="FP23:FS23"/>
    <mergeCell ref="EV22:EY22"/>
    <mergeCell ref="EV23:EY23"/>
    <mergeCell ref="EZ22:FC22"/>
    <mergeCell ref="EZ23:FC23"/>
    <mergeCell ref="FD22:FG22"/>
    <mergeCell ref="FD23:FG23"/>
    <mergeCell ref="GB22:GE22"/>
    <mergeCell ref="GB23:GE23"/>
    <mergeCell ref="GF22:GI22"/>
    <mergeCell ref="GF23:GI23"/>
    <mergeCell ref="GJ22:GM22"/>
    <mergeCell ref="GJ23:GM23"/>
    <mergeCell ref="FT22:FW22"/>
    <mergeCell ref="FT23:FW23"/>
    <mergeCell ref="FX22:GA22"/>
    <mergeCell ref="FX23:GA23"/>
    <mergeCell ref="GZ22:HC22"/>
    <mergeCell ref="GZ23:HC23"/>
    <mergeCell ref="HD22:HG22"/>
    <mergeCell ref="HD23:HG23"/>
    <mergeCell ref="GN22:GQ22"/>
    <mergeCell ref="GN23:GQ23"/>
    <mergeCell ref="GR22:GU22"/>
    <mergeCell ref="GR23:GU23"/>
    <mergeCell ref="GV22:GY22"/>
    <mergeCell ref="GV23:GY23"/>
  </mergeCells>
  <phoneticPr fontId="0" type="noConversion"/>
  <printOptions horizontalCentered="1"/>
  <pageMargins left="0" right="0" top="1.4" bottom="0.75" header="0.4" footer="0.25"/>
  <pageSetup scale="24" orientation="landscape" r:id="rId1"/>
  <headerFooter alignWithMargins="0">
    <oddHeader>&amp;R&amp;14EXHIBIT NO. TRC-203
ATTACHMENT H-18A
Page &amp;P of &amp;N</oddHeader>
  </headerFooter>
  <colBreaks count="13" manualBreakCount="13">
    <brk id="17" max="40" man="1"/>
    <brk id="29" max="40" man="1"/>
    <brk id="45" max="40" man="1"/>
    <brk id="61" max="40" man="1"/>
    <brk id="79" max="40" man="1"/>
    <brk id="95" max="40" man="1"/>
    <brk id="111" max="40" man="1"/>
    <brk id="127" max="40" man="1"/>
    <brk id="147" max="40" man="1"/>
    <brk id="167" max="40" man="1"/>
    <brk id="183" max="40" man="1"/>
    <brk id="203" max="40" man="1"/>
    <brk id="227"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Appendix A</vt:lpstr>
      <vt:lpstr>ATT 1-ADIT</vt:lpstr>
      <vt:lpstr>ATT 2 - Other Taxes</vt:lpstr>
      <vt:lpstr>3 - Revenue Credits</vt:lpstr>
      <vt:lpstr>4 - Incentive ROE Adj</vt:lpstr>
      <vt:lpstr>5 - Cost Support</vt:lpstr>
      <vt:lpstr>5a- Precommercial Costs</vt:lpstr>
      <vt:lpstr>6- Est &amp; Reconcile WS</vt:lpstr>
      <vt:lpstr>7 - Cap Add WS</vt:lpstr>
      <vt:lpstr>Attachment 8, Page 1</vt:lpstr>
      <vt:lpstr>Attachment 8, page 2</vt:lpstr>
      <vt:lpstr>'3 - Revenue Credits'!Print_Area</vt:lpstr>
      <vt:lpstr>'5 - Cost Support'!Print_Area</vt:lpstr>
      <vt:lpstr>'5a- Precommercial Costs'!Print_Area</vt:lpstr>
      <vt:lpstr>'6- Est &amp; Reconcile WS'!Print_Area</vt:lpstr>
      <vt:lpstr>'7 - Cap Add WS'!Print_Area</vt:lpstr>
      <vt:lpstr>'Appendix A'!Print_Area</vt:lpstr>
      <vt:lpstr>'ATT 1-ADIT'!Print_Area</vt:lpstr>
      <vt:lpstr>'ATT 2 - Other Taxes'!Print_Area</vt:lpstr>
      <vt:lpstr>'Attachment 8, Page 1'!Print_Area</vt:lpstr>
      <vt:lpstr>'Attachment 8, page 2'!Print_Area</vt:lpstr>
      <vt:lpstr>'5 - Cost Support'!Print_Titles</vt:lpstr>
      <vt:lpstr>'7 - Cap Add WS'!Print_Titles</vt:lpstr>
      <vt:lpstr>'Attachment 8, page 2'!Print_Titles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Marx, Justin P</dc:creator>
  <cp:keywords> </cp:keywords>
  <dc:description> </dc:description>
  <cp:lastModifiedBy>Petruska, Alex M</cp:lastModifiedBy>
  <cp:lastPrinted>2020-05-08T14:37:38Z</cp:lastPrinted>
  <dcterms:created xsi:type="dcterms:W3CDTF">2008-03-10T21:12:02Z</dcterms:created>
  <dcterms:modified xsi:type="dcterms:W3CDTF">2020-05-15T13:48:50Z</dcterms:modified>
  <cp:category>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