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tabRatio="862" activeTab="0"/>
  </bookViews>
  <sheets>
    <sheet name="Appendix A" sheetId="1" r:id="rId1"/>
    <sheet name="1 - ADIT" sheetId="2" r:id="rId2"/>
    <sheet name="2 - Other Tax" sheetId="3" r:id="rId3"/>
    <sheet name="3 - Revenue Credits" sheetId="4" r:id="rId4"/>
    <sheet name="4 - 100 Basis Pt ROE" sheetId="5" r:id="rId5"/>
    <sheet name="5 - Cost Support 1" sheetId="6" r:id="rId6"/>
    <sheet name="6- Est &amp; Reconcile WS" sheetId="7" r:id="rId7"/>
    <sheet name="7 - Cap Add WS" sheetId="8" r:id="rId8"/>
    <sheet name="8 - Depreciation Exp" sheetId="9" r:id="rId9"/>
    <sheet name="9 - EDIT WS" sheetId="10" r:id="rId10"/>
    <sheet name="9.1 - EDIT Classification" sheetId="11" r:id="rId11"/>
    <sheet name="9.2 - EDIT TCJA 2017" sheetId="12" r:id="rId12"/>
  </sheets>
  <definedNames>
    <definedName name="_xlnm.Print_Area" localSheetId="1">'1 - ADIT'!$A$1:$J$119</definedName>
    <definedName name="_xlnm.Print_Area" localSheetId="2">'2 - Other Tax'!$A$1:$G$52</definedName>
    <definedName name="_xlnm.Print_Area" localSheetId="3">'3 - Revenue Credits'!$A$1:$D$64</definedName>
    <definedName name="_xlnm.Print_Area" localSheetId="4">'4 - 100 Basis Pt ROE'!$A$1:$G$42</definedName>
    <definedName name="_xlnm.Print_Area" localSheetId="5">'5 - Cost Support 1'!$A$1:$M$340</definedName>
    <definedName name="_xlnm.Print_Area" localSheetId="6">'6- Est &amp; Reconcile WS'!$A$1:$AD$229</definedName>
    <definedName name="_xlnm.Print_Area" localSheetId="7">'7 - Cap Add WS'!$A$1:$AP$72</definedName>
    <definedName name="_xlnm.Print_Area" localSheetId="8">'8 - Depreciation Exp'!$A$1:$D$27</definedName>
    <definedName name="_xlnm.Print_Area" localSheetId="9">'9 - EDIT WS'!$A$1:$J$24</definedName>
    <definedName name="_xlnm.Print_Area" localSheetId="10">'9.1 - EDIT Classification'!$A$1:$H$22</definedName>
    <definedName name="_xlnm.Print_Area" localSheetId="11">'9.2 - EDIT TCJA 2017'!$A$1:$H$104</definedName>
    <definedName name="_xlnm.Print_Area" localSheetId="0">'Appendix A'!$A$1:$G$305</definedName>
    <definedName name="_xlnm.Print_Titles" localSheetId="7">'7 - Cap Add WS'!$A:$C,'7 - Cap Add WS'!$1:$17</definedName>
    <definedName name="_xlnm.Print_Titles" localSheetId="11">'9.2 - EDIT TCJA 2017'!$1:$7</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s>
  <calcPr fullCalcOnLoad="1"/>
</workbook>
</file>

<file path=xl/sharedStrings.xml><?xml version="1.0" encoding="utf-8"?>
<sst xmlns="http://schemas.openxmlformats.org/spreadsheetml/2006/main" count="2303" uniqueCount="1112">
  <si>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</si>
  <si>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</si>
  <si>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</si>
  <si>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</si>
  <si>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</si>
  <si>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</si>
  <si>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</si>
  <si>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</si>
  <si>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</si>
  <si>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</si>
  <si>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</si>
  <si>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</si>
  <si>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</si>
  <si>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</si>
  <si>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</si>
  <si>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</si>
  <si>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</si>
  <si>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</si>
  <si>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</si>
  <si>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</si>
  <si>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</si>
  <si>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</si>
  <si>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</si>
  <si>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</si>
  <si>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</si>
  <si>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</si>
  <si>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</si>
  <si>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</si>
  <si>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</si>
  <si>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</si>
  <si>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</si>
  <si>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</si>
  <si>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</si>
  <si>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</si>
  <si>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</si>
  <si>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</si>
  <si>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</si>
  <si>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</si>
  <si>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</si>
  <si>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</si>
  <si>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</si>
  <si>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</si>
  <si>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</si>
  <si>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</si>
  <si>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</si>
  <si>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</si>
  <si>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</si>
  <si>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</si>
  <si>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</si>
  <si>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</si>
  <si>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</si>
  <si>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</si>
  <si>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</si>
  <si>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</si>
  <si>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</si>
  <si>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</si>
  <si>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</si>
  <si>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</si>
  <si>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</si>
  <si>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</si>
  <si>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</si>
  <si>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</si>
  <si>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</si>
  <si>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</si>
  <si>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</si>
  <si>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</si>
  <si>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</si>
  <si>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</si>
  <si>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</si>
  <si>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</si>
  <si>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</si>
  <si>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</si>
  <si>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</si>
  <si>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</si>
  <si>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</si>
  <si>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</si>
  <si>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</si>
  <si>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</si>
  <si>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</si>
  <si>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</si>
  <si>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</si>
  <si>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</si>
  <si>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</si>
  <si>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</si>
  <si>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</si>
  <si>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</si>
  <si>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</si>
  <si>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</si>
  <si>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</si>
  <si>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</si>
  <si>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</si>
  <si>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</si>
  <si>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</si>
  <si>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</si>
  <si>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</si>
  <si>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</si>
  <si>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</si>
  <si>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</si>
  <si>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F, Total*</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</si>
  <si>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</si>
  <si>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</si>
  <si>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</si>
  <si>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</si>
  <si>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</si>
  <si>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</si>
  <si>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</si>
  <si>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</si>
  <si>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</si>
  <si>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Attachment 6, Cols H + J + K</t>
  </si>
  <si>
    <t>Allegheny S5 PIS</t>
  </si>
  <si>
    <t>Allegheny S5</t>
  </si>
  <si>
    <t>Attachment 6, Col.  O + Col. S + Col. W</t>
  </si>
  <si>
    <t>Attachment 6, Col I</t>
  </si>
  <si>
    <t>Attachment 6, Col. N + Col. R + Col. V</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</si>
  <si>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</si>
  <si>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</si>
  <si>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</si>
  <si>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</si>
  <si>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</si>
  <si>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</si>
  <si>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</si>
  <si>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</si>
  <si>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</si>
  <si>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</si>
  <si>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</si>
  <si>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Total Transmission Depreciation Expense</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</si>
  <si>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</si>
  <si>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</si>
  <si>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</si>
  <si>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</si>
  <si>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</si>
  <si>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</si>
  <si>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</si>
  <si>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</si>
  <si>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</si>
  <si>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</si>
  <si>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</si>
  <si>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</si>
  <si>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</si>
  <si>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</si>
  <si>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</si>
  <si>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</si>
  <si>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</si>
  <si>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</si>
  <si>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</si>
  <si>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</si>
  <si>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</si>
  <si>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</si>
  <si>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Beginning = 13 month Plant CWIP or Incentive Plant balance</t>
  </si>
  <si>
    <t>Deprec = 13 month avg Accumulated Depreciation</t>
  </si>
  <si>
    <t>Total = Sum of Revenue for Project CWIP and DTEP</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</si>
  <si>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</si>
  <si>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</si>
  <si>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</si>
  <si>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</si>
  <si>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</si>
  <si>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</si>
  <si>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</si>
  <si>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</si>
  <si>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</si>
  <si>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TO estimates all transmission Cap Adds, Retirements, CWIP and associated depreciation for Year 3 based on Months expected to be in service and monthly CWIP balances in Year 3.</t>
  </si>
  <si>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</si>
  <si>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</si>
  <si>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</si>
  <si>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</si>
  <si>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</si>
  <si>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</si>
  <si>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</si>
  <si>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</si>
  <si>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</si>
  <si>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</si>
  <si>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</si>
  <si>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</si>
  <si>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</si>
  <si>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</si>
  <si>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</si>
  <si>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</si>
  <si>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</si>
  <si>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</si>
  <si>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</si>
  <si>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</si>
  <si>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</si>
  <si>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</si>
  <si>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</si>
  <si>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</si>
  <si>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</si>
  <si>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</si>
  <si>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</si>
  <si>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</si>
  <si>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</si>
  <si>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</si>
  <si>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</si>
  <si>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</si>
  <si>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</si>
  <si>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</si>
  <si>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</si>
  <si>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</si>
  <si>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</si>
  <si>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</si>
  <si>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</si>
  <si>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</si>
  <si>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</si>
  <si>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</si>
  <si>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</si>
  <si>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</si>
  <si>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</si>
  <si>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</si>
  <si>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</si>
  <si>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</si>
  <si>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</si>
  <si>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</si>
  <si>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</si>
  <si>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</si>
  <si>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</si>
  <si>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</si>
  <si>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</si>
  <si>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</si>
  <si>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 xml:space="preserve">  This is the increase in PBOP expense permitted in the current year.</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</si>
  <si>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</si>
  <si>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</si>
  <si>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</si>
  <si>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</si>
  <si>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</si>
  <si>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</si>
  <si>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</si>
  <si>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</si>
  <si>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</si>
  <si>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computed in true-up file</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</si>
  <si>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</si>
  <si>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Total Excluded</t>
  </si>
  <si>
    <t>Legal reserve expensed for books, tax deduction when paid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</si>
  <si>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</si>
  <si>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</si>
  <si>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</si>
  <si>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 For True-up use amounts in Step 6  of Attachment 6</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</si>
  <si>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</si>
  <si>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</si>
  <si>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</si>
  <si>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</si>
  <si>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</si>
  <si>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</si>
  <si>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</si>
  <si>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</si>
  <si>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</si>
  <si>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</si>
  <si>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</si>
  <si>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</si>
  <si>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</si>
  <si>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</si>
  <si>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</si>
  <si>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</si>
  <si>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</si>
  <si>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</si>
  <si>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</si>
  <si>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</si>
  <si>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</si>
  <si>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</si>
  <si>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</si>
  <si>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</si>
  <si>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</si>
  <si>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</si>
  <si>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</si>
  <si>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 switch</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</si>
  <si>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</si>
  <si>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</si>
  <si>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</si>
  <si>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</si>
  <si>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</si>
  <si>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</si>
  <si>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</si>
  <si>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</si>
  <si>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</si>
  <si>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</si>
  <si>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</si>
  <si>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</si>
  <si>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</si>
  <si>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</si>
  <si>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Less line 20</t>
  </si>
  <si>
    <t>Revenues associated with lines 15 thru 20 are to be included in lines 1-10 and total of those revenues entered here</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</si>
  <si>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</si>
  <si>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</si>
  <si>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</si>
  <si>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</si>
  <si>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</si>
  <si>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</si>
  <si>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</si>
  <si>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</si>
  <si>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</si>
  <si>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</si>
  <si>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</si>
  <si>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</si>
  <si>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</si>
  <si>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</si>
  <si>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</si>
  <si>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</si>
  <si>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</si>
  <si>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</si>
  <si>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</si>
  <si>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</si>
  <si>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</si>
  <si>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</si>
  <si>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</si>
  <si>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</si>
  <si>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</si>
  <si>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</si>
  <si>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</si>
  <si>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</si>
  <si>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</si>
  <si>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</si>
  <si>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</si>
  <si>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</si>
  <si>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</si>
  <si>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</si>
  <si>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</si>
  <si>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</si>
  <si>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</si>
  <si>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</si>
  <si>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</si>
  <si>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</si>
  <si>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</si>
  <si>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</si>
  <si>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</si>
  <si>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</si>
  <si>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</si>
  <si>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</si>
  <si>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</si>
  <si>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</si>
  <si>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</si>
  <si>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</si>
  <si>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</si>
  <si>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</si>
  <si>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</si>
  <si>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</si>
  <si>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</si>
  <si>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</si>
  <si>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</si>
  <si>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</si>
  <si>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</si>
  <si>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</si>
  <si>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</si>
  <si>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</si>
  <si>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</si>
  <si>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</si>
  <si>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</si>
  <si>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</si>
  <si>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</si>
  <si>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</si>
  <si>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</si>
  <si>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</si>
  <si>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</si>
  <si>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</si>
  <si>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</si>
  <si>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</si>
  <si>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</si>
  <si>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</si>
  <si>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</si>
  <si>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</si>
  <si>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</si>
  <si>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</si>
  <si>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</si>
  <si>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</si>
  <si>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</si>
  <si>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</si>
  <si>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</si>
  <si>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</si>
  <si>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</si>
  <si>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</si>
  <si>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</si>
  <si>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</si>
  <si>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</si>
  <si>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</si>
  <si>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</si>
  <si>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</si>
  <si>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</si>
  <si>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</si>
  <si>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Detail of actual Cap Adds, Retirements, CWIP and associated depreciation for Year 2 based on Months expected to be in service and monthly CWIP balances in Year 2.</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</si>
  <si>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</si>
  <si>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</si>
  <si>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</si>
  <si>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</si>
  <si>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</si>
  <si>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</si>
  <si>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</si>
  <si>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</si>
  <si>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</si>
  <si>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</si>
  <si>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</si>
  <si>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</si>
  <si>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</si>
  <si>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</si>
  <si>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</si>
  <si>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</si>
  <si>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</si>
  <si>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</si>
  <si>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</si>
  <si>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</si>
  <si>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</si>
  <si>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</si>
  <si>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</si>
  <si>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</si>
  <si>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</si>
  <si>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</si>
  <si>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</si>
  <si>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</si>
  <si>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</si>
  <si>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</si>
  <si>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</si>
  <si>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</si>
  <si>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</si>
  <si>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</si>
  <si>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</si>
  <si>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</si>
  <si>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</si>
  <si>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</si>
  <si>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</si>
  <si>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</si>
  <si>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</si>
  <si>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</si>
  <si>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</si>
  <si>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</si>
  <si>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</si>
  <si>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</si>
  <si>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</si>
  <si>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</si>
  <si>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</si>
  <si>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</si>
  <si>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</si>
  <si>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</si>
  <si>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</si>
  <si>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</si>
  <si>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</si>
  <si>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</si>
  <si>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</si>
  <si>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</si>
  <si>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</si>
  <si>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</si>
  <si>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</si>
  <si>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</si>
  <si>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</si>
  <si>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</si>
  <si>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</si>
  <si>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</si>
  <si>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</si>
  <si>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</si>
  <si>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</si>
  <si>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</si>
  <si>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</si>
  <si>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</si>
  <si>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</si>
  <si>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</si>
  <si>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</si>
  <si>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</si>
  <si>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</si>
  <si>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</si>
  <si>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</si>
  <si>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</si>
  <si>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</si>
  <si>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</si>
  <si>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</si>
  <si>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</si>
  <si>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</si>
  <si>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</si>
  <si>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</si>
  <si>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</si>
  <si>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</si>
  <si>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</si>
  <si>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</si>
  <si>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</si>
  <si>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</si>
  <si>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</si>
  <si>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</si>
  <si>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</si>
  <si>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</si>
  <si>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</si>
  <si>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</si>
  <si>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</si>
  <si>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PA Fuel Use</t>
  </si>
  <si>
    <t>p214</t>
  </si>
  <si>
    <t>p219.25.c</t>
  </si>
  <si>
    <t>p207.104.g</t>
  </si>
  <si>
    <t>Include on line 36, the 13 monthly average CWIP balance on Attachment 6 for FERC authorized incentive transmission projects shown on Attachment 6.</t>
  </si>
  <si>
    <t>Cost of Long Term Debt</t>
  </si>
  <si>
    <t>Beaver County Industrial Development:</t>
  </si>
  <si>
    <r>
      <t xml:space="preserve">Enter the result at line 5 on Appendix A, line 62 </t>
    </r>
    <r>
      <rPr>
        <u val="single"/>
        <sz val="10"/>
        <rFont val="Arial"/>
        <family val="2"/>
      </rPr>
      <t>ONLY</t>
    </r>
    <r>
      <rPr>
        <sz val="10"/>
        <rFont val="Arial"/>
        <family val="2"/>
      </rPr>
      <t xml:space="preserve"> if it is positive; otherwise enter zero</t>
    </r>
  </si>
  <si>
    <t>Authorities Pollution Control Revenue Bonds:</t>
  </si>
  <si>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</si>
  <si>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</si>
  <si>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</si>
  <si>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</si>
  <si>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</si>
  <si>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</si>
  <si>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</si>
  <si>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</si>
  <si>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</si>
  <si>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</si>
  <si>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</si>
  <si>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</si>
  <si>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</si>
  <si>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</si>
  <si>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</si>
  <si>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</si>
  <si>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</si>
  <si>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</si>
  <si>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</si>
  <si>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</si>
  <si>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</si>
  <si>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</si>
  <si>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</si>
  <si>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</si>
  <si>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</si>
  <si>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</si>
  <si>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</si>
  <si>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</si>
  <si>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</si>
  <si>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</si>
  <si>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</si>
  <si>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</si>
  <si>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</si>
  <si>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</si>
  <si>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</si>
  <si>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</si>
  <si>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</si>
  <si>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</si>
  <si>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</si>
  <si>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</si>
  <si>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</si>
  <si>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</si>
  <si>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</si>
  <si>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</si>
  <si>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</si>
  <si>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</si>
  <si>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</si>
  <si>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(D)</t>
  </si>
  <si>
    <t>Reserve for Healthcare</t>
  </si>
  <si>
    <t>Accrued Sales and Use Tax</t>
  </si>
  <si>
    <t>Provision for injuries and damages</t>
  </si>
  <si>
    <t>Legal Accrual</t>
  </si>
  <si>
    <t>Reserve for Compensated Absences</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</si>
  <si>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</si>
  <si>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</si>
  <si>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</si>
  <si>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</si>
  <si>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</si>
  <si>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</si>
  <si>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</si>
  <si>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</si>
  <si>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</si>
  <si>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</si>
  <si>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</si>
  <si>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</si>
  <si>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</si>
  <si>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</si>
  <si>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</si>
  <si>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</si>
  <si>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</si>
  <si>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</si>
  <si>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Col (i)</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</si>
  <si>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</si>
  <si>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</si>
  <si>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</si>
  <si>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</si>
  <si>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</si>
  <si>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</si>
  <si>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</si>
  <si>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</si>
  <si>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</si>
  <si>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</si>
  <si>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</si>
  <si>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</si>
  <si>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</si>
  <si>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</si>
  <si>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Subtotal - p275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</si>
  <si>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</si>
  <si>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</si>
  <si>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</si>
  <si>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</si>
  <si>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</si>
  <si>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</si>
  <si>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</si>
  <si>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</si>
  <si>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</si>
  <si>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</si>
  <si>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</si>
  <si>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</si>
  <si>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</si>
  <si>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</si>
  <si>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</si>
  <si>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</si>
  <si>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</si>
  <si>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</si>
  <si>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</si>
  <si>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</si>
  <si>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</si>
  <si>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</si>
  <si>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</si>
  <si>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</si>
  <si>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</si>
  <si>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</si>
  <si>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</si>
  <si>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</si>
  <si>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</si>
  <si>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</si>
  <si>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</si>
  <si>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</si>
  <si>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</si>
  <si>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</si>
  <si>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</si>
  <si>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</si>
  <si>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</si>
  <si>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</si>
  <si>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</si>
  <si>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</si>
  <si>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</si>
  <si>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</si>
  <si>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</si>
  <si>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</si>
  <si>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</si>
  <si>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</si>
  <si>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</si>
  <si>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</si>
  <si>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</si>
  <si>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</si>
  <si>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</si>
  <si>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</si>
  <si>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</si>
  <si>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</si>
  <si>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</si>
  <si>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</si>
  <si>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</si>
  <si>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</si>
  <si>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</si>
  <si>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</si>
  <si>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</si>
  <si>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</si>
  <si>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</si>
  <si>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</si>
  <si>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</si>
  <si>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</si>
  <si>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</si>
  <si>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</si>
  <si>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</si>
  <si>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</si>
  <si>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</si>
  <si>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</si>
  <si>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</si>
  <si>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</si>
  <si>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</si>
  <si>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</si>
  <si>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</si>
  <si>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</si>
  <si>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</si>
  <si>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</si>
  <si>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</si>
  <si>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</si>
  <si>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</si>
  <si>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</si>
  <si>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</si>
  <si>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</si>
  <si>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</si>
  <si>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</si>
  <si>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</si>
  <si>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</si>
  <si>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</si>
  <si>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</si>
  <si>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</si>
  <si>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</si>
  <si>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</si>
  <si>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</si>
  <si>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</si>
  <si>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All expenses (other than income taxes) associated with revenues in line 15 that are included in FERC accounts recovered through the formula times the allocator used to functionalize the amounts in the FERC account to the transmission service at issue.</t>
  </si>
  <si>
    <t>Income Taxes associated with revenues in line 15</t>
  </si>
  <si>
    <t>Line 17 plus line 18</t>
  </si>
  <si>
    <t>One half margin  (line 15 - line 16)/2</t>
  </si>
  <si>
    <t>Line 15 less line 19</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</si>
  <si>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</si>
  <si>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</si>
  <si>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</si>
  <si>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</si>
  <si>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</si>
  <si>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</si>
  <si>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</si>
  <si>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</si>
  <si>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</si>
  <si>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</si>
  <si>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Must run App A to get this # (with 13 mo. avg cap adds, CWIP, depreciation for Year 3 cap adds)</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</si>
  <si>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</si>
  <si>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</si>
  <si>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</si>
  <si>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</si>
  <si>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</si>
  <si>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</si>
  <si>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</si>
  <si>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</si>
  <si>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</si>
  <si>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IRS Cycle Adjustments and Reserve for Obsolescence.</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</si>
  <si>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</si>
  <si>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</si>
  <si>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</si>
  <si>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</si>
  <si>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</si>
  <si>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</si>
  <si>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</si>
  <si>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</si>
  <si>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</si>
  <si>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1999 Series B due 2020 Variable Interest Rates</t>
  </si>
  <si>
    <t>1999 Series C due 2033 Variable Interest Rates</t>
  </si>
  <si>
    <t>1999 Series D due 2029 Variable Interest Rates</t>
  </si>
  <si>
    <t>1999 Series E due 2031 Variable Interest Rates</t>
  </si>
  <si>
    <t>1999 Series A due 2031 Variable Interest Rates</t>
  </si>
  <si>
    <t>1999 Series B due 2031 Variable Interest Rates</t>
  </si>
  <si>
    <t>1999 Series B due 2027 Variable Interest Rates</t>
  </si>
  <si>
    <t>1999 Series C due 2031 Variable Interest Rates</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</si>
  <si>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</si>
  <si>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</si>
  <si>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</si>
  <si>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</si>
  <si>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</si>
  <si>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</si>
  <si>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</si>
  <si>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</si>
  <si>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</si>
  <si>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</si>
  <si>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</si>
  <si>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</si>
  <si>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</si>
  <si>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</si>
  <si>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</si>
  <si>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</si>
  <si>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</si>
  <si>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</si>
  <si>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</si>
  <si>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</si>
  <si>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</si>
  <si>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</si>
  <si>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</si>
  <si>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</si>
  <si>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</si>
  <si>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</si>
  <si>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</si>
  <si>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</si>
  <si>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</si>
  <si>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</si>
  <si>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</si>
  <si>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</si>
  <si>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</si>
  <si>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</si>
  <si>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</si>
  <si>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</si>
  <si>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</si>
  <si>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</si>
  <si>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</si>
  <si>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</si>
  <si>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</si>
  <si>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</si>
  <si>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</si>
  <si>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</si>
  <si>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</si>
  <si>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</si>
  <si>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</si>
  <si>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</si>
  <si>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</si>
  <si>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</si>
  <si>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</si>
  <si>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</si>
  <si>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</si>
  <si>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</si>
  <si>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</si>
  <si>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</si>
  <si>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</si>
  <si>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</si>
  <si>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</si>
  <si>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</si>
  <si>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</si>
  <si>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</si>
  <si>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</si>
  <si>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</si>
  <si>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</si>
  <si>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</si>
  <si>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</si>
  <si>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CWIP</t>
  </si>
  <si>
    <t>(L)</t>
  </si>
  <si>
    <t>(N)</t>
  </si>
  <si>
    <t>(P)</t>
  </si>
  <si>
    <t>(T)</t>
  </si>
  <si>
    <t>Total Brady</t>
  </si>
  <si>
    <r>
      <t>Estimate - Attachment 6, Step 2,</t>
    </r>
    <r>
      <rPr>
        <sz val="10"/>
        <color indexed="10"/>
        <rFont val="Arial Narrow"/>
        <family val="2"/>
      </rPr>
      <t xml:space="preserve"> Column D</t>
    </r>
    <r>
      <rPr>
        <sz val="10"/>
        <rFont val="Arial Narrow"/>
        <family val="2"/>
      </rPr>
      <t>, Total*</t>
    </r>
  </si>
  <si>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</si>
  <si>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</si>
  <si>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</si>
  <si>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</si>
  <si>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</si>
  <si>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</si>
  <si>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</si>
  <si>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</si>
  <si>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Amoritization Loss on Reacquisition</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</si>
  <si>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</si>
  <si>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</si>
  <si>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</si>
  <si>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</si>
  <si>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</si>
  <si>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</si>
  <si>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</si>
  <si>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cell C56</t>
  </si>
  <si>
    <t>= cell C58 + C59 + C60</t>
  </si>
  <si>
    <t>= cell C57</t>
  </si>
  <si>
    <t>= Sum (D10:D28) + D3</t>
  </si>
  <si>
    <t>= Sum +D19+D20</t>
  </si>
  <si>
    <t xml:space="preserve">End of Year </t>
  </si>
  <si>
    <t>Current year vacation pay accrual</t>
  </si>
  <si>
    <t>Microwave tower wireless rentals</t>
  </si>
  <si>
    <t>= cell D50</t>
  </si>
  <si>
    <t>= cell D53</t>
  </si>
  <si>
    <t>= cell D54</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</si>
  <si>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</si>
  <si>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</si>
  <si>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</si>
  <si>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</si>
  <si>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</si>
  <si>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</si>
  <si>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</si>
  <si>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</si>
  <si>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</si>
  <si>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Include this reduction in the 2015 "estimate" calculations to refund to customers with interest from 6/1/15 to 5/31/16</t>
  </si>
  <si>
    <t>This refund amount is included in cell F126</t>
  </si>
  <si>
    <t>&lt;---with the logic in this cell</t>
  </si>
  <si>
    <t>&lt;---true-up revenue requirement for 2014</t>
  </si>
  <si>
    <t>Per 4/29/15 email from Krysia Kubiak, the FERC auditors agreed with the refund calculations updated and provided 4/14/15.</t>
  </si>
  <si>
    <t>The refund amount agreed to is:</t>
  </si>
  <si>
    <t>True-up amount for 2014 with interest</t>
  </si>
  <si>
    <t>True-up amount for 2014 and audit refund with interest</t>
  </si>
  <si>
    <t>Audit refund amount with interest</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</si>
  <si>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</si>
  <si>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</si>
  <si>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</si>
  <si>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</si>
  <si>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</si>
  <si>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</si>
  <si>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</si>
  <si>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r>
      <rPr>
        <sz val="10"/>
        <rFont val="Arial"/>
        <family val="0"/>
      </rPr>
      <t>5.12%</t>
    </r>
    <r>
      <rPr>
        <sz val="10"/>
        <rFont val="Arial"/>
        <family val="0"/>
      </rPr>
      <t xml:space="preserve"> 1st  Mort Bond due 02/04/2054</t>
    </r>
  </si>
  <si>
    <t>NOTES TO ADDRESS FERC AUDIT REFUND ADJUSTMENT - REMOVED 4/13/2016</t>
  </si>
  <si>
    <t>Other electric revenues</t>
  </si>
  <si>
    <t>Affordable Housing Tax Recapture Bond</t>
  </si>
  <si>
    <t>Property Insurance</t>
  </si>
  <si>
    <t>3.82% 1st Mort Bond due 10/03/2047</t>
  </si>
  <si>
    <t>(Q)</t>
  </si>
  <si>
    <t>(R)</t>
  </si>
  <si>
    <t>(S)</t>
  </si>
  <si>
    <t>(U)</t>
  </si>
  <si>
    <t>Beaver Valley Deactivation Project CWIP</t>
  </si>
  <si>
    <t>Beaver Valley Deactivation Project PIS</t>
  </si>
  <si>
    <t>Beaver Valley</t>
  </si>
  <si>
    <t>(Y)</t>
  </si>
  <si>
    <t>Estimate - Attachment 6, Step 2, Column K, Total*</t>
  </si>
  <si>
    <t>Estimate - Attachment 6, Step 2, Column T Avg mos*</t>
  </si>
  <si>
    <t>3.89% 1st Mort Bond due 02/01/2048</t>
  </si>
  <si>
    <t>4.04% 1st Mort Bond due 02/01/2058</t>
  </si>
  <si>
    <t>(V)</t>
  </si>
  <si>
    <t>(W)</t>
  </si>
  <si>
    <t>(X)</t>
  </si>
  <si>
    <t>(Z)</t>
  </si>
  <si>
    <t>13 month avg of new plant additions = Col Q + Col S + Col T + Col V + Col W + Col Y</t>
  </si>
  <si>
    <t>13 month avg of current year changes to CWIP = Col R + Col U + Col X + Col Z</t>
  </si>
  <si>
    <t>End of Year balance new plant additions = Col A + Col D + Col F + Col I + Col K+ Col N</t>
  </si>
  <si>
    <t>13 month avg of current year changes to CWIP = Col R + Col U + Col X+ Col Z</t>
  </si>
  <si>
    <t>Estimate - Attachment 6, Step 2, Column X, Avg mos*</t>
  </si>
  <si>
    <t>Estimate - Attachment 6, Step 2, Column Z, Avg mos*</t>
  </si>
  <si>
    <t>Estimate - Attachment 6, Step 2, Column N, Total*</t>
  </si>
  <si>
    <t>Estimate - Attachment 6, Step 2, Column Y Avg mos*</t>
  </si>
  <si>
    <t>Dravosburg-Elrama</t>
  </si>
  <si>
    <t>Dravosburg-Elrama Project CWIP</t>
  </si>
  <si>
    <t>Dravosburg-Elrama Project PIS</t>
  </si>
  <si>
    <t>Other Project</t>
  </si>
  <si>
    <t>Retirements</t>
  </si>
  <si>
    <t>CWIP</t>
  </si>
  <si>
    <t>Project X</t>
  </si>
  <si>
    <t>Brady</t>
  </si>
  <si>
    <t xml:space="preserve">Brady </t>
  </si>
  <si>
    <t xml:space="preserve">Beaver Valley </t>
  </si>
  <si>
    <t>Drovosburg-Elrama</t>
  </si>
  <si>
    <t xml:space="preserve">Project X </t>
  </si>
  <si>
    <t xml:space="preserve">Dravosburg-Elrama </t>
  </si>
  <si>
    <t>Other Income Tax Adjustments</t>
  </si>
  <si>
    <t>132a</t>
  </si>
  <si>
    <t>R</t>
  </si>
  <si>
    <t>21a</t>
  </si>
  <si>
    <t>Tax Gross-up</t>
  </si>
  <si>
    <t>ATRR</t>
  </si>
  <si>
    <t>Percentage</t>
  </si>
  <si>
    <t>Impact</t>
  </si>
  <si>
    <t>x</t>
  </si>
  <si>
    <t>=</t>
  </si>
  <si>
    <t>Federal Income Tax Rate</t>
  </si>
  <si>
    <t>State Income Tax Rate or Composite</t>
  </si>
  <si>
    <t>Federal Income Tax Deductible for State Purposes</t>
  </si>
  <si>
    <t>T</t>
  </si>
  <si>
    <t>T / (1-T)</t>
  </si>
  <si>
    <t>Tax Gross-up Percentage (1/(1-T))</t>
  </si>
  <si>
    <t>ARAM</t>
  </si>
  <si>
    <t>3 Years</t>
  </si>
  <si>
    <t>Jurisdiction: Federal</t>
  </si>
  <si>
    <t>Fed 263A 481a</t>
  </si>
  <si>
    <t>T-Fed 263A</t>
  </si>
  <si>
    <t>T-Fed 263A 481a</t>
  </si>
  <si>
    <t>T-Fed AFUDC Debt</t>
  </si>
  <si>
    <t>T-Fed Cap OPEB Exp</t>
  </si>
  <si>
    <t>T-Fed Cap OPEB Payment</t>
  </si>
  <si>
    <t>T-Fed Cap Pension Exp</t>
  </si>
  <si>
    <t>T-Fed Cap Pension Payment</t>
  </si>
  <si>
    <t>T-Fed Capitalized Interest</t>
  </si>
  <si>
    <t>T-Fed CIAC</t>
  </si>
  <si>
    <t>T-Fed Method/Life</t>
  </si>
  <si>
    <t>T-Fed Net Salv Amort Pre-2018</t>
  </si>
  <si>
    <t>T-Fed Net Salv Amort. 2018+</t>
  </si>
  <si>
    <t>T-Fed Other Book</t>
  </si>
  <si>
    <t>T-Fed Other Tax</t>
  </si>
  <si>
    <t>T-Fed Repair Dis Loss 481a</t>
  </si>
  <si>
    <t>T-Fed Tax UoP 481a</t>
  </si>
  <si>
    <t>T-Fed Tax UoP Repairs</t>
  </si>
  <si>
    <t>GT-Fed 263A</t>
  </si>
  <si>
    <t>GT-Fed AFUDC Debt</t>
  </si>
  <si>
    <t>GT-Fed Cap OPEB Exp</t>
  </si>
  <si>
    <t>GT-Fed Cap OPEB Payment</t>
  </si>
  <si>
    <t>GT-Fed Cap Pension Exp</t>
  </si>
  <si>
    <t>GT-Fed Cap Pension Payment</t>
  </si>
  <si>
    <t>GT-Fed Capitalized Interest</t>
  </si>
  <si>
    <t>GT-Fed Method/Life</t>
  </si>
  <si>
    <t>GT-Fed Net Salv Amort 2018+</t>
  </si>
  <si>
    <t>GT-Fed Net Salv Amort Pre-2018</t>
  </si>
  <si>
    <t>GT-Fed Other Book</t>
  </si>
  <si>
    <t>GT-Fed Other Tax</t>
  </si>
  <si>
    <t>GT-Fed Tax UoP Repairs</t>
  </si>
  <si>
    <t>Total Federal Jurisdiction</t>
  </si>
  <si>
    <t>Jurisdiction: Federal Offset on State</t>
  </si>
  <si>
    <t>Fed Offset 263A 481a FT</t>
  </si>
  <si>
    <t>T-Fed Off Net Salv Amort Pre-2018</t>
  </si>
  <si>
    <t>T-Fed Off Net Salv Amort. 2018+</t>
  </si>
  <si>
    <t>T-Fed Offset 263A</t>
  </si>
  <si>
    <t>T-Fed Offset 263A 481a</t>
  </si>
  <si>
    <t>T-Fed Offset AFUDC Debt</t>
  </si>
  <si>
    <t>T-Fed Offset Cap OPEB Exp</t>
  </si>
  <si>
    <t>T-Fed Offset Cap OPEB Payment</t>
  </si>
  <si>
    <t>T-Fed Offset Cap Pension Exp</t>
  </si>
  <si>
    <t>T-Fed Offset Cap Pension Payment</t>
  </si>
  <si>
    <t>T-Fed Offset Capitalized Interest</t>
  </si>
  <si>
    <t>T-Fed Offset CIAC</t>
  </si>
  <si>
    <t>T-Fed Offset Method/Life (State/SL)</t>
  </si>
  <si>
    <t>T-Fed Offset Other Book</t>
  </si>
  <si>
    <t>T-Fed Offset Other Tax</t>
  </si>
  <si>
    <t>T-Fed Offset Repair Dis Loss 481a</t>
  </si>
  <si>
    <t>T-Fed Offset Tax UoP 481a</t>
  </si>
  <si>
    <t>T-Fed Offset Tax UoP Repairs</t>
  </si>
  <si>
    <t>GT-Fed Offset CIAC</t>
  </si>
  <si>
    <t>GT-Fed Off Net Salv Amort Pre-2018</t>
  </si>
  <si>
    <t>GT-Fed Off Net Salv Amort. 2018+</t>
  </si>
  <si>
    <t>GT-Fed Offset 263A</t>
  </si>
  <si>
    <t>GT-Fed Offset AFUDC Debt</t>
  </si>
  <si>
    <t>GT-Fed Offset Cap OPEB Exp</t>
  </si>
  <si>
    <t>GT-Fed Offset Cap OPEB Payment</t>
  </si>
  <si>
    <t>GT-Fed Offset Cap Pension Exp</t>
  </si>
  <si>
    <t>GT-Fed Offset Cap Pension Payment</t>
  </si>
  <si>
    <t>GT-Fed Offset Capitalized Interest</t>
  </si>
  <si>
    <t>GT-Fed Offset M/L (State/SL)</t>
  </si>
  <si>
    <t>GT-Fed Offset Other Book</t>
  </si>
  <si>
    <t>GT-Fed Offset Other Tax</t>
  </si>
  <si>
    <t>GT-Fed Offset Tax UoP Repairs</t>
  </si>
  <si>
    <t>Total Federal Offset on State</t>
  </si>
  <si>
    <t>Total Plant Related Excess Deferred Taxes</t>
  </si>
  <si>
    <t>Non-Plant Related Items:</t>
  </si>
  <si>
    <t>Reg Asset - Pension</t>
  </si>
  <si>
    <t>Reg Asset - Comp Absences</t>
  </si>
  <si>
    <t>Amort on Reacquired Debt</t>
  </si>
  <si>
    <t>Liability - Accrued Misc Reserves</t>
  </si>
  <si>
    <t>Liability - Healthcare</t>
  </si>
  <si>
    <t>Liability - Legal</t>
  </si>
  <si>
    <t>Liability - OPEB</t>
  </si>
  <si>
    <t>Liability - Injuries &amp; Damages</t>
  </si>
  <si>
    <t>Liability - Comp Absences</t>
  </si>
  <si>
    <t>Liability - Accrued Vacation</t>
  </si>
  <si>
    <t>Liability - Pension</t>
  </si>
  <si>
    <t>Total Net Excess Deferred Taxes</t>
  </si>
  <si>
    <t>Accelerated Depreciation - Transmission</t>
  </si>
  <si>
    <t>Accelerated Depreciation - Distribution/Other</t>
  </si>
  <si>
    <t>For 2019</t>
  </si>
  <si>
    <t>Operating Lease Right of Use (ROU)</t>
  </si>
  <si>
    <t>Attachment 9.1</t>
  </si>
  <si>
    <t>Attachment A Line #s, Descriptions, Notes, Form No. 1 Page #s and Instructions</t>
  </si>
  <si>
    <t>Temporary Difference</t>
  </si>
  <si>
    <t>Cumulative Difference at Enactment of TCJA</t>
  </si>
  <si>
    <t>ADIT Balance before TCJA Remeasurement</t>
  </si>
  <si>
    <t>ADIT Balance after TCJA Remeasurement</t>
  </si>
  <si>
    <t>Excess ADIT Due to TCJA
( E = C - D )</t>
  </si>
  <si>
    <t>Protected Excess ADIT</t>
  </si>
  <si>
    <t>Unprotected Excess ADIT</t>
  </si>
  <si>
    <t>Note A</t>
  </si>
  <si>
    <t>Note B</t>
  </si>
  <si>
    <t>Note C</t>
  </si>
  <si>
    <t>Note D</t>
  </si>
  <si>
    <t>Note E</t>
  </si>
  <si>
    <t>Total Non-Plant Related Net Excess Deferred Taxes</t>
  </si>
  <si>
    <t>A.  Amounts in Column B are the transmission-allocated cumulative temporary differences between amounts reported for financial reporting purposes and amounts reported for tax reporting purposes as of the December 31, 2017, the effective date of the Tax Cuts and Jobs Act decrease in corporate federal income tax rate from 35 percent to 21 percent.  The amounts reflect the provision-to-return true-up adjustments recorded during 2018 to account for differences between the estimates used in 2017 financial reporting and amounts reported on the 2017 federal income tax return filed in 2018.</t>
  </si>
  <si>
    <t>B.  Amounts in Column C are the deferred tax assets or liabilities (ADIT) for each temporary difference as of December 31, 2017, measured at the federal income tax rate in effect until such date (35 percent).</t>
  </si>
  <si>
    <t>C.  Amounts in Column D are the ADIT amounts for each temporary difference as of December 31, 2017, re-measured at the federal income tax rate in effect after such date (21 percent).</t>
  </si>
  <si>
    <t>D.  Amounts in Column E are the excess ADIT amounts for each temporary difference as of December 31, 2017, prior to gross-up to the revenue requirement.  The excess ADIT amounts reduced the balances in Accounts 190, 281, 282 or 283, as appropriate, and resulted in an amount recorded in Account 254 that will reduce rate base until the excess ADIT is refunded.</t>
  </si>
  <si>
    <t>E.  Amounts in Column F relate to excess ADIT that is subject to (i.e., protected by) the normalization requirement provided in the Tax Cuts and Jobs Act.</t>
  </si>
  <si>
    <t>Category of Deficient or (Excess) 
Accumulated Deferred Income Taxes</t>
  </si>
  <si>
    <t xml:space="preserve">Amortization Period </t>
  </si>
  <si>
    <t>Deficient / (Excess) ADIT 
Due to TCJA
(Prior to Amortization and without Tax Gross-up)</t>
  </si>
  <si>
    <t>Cumulative Deficient / (Excess) ADIT Amortization through the Beginning of the Test Year</t>
  </si>
  <si>
    <t>Deficient / (Excess) ADIT 
Due to TCJA
(without Tax Gross-up)
As of Beginning of Test Year</t>
  </si>
  <si>
    <t>Debit / (Credit) ADIT Amortization during Test Year</t>
  </si>
  <si>
    <t>Deficient / (Excess) ADIT 
Due to TCJA
(without Tax Gross-up)
As of End of Test Year</t>
  </si>
  <si>
    <t>Note F</t>
  </si>
  <si>
    <t>Note G</t>
  </si>
  <si>
    <t>Protected Plant-related Net (Excess) Deferred Taxes</t>
  </si>
  <si>
    <t>Unprotected Plant-related Net Deficient (Excess) Deferred Taxes</t>
  </si>
  <si>
    <t>Unprotected Non-plant-related Net Deficient (Excess) Deferred Taxes</t>
  </si>
  <si>
    <t>Total Net Deficient / (Excess) Deferred Taxes</t>
  </si>
  <si>
    <t>To Attachment 9</t>
  </si>
  <si>
    <r>
      <rPr>
        <b/>
        <sz val="10"/>
        <rFont val="Arial"/>
        <family val="2"/>
      </rPr>
      <t>A.</t>
    </r>
    <r>
      <rPr>
        <sz val="10"/>
        <rFont val="Arial"/>
        <family val="2"/>
      </rPr>
      <t xml:space="preserve">  Lists the categories of transmission-allocated deficient or (excess) accumulated deferred income taxes (ADIT) based on the re-measurements on Attachment 9.2</t>
    </r>
  </si>
  <si>
    <r>
      <rPr>
        <b/>
        <sz val="10"/>
        <rFont val="Arial"/>
        <family val="2"/>
      </rPr>
      <t>B</t>
    </r>
    <r>
      <rPr>
        <sz val="10"/>
        <rFont val="Arial"/>
        <family val="2"/>
      </rPr>
      <t>. "Protected" means that the normalization rules provide that excess deferred income taxes to be returned to customers must use the Average Rate Assumption Method (ARAM) over the remaining book depreciable lives of the associated property as provided in the Tax Cuts and Jobs Act.  Not using ARAM would result in a violation of the tax normalization rules. Unprotected Excess Deferred Income Taxes are not subject to the normalization rules.</t>
    </r>
  </si>
  <si>
    <r>
      <rPr>
        <b/>
        <sz val="10"/>
        <rFont val="Arial"/>
        <family val="2"/>
      </rPr>
      <t>C.</t>
    </r>
    <r>
      <rPr>
        <sz val="10"/>
        <rFont val="Arial"/>
        <family val="2"/>
      </rPr>
      <t xml:space="preserve">  Amounts in Column C are the deficient or (excess) ADIT for category of temporary differences as of December 31, 2017, prior to any refund or recovery, before tax gross-up to the revenue requirement and reflecting the provision-to-return true-up adjustments recorded during 2018 to account for differences between the estimates used in 2017 financial reporting and amounts reported on the 2017 federal income tax return filed in 2018.</t>
    </r>
  </si>
  <si>
    <r>
      <rPr>
        <b/>
        <sz val="10"/>
        <rFont val="Arial"/>
        <family val="2"/>
      </rPr>
      <t>D.</t>
    </r>
    <r>
      <rPr>
        <sz val="10"/>
        <rFont val="Arial"/>
        <family val="2"/>
      </rPr>
      <t xml:space="preserve">  Amounts in Column D report the cumulative refund or recovery of (excess) or deficient ADIT prior to the test period (before gross-up to the revenue requirement).</t>
    </r>
  </si>
  <si>
    <r>
      <rPr>
        <b/>
        <sz val="10"/>
        <rFont val="Arial"/>
        <family val="2"/>
      </rPr>
      <t>E.</t>
    </r>
    <r>
      <rPr>
        <sz val="10"/>
        <rFont val="Arial"/>
        <family val="2"/>
      </rPr>
      <t xml:space="preserve">  Amounts in Column E are the deficient or (excess) ADIT for category of temporary differences as of the beginning of the test period, adjusted for cumulative refunds or recoveries before such date and before gross-up to the revenue requirement.</t>
    </r>
  </si>
  <si>
    <r>
      <rPr>
        <b/>
        <sz val="10"/>
        <rFont val="Arial"/>
        <family val="2"/>
      </rPr>
      <t>F.</t>
    </r>
    <r>
      <rPr>
        <sz val="10"/>
        <rFont val="Arial"/>
        <family val="2"/>
      </rPr>
      <t xml:space="preserve">  Amounts in Column F are the annual refund or recovery of (excess) or deficient ADIT during the test period (before gross-up to the revenue requirement).  Note that positive amounts in column E of Attachment 9.2 are debits to the regulatory liability and appear as negative amounts (tax benefits reducing the revenue requirement) on Attachment 9.  Similarly, negative amounts in column E of Attachment 9.2 are credits to the regulatory liability and appear as positive amounts (tax expense increasing the revenue requirement) on Attachment 9.1.</t>
    </r>
  </si>
  <si>
    <r>
      <rPr>
        <b/>
        <sz val="10"/>
        <rFont val="Arial"/>
        <family val="2"/>
      </rPr>
      <t>G.</t>
    </r>
    <r>
      <rPr>
        <sz val="10"/>
        <rFont val="Arial"/>
        <family val="2"/>
      </rPr>
      <t xml:space="preserve">  Amounts in Column G are the deficient or (excess) ADIT for category of temporary differences as of the end of the test period, adjusted for cumulative refunds or recoveries before such date and before gross-up to the revenue requirement.  </t>
    </r>
  </si>
  <si>
    <t>Deficient or (Excess)</t>
  </si>
  <si>
    <t>Impacts on Total Income Taxes</t>
  </si>
  <si>
    <t xml:space="preserve">ADIT Amortization </t>
  </si>
  <si>
    <t xml:space="preserve">TCJA 2017 Excess Deferred Income Taxes To Be Flowed Back To Transmission Customers </t>
  </si>
  <si>
    <t>[Reserved for future tax rate changes]</t>
  </si>
  <si>
    <t>Total Adjustments to Tax Expense (without Tax Gross-up)</t>
  </si>
  <si>
    <t>Total Impact on Annual Transmission Revenue Requirement</t>
  </si>
  <si>
    <r>
      <rPr>
        <b/>
        <sz val="10"/>
        <rFont val="Arial"/>
        <family val="2"/>
      </rPr>
      <t>1 -</t>
    </r>
    <r>
      <rPr>
        <sz val="10"/>
        <rFont val="Arial"/>
        <family val="2"/>
      </rPr>
      <t xml:space="preserve"> A negative amount computed as the ATRR Impact (Column E) results in a reduction to Account 254 and is reported on Attachment 5.  A negative amount prior tax gross-up (Column C) is recorded in Account 411.1 and the difference is recorded in Account 190. </t>
    </r>
  </si>
  <si>
    <r>
      <rPr>
        <b/>
        <sz val="10"/>
        <rFont val="Arial"/>
        <family val="2"/>
      </rPr>
      <t xml:space="preserve">2 - </t>
    </r>
    <r>
      <rPr>
        <sz val="10"/>
        <rFont val="Arial"/>
        <family val="2"/>
      </rPr>
      <t xml:space="preserve">Tax Gross-up Calculation: </t>
    </r>
  </si>
  <si>
    <t>Amortization of Deficient or (Excess) Accumulated Deferred Income Taxes</t>
  </si>
  <si>
    <t xml:space="preserve">Appendix A (Note S) </t>
  </si>
  <si>
    <t>Attachment 9, Column E, Line 4</t>
  </si>
  <si>
    <t>Appendix A, Line 132a</t>
  </si>
  <si>
    <t>S</t>
  </si>
  <si>
    <t>Effective June 1, 2020, includes amounts associated with the amortization of any deficient or (excess) deferred income taxes (resulting from changes in income tax laws, income tax rates, and other actions taken by a tax authority).  See Attachment 5 for detail of Other Income Tax Adjustments and Attachment 9 for detail of Amortization of Deficient or (Excess) Accumulated Deferred Income Taxes.</t>
  </si>
  <si>
    <t>Includes the transmission-allocated portions of the balances in Accounts 190, 281, 282 and 283 and the transmission-allocated portions of the tax-related portions of Accounts 182.3 and 254.  Accumulated deferred income tax amounts associated with asset or liability accounts excluded from rate base (such as ADIT related to other post-employment benefit costs and certain tax-related regulatory assets or liabilities) do not affect rate base.  To maintain rate base neutrality upon changes in income tax laws, income tax rates, and other actions taken by a tax authority, resulting unamortized deficient or (excess) ADIT is included without tax gross-up.  Supporting information is provided in Attachment 1.</t>
  </si>
  <si>
    <t>(Line 132 + Line 132a + Line 133)</t>
  </si>
  <si>
    <t>Other regulatory assets/liabilities - Transmission plant</t>
  </si>
  <si>
    <t>Tax gross-up on other regulatory assets/liabilities - Transmission plant</t>
  </si>
  <si>
    <t>Excess ADIT regulatory liability - Transmission plant</t>
  </si>
  <si>
    <t>Tax gross-up on excess ADIT regulatory liability - Transmission plant</t>
  </si>
  <si>
    <t>Other tax-related regulatory assets/liabilities - Distribution/other plant</t>
  </si>
  <si>
    <t>Tax gross-up on other tax-related regulatory assets/liabilities - Distribution/other plant</t>
  </si>
  <si>
    <t>Excess ADIT regulatory liability - Distribution/other plant</t>
  </si>
  <si>
    <t xml:space="preserve">Tax gross-up on excess ADIT regulatory liability - Distribution/other plant </t>
  </si>
  <si>
    <t xml:space="preserve">Excess ADIT regulatory liability – Transmission non-property-related </t>
  </si>
  <si>
    <t xml:space="preserve">Tax Gross-up on excess ADIT regulatory liability – Transmission non-property-related </t>
  </si>
  <si>
    <t>Gross-up for income tax due on non-plant transmission-related excess ADIT (line 18).  Removed from rate base as FASB 109 item below.</t>
  </si>
  <si>
    <t>Remeasurement of deferred tax liabilities in accounts 190 and 283 for income tax rate changes on transmission-related book/tax differences not related to plant with an offset to regulatory liability account 254.  Non-plant excess ADIT allocated to transmission using the wage and salary allocator. Transmission non-plant excess ADIT agreed to permanent worksheet Attachment 9.1. Removed from rate base as a FASB 109 item below.</t>
  </si>
  <si>
    <t>Gross-up for income tax due on distribution/other-related excess ADIT (line 16) (taxable when recovered).  Formerly referred to as FAS 109 Tax Gross-Up.  Removed from rate base as a FASB 109 item below.</t>
  </si>
  <si>
    <t xml:space="preserve">Remeasurements of deferred tax liabilities in account 282 for income tax rate changes on distribution/other plant-related book/tax differences with an offset to regulatory liability account 254.  Specific allocation of excess ADIT between transmission and distribution determined by underlying functional records. General plant excess ADIT allocated to distribution using the wage and salary allocator. Removed from rate base as a FASB 109 item below. </t>
  </si>
  <si>
    <t>Gross-up for income tax due on distribution/other-related tax-related net regulatory assets/liabilities other than excess ADIT (line 14) (taxable when recovered). Formerly referred to as FAS 109 Tax Gross-Up. Removed from rate base as FASB 109 item below.</t>
  </si>
  <si>
    <t>Distribution/other-related tax-related net regulatory assets/liabilities not related to tax law remeasurements.  Removed from rate base as a FASB 109 item below.</t>
  </si>
  <si>
    <t>Gross-up for income tax due on transmission plant-related excess ADIT (line 12).  Removed from rate base as a FASB 109 item below.</t>
  </si>
  <si>
    <t xml:space="preserve">Remeasurement of deferred tax liabilities in account 282 for income tax rate changes on transmission plant-related book/tax differences with an offset to regulatory liability account 254.  Specific allocation of excess ADIT between transmission and distribution determined by underlying functional records. General plant excess ADIT allocated to transmission using the wage and salary allocator. Transmission excess ADIT agreed to permanent worksheet Attachment 9.1. Removed from rate base as a FASB 109 item below. </t>
  </si>
  <si>
    <t>Gross-up for income tax due on transmission-related tax-related net regulatory assets/liabilities other than excess ADIT (taxable when recovered). Formerly referred to as FAS 109 Tax Gross-Up. Removed from rate base as a FASB 109 item below.</t>
  </si>
  <si>
    <t>Transmission-related tax-related net regulatory assets/liabilities not related to tax law remeasurements.  Removed from rate base as a FASB 109 item below.</t>
  </si>
  <si>
    <t>Lease obligation recognized under ASC 842, not recognized for tax purposes until use of the leased property occurs.</t>
  </si>
  <si>
    <t>Asset recognized under ASC 842, not recognized for tax purposes.</t>
  </si>
  <si>
    <t>Differences between book and tax basis in transmission plant, including capitalization differences and differences between accelerated tax depreciation and depreciation used for ratemaking purposes.  Specific allocation between transmission and distribution determined by underlying functional records.</t>
  </si>
  <si>
    <t>Differences between book and tax basis in distribution/other plant, including capitalization differences and differences between accelerated tax depreciation and depreciation used for ratemaking purposes.  Specific allocation between transmission and distribution determined by underlying functional records.</t>
  </si>
  <si>
    <t>Prepaid Information Technology Hardware/Software Maint</t>
  </si>
  <si>
    <t>Toal Other Income Tax Adjustments</t>
  </si>
  <si>
    <t>Total Plant-related Net (Excess) Deferred Taxes</t>
  </si>
  <si>
    <t>(AA) = Q</t>
  </si>
  <si>
    <t>( AB)</t>
  </si>
  <si>
    <t>(AC) = AA * AB</t>
  </si>
  <si>
    <t>(AD)</t>
  </si>
  <si>
    <t>(AE) = S</t>
  </si>
  <si>
    <t>(AF)</t>
  </si>
  <si>
    <t>(AG) =AE *AF</t>
  </si>
  <si>
    <t>(AH)</t>
  </si>
  <si>
    <t>(AI) = T</t>
  </si>
  <si>
    <t>(AJ)</t>
  </si>
  <si>
    <t>(AK) = AI * AJ</t>
  </si>
  <si>
    <t>(AL)</t>
  </si>
  <si>
    <t>(AM) = V</t>
  </si>
  <si>
    <t>(AN)</t>
  </si>
  <si>
    <t>(AO) = AM * AN</t>
  </si>
  <si>
    <t>(AP)</t>
  </si>
  <si>
    <t>(AQ) = W</t>
  </si>
  <si>
    <t>(AS) = AQ * AR</t>
  </si>
  <si>
    <t>(AU) = Y</t>
  </si>
  <si>
    <t>(AR)</t>
  </si>
  <si>
    <t>(AT)</t>
  </si>
  <si>
    <t>(AV)</t>
  </si>
  <si>
    <t>(AX)</t>
  </si>
  <si>
    <t>13 mo. Avg accumulated depreciation = Col AD + Col AH + Col AL + Col AP + Col AT + Col AX</t>
  </si>
  <si>
    <t>Depreciation Expense = Col AC + Col AG +Col AK + Col AO + Col AS + Col AW</t>
  </si>
  <si>
    <t>(AW) = AU * AV</t>
  </si>
  <si>
    <t>Estimate - Attachment 6, Step 2, Column AH, Total*</t>
  </si>
  <si>
    <t>Estimate - Attachment 6, Step 2, Column R, Avg mos*</t>
  </si>
  <si>
    <t>Estimate - Attachment 6, Step 2, Column S Avg mos*</t>
  </si>
  <si>
    <t>Estimate - Attachment 6, Step 2, Column U, Avg mos*</t>
  </si>
  <si>
    <t>Estimate - Attachment 6, Step 2, Column AL, Total*</t>
  </si>
  <si>
    <t>Estimate - Attachment 6, Step 2, Column I, Total*</t>
  </si>
  <si>
    <t>Estimate - Attachment 6, Step 2, Column AP, Total*</t>
  </si>
  <si>
    <t>Estimate - Attachment 6, Step 2, Column V, Avg mos*</t>
  </si>
  <si>
    <t>Estimate - Attachment 6, Step 2, Column AT, Total*</t>
  </si>
  <si>
    <t>Estimate - Attachment 6, Step 2, Column W Avg mos*</t>
  </si>
  <si>
    <t>Estimate - Attachment 6, Step 2, Column AX, Total*</t>
  </si>
  <si>
    <t>For 2020</t>
  </si>
  <si>
    <t>3.11% 1st Mort Bond due 05/05/2050</t>
  </si>
  <si>
    <t>Payroll Tax Deferral</t>
  </si>
  <si>
    <t>Deferred payment of employer payroll tax expenses permitted by COVID legislation, tax deductible when paid.</t>
  </si>
  <si>
    <t xml:space="preserve">I </t>
  </si>
  <si>
    <t>Appendix A, (Note 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</si>
</sst>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s>
  <fonts count="103">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0"/>
      <color indexed="10"/>
      <name val="Arial Narrow"/>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b/>
      <sz val="12"/>
      <color indexed="12"/>
      <name val="Times New Roman"/>
      <family val="1"/>
    </font>
    <font>
      <b/>
      <sz val="12"/>
      <name val="Times New Roman"/>
      <family val="1"/>
    </font>
    <font>
      <sz val="11"/>
      <name val="Calibri"/>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sz val="10"/>
      <color indexed="8"/>
      <name val="Arial"/>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sz val="10"/>
      <color indexed="51"/>
      <name val="Arial"/>
      <family val="2"/>
    </font>
    <font>
      <b/>
      <sz val="10"/>
      <name val="Calibri"/>
      <family val="2"/>
    </font>
    <font>
      <sz val="12"/>
      <color indexed="10"/>
      <name val="Times New Roman"/>
      <family val="1"/>
    </font>
    <font>
      <sz val="11"/>
      <color indexed="10"/>
      <name val="Calibri"/>
      <family val="2"/>
    </font>
    <font>
      <b/>
      <sz val="18"/>
      <name val="Cambria"/>
      <family val="2"/>
    </font>
    <font>
      <b/>
      <sz val="11"/>
      <name val="Arial Narrow"/>
      <family val="2"/>
    </font>
    <font>
      <sz val="11"/>
      <name val="Arial Narrow"/>
      <family val="2"/>
    </font>
    <font>
      <b/>
      <sz val="13"/>
      <name val="Arial Narrow"/>
      <family val="2"/>
    </font>
    <font>
      <b/>
      <sz val="15"/>
      <name val="Arial Narrow"/>
      <family val="2"/>
    </font>
    <font>
      <i/>
      <sz val="11"/>
      <name val="Arial Narrow"/>
      <family val="2"/>
    </font>
    <font>
      <sz val="11"/>
      <color rgb="FF9C0006"/>
      <name val="Arial Narrow"/>
      <family val="2"/>
    </font>
    <font>
      <b/>
      <sz val="11"/>
      <color rgb="FFFA7D0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8"/>
      <color theme="3"/>
      <name val="Cambria"/>
      <family val="2"/>
    </font>
    <font>
      <sz val="10"/>
      <color rgb="FFFFC000"/>
      <name val="Arial"/>
      <family val="2"/>
    </font>
  </fonts>
  <fills count="39">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67" fillId="0" borderId="0" applyFont="0" applyFill="0" applyBorder="0" applyAlignment="0" applyProtection="0"/>
    <xf numFmtId="43" fontId="0" fillId="0" borderId="0" applyFont="0" applyFill="0" applyBorder="0" applyAlignment="0" applyProtection="0"/>
    <xf numFmtId="43" fontId="55" fillId="0" borderId="0" applyFont="0" applyFill="0" applyBorder="0" applyAlignment="0" applyProtection="0"/>
    <xf numFmtId="43" fontId="0" fillId="0" borderId="0" applyFont="0" applyFill="0" applyBorder="0" applyAlignment="0" applyProtection="0"/>
    <xf numFmtId="43" fontId="55" fillId="0" borderId="0" applyFill="0" applyBorder="0" applyAlignment="0" applyProtection="0"/>
    <xf numFmtId="43" fontId="0" fillId="0" borderId="0" applyFont="0" applyFill="0" applyBorder="0" applyAlignment="0" applyProtection="0"/>
    <xf numFmtId="43" fontId="55"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5" fillId="0" borderId="0" applyFill="0" applyBorder="0" applyAlignment="0" applyProtection="0"/>
    <xf numFmtId="0" fontId="92" fillId="0" borderId="0" applyNumberFormat="0" applyFill="0" applyBorder="0" applyAlignment="0" applyProtection="0"/>
    <xf numFmtId="0" fontId="2" fillId="0" borderId="0" applyNumberFormat="0" applyFill="0" applyBorder="0" applyAlignment="0" applyProtection="0"/>
    <xf numFmtId="215" fontId="56" fillId="0" borderId="0">
      <alignment/>
      <protection/>
    </xf>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3"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61" fillId="0" borderId="0">
      <alignment/>
      <protection/>
    </xf>
    <xf numFmtId="0" fontId="55" fillId="0" borderId="0">
      <alignment/>
      <protection/>
    </xf>
    <xf numFmtId="170" fontId="11" fillId="0" borderId="0" applyProtection="0">
      <alignment/>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9" fontId="55" fillId="0" borderId="0" applyFill="0" applyBorder="0" applyAlignment="0" applyProtection="0"/>
    <xf numFmtId="0" fontId="101"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455">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77"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3" fontId="14" fillId="0" borderId="0" xfId="0" applyNumberFormat="1" applyFont="1" applyBorder="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77"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19" fillId="0" borderId="0" xfId="0" applyFont="1" applyFill="1" applyBorder="1" applyAlignment="1">
      <alignment/>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77"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10" fontId="6" fillId="0" borderId="0" xfId="77" applyNumberFormat="1" applyFont="1" applyFill="1" applyAlignment="1">
      <alignmen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77" applyNumberFormat="1" applyFont="1" applyFill="1" applyAlignment="1">
      <alignment/>
    </xf>
    <xf numFmtId="0" fontId="1" fillId="0" borderId="0" xfId="0" applyFont="1" applyAlignment="1">
      <alignment horizontal="left"/>
    </xf>
    <xf numFmtId="164" fontId="4" fillId="0" borderId="0" xfId="42" applyNumberFormat="1" applyFont="1" applyFill="1" applyAlignment="1">
      <alignment/>
    </xf>
    <xf numFmtId="3" fontId="12" fillId="0" borderId="13" xfId="0" applyNumberFormat="1" applyFont="1" applyBorder="1" applyAlignment="1">
      <alignment/>
    </xf>
    <xf numFmtId="10" fontId="11" fillId="0" borderId="0" xfId="0" applyNumberFormat="1" applyFont="1" applyFill="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28" fillId="0" borderId="17" xfId="0" applyFont="1" applyBorder="1" applyAlignment="1">
      <alignment/>
    </xf>
    <xf numFmtId="0" fontId="28" fillId="0" borderId="18" xfId="0" applyFont="1" applyBorder="1" applyAlignment="1">
      <alignment/>
    </xf>
    <xf numFmtId="0" fontId="19" fillId="33" borderId="0" xfId="0" applyFont="1" applyFill="1" applyBorder="1" applyAlignment="1">
      <alignment horizontal="center"/>
    </xf>
    <xf numFmtId="0" fontId="28" fillId="0"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19" xfId="0" applyFont="1" applyBorder="1" applyAlignment="1">
      <alignment/>
    </xf>
    <xf numFmtId="0" fontId="28" fillId="0" borderId="20" xfId="0" applyFont="1" applyBorder="1" applyAlignment="1">
      <alignment horizontal="center"/>
    </xf>
    <xf numFmtId="0" fontId="28" fillId="0" borderId="0" xfId="0" applyFont="1" applyBorder="1" applyAlignment="1">
      <alignment horizontal="center"/>
    </xf>
    <xf numFmtId="0" fontId="28" fillId="0" borderId="21" xfId="0" applyFont="1" applyBorder="1" applyAlignment="1">
      <alignment horizontal="center"/>
    </xf>
    <xf numFmtId="0" fontId="30" fillId="0" borderId="22" xfId="0" applyFont="1" applyBorder="1" applyAlignment="1">
      <alignment horizontal="center"/>
    </xf>
    <xf numFmtId="0" fontId="30" fillId="0" borderId="20" xfId="0" applyFont="1" applyFill="1" applyBorder="1" applyAlignment="1">
      <alignment horizontal="center"/>
    </xf>
    <xf numFmtId="0" fontId="30" fillId="0" borderId="23" xfId="0" applyFont="1" applyFill="1" applyBorder="1" applyAlignment="1">
      <alignment horizontal="center"/>
    </xf>
    <xf numFmtId="0" fontId="28" fillId="0" borderId="24" xfId="0" applyFont="1" applyBorder="1" applyAlignment="1">
      <alignment horizontal="center"/>
    </xf>
    <xf numFmtId="167" fontId="28" fillId="0" borderId="15" xfId="0" applyNumberFormat="1" applyFont="1" applyBorder="1" applyAlignment="1">
      <alignment/>
    </xf>
    <xf numFmtId="167" fontId="28" fillId="0" borderId="0" xfId="0" applyNumberFormat="1" applyFont="1" applyBorder="1" applyAlignment="1">
      <alignment/>
    </xf>
    <xf numFmtId="164" fontId="30" fillId="0" borderId="24" xfId="0" applyNumberFormat="1" applyFont="1" applyBorder="1" applyAlignment="1">
      <alignment/>
    </xf>
    <xf numFmtId="164" fontId="30" fillId="0" borderId="0" xfId="0" applyNumberFormat="1" applyFont="1" applyBorder="1" applyAlignment="1">
      <alignment/>
    </xf>
    <xf numFmtId="164" fontId="30" fillId="0" borderId="15" xfId="42" applyNumberFormat="1" applyFont="1" applyBorder="1" applyAlignment="1">
      <alignment/>
    </xf>
    <xf numFmtId="164" fontId="30" fillId="0" borderId="25" xfId="0" applyNumberFormat="1" applyFont="1" applyBorder="1" applyAlignment="1">
      <alignment/>
    </xf>
    <xf numFmtId="164" fontId="30" fillId="0" borderId="21" xfId="0" applyNumberFormat="1" applyFont="1" applyBorder="1" applyAlignment="1">
      <alignment/>
    </xf>
    <xf numFmtId="164" fontId="30" fillId="0" borderId="18" xfId="42" applyNumberFormat="1" applyFont="1" applyBorder="1" applyAlignment="1">
      <alignment/>
    </xf>
    <xf numFmtId="0" fontId="28" fillId="0" borderId="0" xfId="0" applyFont="1" applyAlignment="1">
      <alignment horizontal="center"/>
    </xf>
    <xf numFmtId="164" fontId="28" fillId="0" borderId="0" xfId="42" applyNumberFormat="1" applyFont="1" applyAlignment="1">
      <alignment/>
    </xf>
    <xf numFmtId="167" fontId="28" fillId="0" borderId="0" xfId="51" applyNumberFormat="1" applyFont="1" applyAlignment="1">
      <alignment/>
    </xf>
    <xf numFmtId="0" fontId="30" fillId="0" borderId="22" xfId="0" applyFont="1" applyFill="1" applyBorder="1" applyAlignment="1">
      <alignment horizontal="center"/>
    </xf>
    <xf numFmtId="167" fontId="28" fillId="0" borderId="24" xfId="51" applyNumberFormat="1" applyFont="1" applyBorder="1" applyAlignment="1">
      <alignment/>
    </xf>
    <xf numFmtId="0" fontId="28" fillId="0" borderId="16" xfId="0" applyFont="1" applyFill="1" applyBorder="1" applyAlignment="1">
      <alignment/>
    </xf>
    <xf numFmtId="164" fontId="28" fillId="0" borderId="0" xfId="42" applyNumberFormat="1" applyFont="1" applyFill="1" applyBorder="1" applyAlignment="1">
      <alignment/>
    </xf>
    <xf numFmtId="164" fontId="28" fillId="0" borderId="15"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0" fontId="28" fillId="34" borderId="16" xfId="0" applyFont="1" applyFill="1" applyBorder="1" applyAlignment="1">
      <alignment horizontal="center"/>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26"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4" fontId="13" fillId="0" borderId="0" xfId="0" applyNumberFormat="1" applyFont="1" applyFill="1" applyAlignment="1">
      <alignment horizontal="right"/>
    </xf>
    <xf numFmtId="3" fontId="6" fillId="0" borderId="11" xfId="0" applyNumberFormat="1" applyFont="1" applyFill="1" applyBorder="1" applyAlignment="1">
      <alignmen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28" fillId="0" borderId="16" xfId="0" applyFont="1" applyFill="1" applyBorder="1" applyAlignment="1">
      <alignment horizontal="center"/>
    </xf>
    <xf numFmtId="164" fontId="28" fillId="0" borderId="15" xfId="42" applyNumberFormat="1" applyFont="1" applyFill="1" applyBorder="1" applyAlignment="1">
      <alignment horizontal="center"/>
    </xf>
    <xf numFmtId="164" fontId="28" fillId="0" borderId="0" xfId="0" applyNumberFormat="1" applyFont="1" applyFill="1" applyBorder="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26" xfId="0" applyNumberFormat="1" applyFont="1" applyFill="1" applyBorder="1" applyAlignment="1">
      <alignment wrapText="1"/>
    </xf>
    <xf numFmtId="0" fontId="0" fillId="34" borderId="26" xfId="0" applyFont="1" applyFill="1" applyBorder="1" applyAlignment="1">
      <alignment/>
    </xf>
    <xf numFmtId="0" fontId="0" fillId="0" borderId="26"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3" fontId="0" fillId="0" borderId="0" xfId="0" applyNumberFormat="1" applyFont="1" applyFill="1" applyAlignment="1">
      <alignment horizontal="center"/>
    </xf>
    <xf numFmtId="0" fontId="6" fillId="0" borderId="0" xfId="0" applyFont="1" applyFill="1" applyAlignment="1" quotePrefix="1">
      <alignment/>
    </xf>
    <xf numFmtId="0" fontId="12" fillId="0" borderId="14" xfId="0" applyNumberFormat="1" applyFont="1" applyFill="1" applyBorder="1" applyAlignment="1">
      <alignment horizontal="center"/>
    </xf>
    <xf numFmtId="0" fontId="6" fillId="0" borderId="0" xfId="0" applyFont="1" applyFill="1" applyAlignment="1">
      <alignment wrapText="1"/>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171" fontId="6" fillId="0" borderId="0" xfId="0" applyNumberFormat="1" applyFont="1" applyFill="1" applyAlignment="1">
      <alignment/>
    </xf>
    <xf numFmtId="0" fontId="0" fillId="0" borderId="0" xfId="0" applyFont="1" applyFill="1" applyAlignment="1">
      <alignment wrapText="1"/>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26" xfId="0" applyFont="1" applyBorder="1" applyAlignment="1">
      <alignment/>
    </xf>
    <xf numFmtId="37" fontId="0" fillId="0" borderId="26" xfId="0" applyNumberFormat="1" applyFont="1" applyFill="1" applyBorder="1" applyAlignment="1">
      <alignment/>
    </xf>
    <xf numFmtId="0" fontId="30" fillId="0" borderId="26" xfId="0" applyFont="1" applyFill="1" applyBorder="1" applyAlignment="1">
      <alignment/>
    </xf>
    <xf numFmtId="37" fontId="0" fillId="34" borderId="26" xfId="0" applyNumberFormat="1" applyFont="1" applyFill="1" applyBorder="1" applyAlignment="1">
      <alignment/>
    </xf>
    <xf numFmtId="0" fontId="0" fillId="34" borderId="26"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30" fillId="0" borderId="27" xfId="0" applyFont="1" applyFill="1" applyBorder="1" applyAlignment="1">
      <alignment/>
    </xf>
    <xf numFmtId="0" fontId="30" fillId="0" borderId="10" xfId="0" applyFont="1" applyFill="1" applyBorder="1" applyAlignment="1">
      <alignment/>
    </xf>
    <xf numFmtId="0" fontId="0" fillId="0" borderId="0" xfId="0" applyFont="1" applyBorder="1" applyAlignment="1">
      <alignment/>
    </xf>
    <xf numFmtId="0" fontId="30" fillId="0" borderId="28" xfId="0" applyFont="1" applyFill="1" applyBorder="1" applyAlignment="1">
      <alignment horizontal="left"/>
    </xf>
    <xf numFmtId="0" fontId="3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30" fillId="0" borderId="28" xfId="0" applyFont="1" applyBorder="1" applyAlignment="1">
      <alignment wrapText="1"/>
    </xf>
    <xf numFmtId="0" fontId="0" fillId="0" borderId="0" xfId="0" applyFont="1" applyAlignment="1">
      <alignment/>
    </xf>
    <xf numFmtId="37" fontId="0" fillId="34" borderId="26" xfId="0" applyNumberFormat="1" applyFont="1" applyFill="1" applyBorder="1" applyAlignment="1">
      <alignment wrapText="1"/>
    </xf>
    <xf numFmtId="0" fontId="0" fillId="34" borderId="26" xfId="0"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26" xfId="0" applyFont="1" applyBorder="1" applyAlignment="1">
      <alignment/>
    </xf>
    <xf numFmtId="164" fontId="0" fillId="0" borderId="26" xfId="42" applyNumberFormat="1" applyFont="1" applyFill="1" applyBorder="1" applyAlignment="1">
      <alignment horizontal="right"/>
    </xf>
    <xf numFmtId="0" fontId="0" fillId="0" borderId="26" xfId="0" applyFont="1" applyBorder="1" applyAlignment="1">
      <alignment horizontal="left"/>
    </xf>
    <xf numFmtId="164" fontId="0" fillId="34" borderId="26" xfId="42" applyNumberFormat="1" applyFont="1" applyFill="1" applyBorder="1" applyAlignment="1">
      <alignment/>
    </xf>
    <xf numFmtId="164" fontId="0" fillId="0" borderId="26" xfId="42" applyNumberFormat="1" applyFont="1" applyBorder="1" applyAlignment="1">
      <alignment/>
    </xf>
    <xf numFmtId="0" fontId="30" fillId="0" borderId="28" xfId="0"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72" fontId="0" fillId="0" borderId="0" xfId="0" applyNumberFormat="1" applyFill="1" applyAlignment="1">
      <alignment horizontal="center" wrapText="1"/>
    </xf>
    <xf numFmtId="167" fontId="0" fillId="0" borderId="0" xfId="51" applyNumberFormat="1" applyFont="1" applyAlignment="1">
      <alignment horizontal="left" wrapText="1"/>
    </xf>
    <xf numFmtId="167" fontId="0" fillId="0" borderId="0" xfId="51" applyNumberFormat="1" applyFont="1" applyAlignment="1">
      <alignment horizontal="right" wrapText="1"/>
    </xf>
    <xf numFmtId="167" fontId="0" fillId="0" borderId="0" xfId="51" applyNumberFormat="1" applyFont="1" applyAlignment="1">
      <alignment horizontal="left" vertical="center" wrapText="1"/>
    </xf>
    <xf numFmtId="167" fontId="0" fillId="0" borderId="0" xfId="51" applyNumberFormat="1" applyFont="1" applyAlignment="1">
      <alignment/>
    </xf>
    <xf numFmtId="0" fontId="0" fillId="0" borderId="0" xfId="0" applyAlignment="1">
      <alignment wrapText="1"/>
    </xf>
    <xf numFmtId="0" fontId="0" fillId="0" borderId="0" xfId="0" applyFill="1" applyAlignment="1">
      <alignment horizontal="center" vertical="top"/>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left"/>
    </xf>
    <xf numFmtId="16" fontId="0" fillId="0" borderId="0" xfId="0" applyNumberFormat="1" applyFont="1" applyFill="1" applyAlignment="1">
      <alignment horizontal="center"/>
    </xf>
    <xf numFmtId="164" fontId="0" fillId="0" borderId="0" xfId="42" applyNumberFormat="1" applyFont="1" applyFill="1" applyAlignment="1">
      <alignment/>
    </xf>
    <xf numFmtId="167" fontId="0" fillId="0" borderId="0" xfId="51"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12" xfId="42" applyNumberFormat="1" applyFont="1" applyFill="1" applyBorder="1" applyAlignment="1">
      <alignment/>
    </xf>
    <xf numFmtId="164" fontId="0" fillId="0" borderId="12" xfId="0" applyNumberFormat="1" applyFont="1" applyFill="1" applyBorder="1" applyAlignment="1">
      <alignment/>
    </xf>
    <xf numFmtId="167" fontId="0" fillId="0" borderId="0" xfId="0" applyNumberFormat="1" applyFont="1" applyFill="1" applyAlignment="1">
      <alignment/>
    </xf>
    <xf numFmtId="167" fontId="0" fillId="0" borderId="0" xfId="51" applyNumberFormat="1" applyFont="1" applyFill="1" applyAlignment="1">
      <alignment horizontal="left"/>
    </xf>
    <xf numFmtId="172" fontId="0" fillId="0" borderId="0" xfId="77" applyNumberFormat="1" applyFont="1" applyFill="1" applyAlignment="1">
      <alignment/>
    </xf>
    <xf numFmtId="0" fontId="0" fillId="0" borderId="0" xfId="0" applyNumberFormat="1" applyFont="1" applyFill="1" applyAlignment="1">
      <alignment horizontal="left"/>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172" fontId="0" fillId="0" borderId="0" xfId="0" applyNumberFormat="1" applyFont="1" applyFill="1" applyAlignment="1">
      <alignment/>
    </xf>
    <xf numFmtId="168" fontId="0" fillId="0" borderId="0" xfId="77" applyNumberFormat="1" applyFont="1" applyFill="1" applyAlignment="1">
      <alignment/>
    </xf>
    <xf numFmtId="167" fontId="0" fillId="0" borderId="0" xfId="0" applyNumberFormat="1" applyFont="1" applyFill="1" applyAlignment="1">
      <alignment horizontal="center"/>
    </xf>
    <xf numFmtId="0" fontId="0" fillId="0" borderId="0" xfId="0" applyFont="1" applyAlignment="1">
      <alignment horizontal="center"/>
    </xf>
    <xf numFmtId="164" fontId="0" fillId="0" borderId="0" xfId="42" applyNumberFormat="1" applyFont="1" applyAlignment="1">
      <alignment/>
    </xf>
    <xf numFmtId="0" fontId="0" fillId="0" borderId="0" xfId="0" applyFont="1" applyAlignment="1">
      <alignment horizontal="left"/>
    </xf>
    <xf numFmtId="164" fontId="0" fillId="0" borderId="0" xfId="42" applyNumberFormat="1" applyFont="1" applyFill="1" applyAlignment="1">
      <alignment/>
    </xf>
    <xf numFmtId="172" fontId="0" fillId="0" borderId="0" xfId="77" applyNumberFormat="1" applyFont="1" applyAlignment="1">
      <alignment/>
    </xf>
    <xf numFmtId="0" fontId="0" fillId="0" borderId="0" xfId="0" applyFont="1" applyBorder="1" applyAlignment="1">
      <alignment horizontal="center"/>
    </xf>
    <xf numFmtId="0" fontId="0" fillId="0" borderId="15" xfId="0" applyFont="1" applyBorder="1" applyAlignment="1">
      <alignment horizontal="center"/>
    </xf>
    <xf numFmtId="167" fontId="0" fillId="0" borderId="0" xfId="0" applyNumberFormat="1" applyFont="1" applyAlignment="1">
      <alignment/>
    </xf>
    <xf numFmtId="43" fontId="0" fillId="0" borderId="0" xfId="0" applyNumberFormat="1" applyFont="1" applyAlignment="1">
      <alignment/>
    </xf>
    <xf numFmtId="164" fontId="0" fillId="0" borderId="0" xfId="42" applyNumberFormat="1" applyFont="1" applyFill="1" applyBorder="1" applyAlignment="1">
      <alignment/>
    </xf>
    <xf numFmtId="0" fontId="1" fillId="0" borderId="0" xfId="0" applyFont="1" applyFill="1" applyAlignment="1">
      <alignment/>
    </xf>
    <xf numFmtId="0" fontId="28" fillId="0" borderId="19" xfId="0" applyFont="1" applyFill="1" applyBorder="1" applyAlignment="1">
      <alignment/>
    </xf>
    <xf numFmtId="0" fontId="28" fillId="0" borderId="24" xfId="0" applyFont="1" applyBorder="1" applyAlignment="1">
      <alignment/>
    </xf>
    <xf numFmtId="0" fontId="28" fillId="0" borderId="25" xfId="0" applyFont="1" applyBorder="1" applyAlignment="1">
      <alignment/>
    </xf>
    <xf numFmtId="0" fontId="0" fillId="0" borderId="21" xfId="0" applyFont="1" applyBorder="1" applyAlignment="1">
      <alignment/>
    </xf>
    <xf numFmtId="164" fontId="0" fillId="0" borderId="21" xfId="42" applyNumberFormat="1" applyFont="1" applyBorder="1" applyAlignment="1">
      <alignment/>
    </xf>
    <xf numFmtId="168" fontId="28" fillId="0" borderId="16" xfId="77" applyNumberFormat="1" applyFont="1" applyFill="1" applyBorder="1" applyAlignment="1">
      <alignment horizontal="right"/>
    </xf>
    <xf numFmtId="0" fontId="0" fillId="0" borderId="21" xfId="0" applyFont="1" applyFill="1" applyBorder="1" applyAlignment="1">
      <alignment/>
    </xf>
    <xf numFmtId="10" fontId="0" fillId="0" borderId="0" xfId="77" applyNumberFormat="1" applyFont="1" applyFill="1" applyAlignment="1">
      <alignment/>
    </xf>
    <xf numFmtId="10" fontId="0" fillId="0" borderId="12" xfId="77" applyNumberFormat="1"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27" xfId="0" applyFont="1" applyFill="1" applyBorder="1" applyAlignment="1">
      <alignment/>
    </xf>
    <xf numFmtId="164" fontId="0" fillId="0" borderId="0" xfId="0" applyNumberFormat="1" applyFont="1" applyFill="1" applyBorder="1" applyAlignment="1">
      <alignment/>
    </xf>
    <xf numFmtId="164" fontId="0" fillId="0" borderId="0" xfId="42" applyNumberFormat="1" applyFont="1" applyFill="1" applyAlignment="1">
      <alignment horizontal="center"/>
    </xf>
    <xf numFmtId="164" fontId="0" fillId="0" borderId="12" xfId="42" applyNumberFormat="1" applyFont="1" applyFill="1" applyBorder="1" applyAlignment="1">
      <alignment horizontal="center"/>
    </xf>
    <xf numFmtId="0" fontId="1" fillId="0" borderId="10" xfId="0" applyFont="1" applyBorder="1" applyAlignment="1">
      <alignment horizontal="left"/>
    </xf>
    <xf numFmtId="0" fontId="0" fillId="0" borderId="0" xfId="0" applyFont="1" applyBorder="1" applyAlignment="1">
      <alignment/>
    </xf>
    <xf numFmtId="0" fontId="1" fillId="0" borderId="21"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21"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21" xfId="77" applyNumberFormat="1" applyFont="1" applyBorder="1" applyAlignment="1">
      <alignment horizontal="center"/>
    </xf>
    <xf numFmtId="9" fontId="0" fillId="0" borderId="21" xfId="77" applyFont="1" applyBorder="1" applyAlignment="1">
      <alignment horizontal="center"/>
    </xf>
    <xf numFmtId="164" fontId="0" fillId="0" borderId="21" xfId="0" applyNumberFormat="1" applyFont="1" applyFill="1" applyBorder="1" applyAlignment="1">
      <alignment horizontal="center" wrapText="1"/>
    </xf>
    <xf numFmtId="0" fontId="5" fillId="36" borderId="20" xfId="0" applyFont="1" applyFill="1" applyBorder="1" applyAlignment="1">
      <alignment horizontal="center" wrapText="1"/>
    </xf>
    <xf numFmtId="0" fontId="1" fillId="0" borderId="0" xfId="0" applyNumberFormat="1" applyFont="1" applyBorder="1" applyAlignment="1">
      <alignment horizontal="left"/>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17" xfId="0" applyFont="1" applyBorder="1" applyAlignment="1">
      <alignment/>
    </xf>
    <xf numFmtId="0" fontId="0" fillId="0" borderId="21" xfId="0" applyFont="1" applyBorder="1" applyAlignment="1">
      <alignment/>
    </xf>
    <xf numFmtId="0" fontId="0" fillId="0" borderId="18" xfId="0" applyFont="1" applyBorder="1" applyAlignment="1">
      <alignment/>
    </xf>
    <xf numFmtId="0" fontId="10" fillId="0" borderId="21"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77" applyFont="1" applyBorder="1" applyAlignment="1">
      <alignment horizontal="center"/>
    </xf>
    <xf numFmtId="10" fontId="0" fillId="0" borderId="0" xfId="77" applyNumberFormat="1" applyFont="1" applyBorder="1" applyAlignment="1">
      <alignment horizontal="center"/>
    </xf>
    <xf numFmtId="164" fontId="0" fillId="0" borderId="21" xfId="0" applyNumberFormat="1" applyFont="1" applyFill="1" applyBorder="1" applyAlignment="1">
      <alignment horizontal="center"/>
    </xf>
    <xf numFmtId="0" fontId="0" fillId="0" borderId="15" xfId="0" applyFont="1" applyBorder="1" applyAlignment="1">
      <alignment/>
    </xf>
    <xf numFmtId="0" fontId="36" fillId="0" borderId="0"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7" fillId="0" borderId="0" xfId="0" applyNumberFormat="1" applyFont="1" applyFill="1" applyBorder="1" applyAlignment="1">
      <alignment horizontal="center"/>
    </xf>
    <xf numFmtId="3" fontId="37" fillId="0" borderId="0" xfId="0" applyNumberFormat="1" applyFont="1" applyFill="1" applyBorder="1" applyAlignment="1">
      <alignment horizontal="center"/>
    </xf>
    <xf numFmtId="3" fontId="0" fillId="0" borderId="15" xfId="0" applyNumberFormat="1" applyFont="1" applyFill="1" applyBorder="1" applyAlignment="1">
      <alignment/>
    </xf>
    <xf numFmtId="0" fontId="1" fillId="0" borderId="0" xfId="0" applyNumberFormat="1" applyFont="1" applyFill="1" applyBorder="1" applyAlignment="1">
      <alignment horizontal="left"/>
    </xf>
    <xf numFmtId="0" fontId="0" fillId="0" borderId="0" xfId="0" applyFont="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0" fillId="0" borderId="16" xfId="0" applyNumberFormat="1" applyFont="1" applyBorder="1" applyAlignment="1">
      <alignment horizontal="center"/>
    </xf>
    <xf numFmtId="0" fontId="0" fillId="0" borderId="17" xfId="0" applyNumberFormat="1" applyFont="1" applyFill="1" applyBorder="1" applyAlignment="1">
      <alignment horizontal="center"/>
    </xf>
    <xf numFmtId="0" fontId="0" fillId="0" borderId="21" xfId="0" applyNumberFormat="1" applyFont="1" applyFill="1" applyBorder="1" applyAlignment="1">
      <alignment horizontal="right"/>
    </xf>
    <xf numFmtId="0" fontId="0" fillId="0" borderId="21" xfId="0" applyNumberFormat="1" applyFont="1" applyFill="1" applyBorder="1" applyAlignment="1">
      <alignment horizontal="left"/>
    </xf>
    <xf numFmtId="0" fontId="0" fillId="0" borderId="21" xfId="0" applyFont="1" applyFill="1" applyBorder="1" applyAlignment="1">
      <alignment/>
    </xf>
    <xf numFmtId="0" fontId="37" fillId="0" borderId="21" xfId="0" applyNumberFormat="1" applyFont="1" applyFill="1" applyBorder="1" applyAlignment="1">
      <alignment horizontal="center"/>
    </xf>
    <xf numFmtId="0" fontId="0" fillId="0" borderId="21" xfId="0" applyNumberFormat="1" applyFont="1" applyFill="1" applyBorder="1" applyAlignment="1">
      <alignment horizontal="center"/>
    </xf>
    <xf numFmtId="0" fontId="37" fillId="0" borderId="21" xfId="0" applyFont="1" applyFill="1" applyBorder="1" applyAlignment="1">
      <alignment/>
    </xf>
    <xf numFmtId="0" fontId="0" fillId="0" borderId="18" xfId="0" applyNumberFormat="1" applyFont="1" applyFill="1" applyBorder="1" applyAlignment="1">
      <alignment horizontal="left"/>
    </xf>
    <xf numFmtId="0" fontId="37"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7" fillId="0" borderId="0" xfId="0" applyNumberFormat="1" applyFont="1" applyBorder="1" applyAlignment="1">
      <alignment horizontal="center"/>
    </xf>
    <xf numFmtId="3" fontId="0" fillId="0" borderId="15" xfId="0" applyNumberFormat="1" applyFont="1" applyBorder="1" applyAlignment="1">
      <alignment horizontal="left"/>
    </xf>
    <xf numFmtId="0" fontId="0" fillId="0" borderId="21" xfId="0" applyNumberFormat="1" applyFont="1" applyBorder="1" applyAlignment="1">
      <alignment horizontal="center"/>
    </xf>
    <xf numFmtId="0" fontId="37" fillId="0" borderId="21" xfId="0" applyFont="1" applyFill="1" applyBorder="1" applyAlignment="1">
      <alignment horizontal="center"/>
    </xf>
    <xf numFmtId="0" fontId="0" fillId="0" borderId="17" xfId="0" applyNumberFormat="1" applyFont="1" applyBorder="1" applyAlignment="1">
      <alignment horizontal="center"/>
    </xf>
    <xf numFmtId="0" fontId="0" fillId="0" borderId="21" xfId="0" applyNumberFormat="1" applyFont="1" applyBorder="1" applyAlignment="1">
      <alignment horizontal="left"/>
    </xf>
    <xf numFmtId="0" fontId="37" fillId="0" borderId="21" xfId="0" applyNumberFormat="1" applyFont="1" applyBorder="1" applyAlignment="1">
      <alignment horizontal="center"/>
    </xf>
    <xf numFmtId="0" fontId="0" fillId="0" borderId="18" xfId="0" applyNumberFormat="1" applyFont="1" applyBorder="1" applyAlignment="1">
      <alignment horizontal="left"/>
    </xf>
    <xf numFmtId="168" fontId="1" fillId="0" borderId="0" xfId="0" applyNumberFormat="1" applyFont="1" applyBorder="1" applyAlignment="1">
      <alignment horizontal="left"/>
    </xf>
    <xf numFmtId="3" fontId="0" fillId="0" borderId="15" xfId="0" applyNumberFormat="1" applyFont="1" applyBorder="1" applyAlignment="1">
      <alignment/>
    </xf>
    <xf numFmtId="170" fontId="0" fillId="0" borderId="21" xfId="0" applyNumberFormat="1" applyFont="1" applyBorder="1" applyAlignment="1">
      <alignment/>
    </xf>
    <xf numFmtId="0" fontId="1" fillId="0" borderId="16" xfId="0" applyNumberFormat="1" applyFont="1" applyBorder="1" applyAlignment="1">
      <alignment horizontal="center"/>
    </xf>
    <xf numFmtId="0" fontId="1" fillId="0" borderId="0" xfId="0" applyFont="1" applyFill="1" applyBorder="1" applyAlignment="1">
      <alignment/>
    </xf>
    <xf numFmtId="3" fontId="1" fillId="0" borderId="15"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 vertical="top"/>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168" fontId="0" fillId="0" borderId="12" xfId="77" applyNumberFormat="1" applyFont="1" applyBorder="1" applyAlignment="1">
      <alignment/>
    </xf>
    <xf numFmtId="164" fontId="0" fillId="0" borderId="12" xfId="42" applyNumberFormat="1" applyFont="1" applyFill="1" applyBorder="1" applyAlignment="1">
      <alignment horizontal="left"/>
    </xf>
    <xf numFmtId="164" fontId="1" fillId="0" borderId="21" xfId="42" applyNumberFormat="1" applyFont="1" applyBorder="1" applyAlignment="1">
      <alignment/>
    </xf>
    <xf numFmtId="0" fontId="0" fillId="0" borderId="20"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0" fontId="33" fillId="0" borderId="0" xfId="0" applyFont="1" applyBorder="1" applyAlignment="1">
      <alignment horizontal="left"/>
    </xf>
    <xf numFmtId="0" fontId="0" fillId="0" borderId="12" xfId="0" applyNumberFormat="1" applyFont="1" applyFill="1" applyBorder="1" applyAlignment="1">
      <alignment horizontal="left"/>
    </xf>
    <xf numFmtId="164" fontId="0" fillId="0" borderId="15" xfId="42" applyNumberFormat="1" applyFont="1" applyFill="1" applyBorder="1" applyAlignment="1">
      <alignment horizontal="right"/>
    </xf>
    <xf numFmtId="0" fontId="33" fillId="0" borderId="0" xfId="0" applyNumberFormat="1" applyFont="1" applyFill="1" applyBorder="1" applyAlignment="1">
      <alignment horizontal="lef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29"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3" fontId="0" fillId="0" borderId="12" xfId="0" applyNumberFormat="1" applyFont="1" applyFill="1" applyBorder="1" applyAlignment="1">
      <alignment horizontal="center"/>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17" xfId="0" applyFont="1" applyFill="1" applyBorder="1" applyAlignment="1">
      <alignment/>
    </xf>
    <xf numFmtId="0" fontId="1"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4" fillId="37" borderId="30"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8" fillId="36" borderId="20" xfId="0" applyFont="1" applyFill="1" applyBorder="1" applyAlignment="1">
      <alignment horizontal="center" wrapText="1"/>
    </xf>
    <xf numFmtId="0" fontId="22" fillId="0" borderId="0" xfId="0" applyNumberFormat="1" applyFont="1" applyFill="1" applyBorder="1" applyAlignment="1">
      <alignment horizontal="left"/>
    </xf>
    <xf numFmtId="0" fontId="39"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3" fontId="28" fillId="0" borderId="21" xfId="0" applyNumberFormat="1" applyFont="1" applyFill="1" applyBorder="1" applyAlignment="1">
      <alignment horizontal="center"/>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8"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0" fontId="30" fillId="0" borderId="0" xfId="0" applyNumberFormat="1" applyFont="1" applyFill="1" applyBorder="1" applyAlignment="1">
      <alignment/>
    </xf>
    <xf numFmtId="0" fontId="28" fillId="0" borderId="16" xfId="0" applyNumberFormat="1" applyFont="1" applyFill="1" applyBorder="1" applyAlignment="1">
      <alignment horizontal="center"/>
    </xf>
    <xf numFmtId="0" fontId="28" fillId="0" borderId="0" xfId="0" applyNumberFormat="1" applyFont="1" applyFill="1" applyBorder="1" applyAlignment="1">
      <alignment horizontal="left"/>
    </xf>
    <xf numFmtId="3" fontId="40" fillId="0" borderId="0" xfId="0" applyNumberFormat="1" applyFont="1" applyFill="1" applyBorder="1" applyAlignment="1">
      <alignment horizontal="center"/>
    </xf>
    <xf numFmtId="3" fontId="28" fillId="0" borderId="15" xfId="0" applyNumberFormat="1" applyFont="1" applyFill="1" applyBorder="1" applyAlignment="1">
      <alignment/>
    </xf>
    <xf numFmtId="0" fontId="30" fillId="0" borderId="0" xfId="0" applyNumberFormat="1" applyFont="1" applyFill="1" applyBorder="1" applyAlignment="1">
      <alignment horizontal="left"/>
    </xf>
    <xf numFmtId="0" fontId="28" fillId="0" borderId="0" xfId="0" applyFont="1" applyBorder="1" applyAlignment="1">
      <alignment horizontal="left"/>
    </xf>
    <xf numFmtId="0" fontId="28" fillId="0" borderId="0" xfId="0" applyFont="1" applyFill="1" applyBorder="1" applyAlignment="1">
      <alignment horizontal="left"/>
    </xf>
    <xf numFmtId="3" fontId="40"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0" xfId="0" applyNumberFormat="1" applyFont="1" applyFill="1" applyBorder="1" applyAlignment="1">
      <alignment horizontal="center"/>
    </xf>
    <xf numFmtId="0" fontId="30" fillId="0" borderId="0" xfId="0" applyNumberFormat="1" applyFont="1" applyBorder="1" applyAlignment="1">
      <alignment horizontal="left"/>
    </xf>
    <xf numFmtId="0" fontId="28" fillId="0" borderId="16" xfId="0" applyNumberFormat="1" applyFont="1" applyBorder="1" applyAlignment="1">
      <alignment horizontal="center"/>
    </xf>
    <xf numFmtId="0" fontId="28" fillId="0" borderId="0" xfId="0" applyNumberFormat="1" applyFont="1" applyBorder="1" applyAlignment="1">
      <alignment horizontal="right"/>
    </xf>
    <xf numFmtId="0" fontId="28" fillId="0" borderId="0" xfId="0" applyNumberFormat="1" applyFont="1" applyFill="1" applyBorder="1" applyAlignment="1">
      <alignment horizontal="right"/>
    </xf>
    <xf numFmtId="0" fontId="28" fillId="0" borderId="17" xfId="0" applyNumberFormat="1" applyFont="1" applyFill="1" applyBorder="1" applyAlignment="1">
      <alignment horizontal="center"/>
    </xf>
    <xf numFmtId="0" fontId="28" fillId="0" borderId="21" xfId="0" applyNumberFormat="1" applyFont="1" applyFill="1" applyBorder="1" applyAlignment="1">
      <alignment horizontal="right"/>
    </xf>
    <xf numFmtId="0" fontId="28" fillId="0" borderId="21" xfId="0" applyFont="1" applyFill="1" applyBorder="1" applyAlignment="1">
      <alignment/>
    </xf>
    <xf numFmtId="0" fontId="28" fillId="0" borderId="20" xfId="0" applyFont="1" applyBorder="1" applyAlignment="1">
      <alignment horizontal="center" wrapText="1"/>
    </xf>
    <xf numFmtId="0" fontId="28" fillId="0" borderId="23" xfId="0" applyFont="1" applyBorder="1" applyAlignment="1">
      <alignment horizontal="center" wrapText="1"/>
    </xf>
    <xf numFmtId="0" fontId="38"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21" xfId="0" applyFont="1" applyFill="1" applyBorder="1" applyAlignment="1">
      <alignment horizontal="left" wrapText="1"/>
    </xf>
    <xf numFmtId="0" fontId="28" fillId="0" borderId="18" xfId="0" applyFont="1" applyFill="1" applyBorder="1" applyAlignment="1">
      <alignment horizontal="left" wrapText="1"/>
    </xf>
    <xf numFmtId="0" fontId="28" fillId="0" borderId="21" xfId="0" applyFont="1" applyFill="1" applyBorder="1" applyAlignment="1">
      <alignment horizontal="left"/>
    </xf>
    <xf numFmtId="3" fontId="37"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21" xfId="0" applyNumberFormat="1" applyFont="1" applyFill="1" applyBorder="1" applyAlignment="1">
      <alignment horizontal="center"/>
    </xf>
    <xf numFmtId="164" fontId="0" fillId="34" borderId="0" xfId="42" applyNumberFormat="1" applyFont="1" applyFill="1" applyAlignment="1">
      <alignment/>
    </xf>
    <xf numFmtId="164" fontId="0" fillId="34" borderId="12" xfId="42" applyNumberFormat="1" applyFont="1" applyFill="1" applyBorder="1" applyAlignment="1">
      <alignment/>
    </xf>
    <xf numFmtId="0" fontId="1" fillId="0" borderId="0" xfId="0" applyFont="1" applyFill="1" applyBorder="1" applyAlignment="1">
      <alignment horizontal="center" wrapText="1"/>
    </xf>
    <xf numFmtId="164" fontId="0" fillId="0" borderId="0" xfId="0" applyNumberFormat="1" applyAlignment="1">
      <alignment/>
    </xf>
    <xf numFmtId="0" fontId="5" fillId="36" borderId="19"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176" fontId="28" fillId="0" borderId="0" xfId="42" applyNumberFormat="1" applyFont="1" applyFill="1" applyBorder="1" applyAlignment="1">
      <alignment/>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2"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3" fillId="0" borderId="0" xfId="0" applyFont="1" applyAlignment="1">
      <alignment/>
    </xf>
    <xf numFmtId="168" fontId="0" fillId="0" borderId="0" xfId="77" applyNumberFormat="1" applyFont="1" applyBorder="1" applyAlignment="1">
      <alignment/>
    </xf>
    <xf numFmtId="164" fontId="0" fillId="0" borderId="0" xfId="0" applyNumberFormat="1" applyFont="1" applyAlignment="1">
      <alignment/>
    </xf>
    <xf numFmtId="3" fontId="0" fillId="0" borderId="18" xfId="0" applyNumberFormat="1" applyFont="1" applyFill="1" applyBorder="1" applyAlignment="1">
      <alignment horizontal="left"/>
    </xf>
    <xf numFmtId="167" fontId="0" fillId="0" borderId="0" xfId="51"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17" xfId="42" applyNumberFormat="1" applyFont="1" applyFill="1" applyBorder="1" applyAlignment="1">
      <alignment horizontal="center"/>
    </xf>
    <xf numFmtId="164" fontId="0" fillId="0" borderId="21"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77" applyNumberFormat="1" applyFont="1" applyFill="1" applyBorder="1" applyAlignment="1">
      <alignment/>
    </xf>
    <xf numFmtId="168" fontId="0" fillId="0" borderId="21" xfId="77" applyNumberFormat="1" applyFont="1" applyFill="1" applyBorder="1" applyAlignment="1">
      <alignment/>
    </xf>
    <xf numFmtId="164" fontId="0" fillId="0" borderId="21" xfId="42" applyNumberFormat="1" applyFont="1" applyFill="1" applyBorder="1" applyAlignment="1">
      <alignment horizontal="left"/>
    </xf>
    <xf numFmtId="0" fontId="0" fillId="0" borderId="18" xfId="0" applyFont="1" applyFill="1" applyBorder="1" applyAlignment="1">
      <alignment horizontal="center"/>
    </xf>
    <xf numFmtId="0" fontId="45" fillId="0" borderId="0" xfId="0" applyFont="1" applyFill="1" applyBorder="1" applyAlignment="1">
      <alignment horizontal="center" wrapText="1"/>
    </xf>
    <xf numFmtId="164" fontId="28" fillId="33" borderId="16" xfId="42" applyNumberFormat="1" applyFont="1" applyFill="1" applyBorder="1" applyAlignment="1">
      <alignment/>
    </xf>
    <xf numFmtId="0" fontId="46"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164" fontId="0" fillId="34" borderId="0" xfId="42" applyNumberFormat="1" applyFont="1" applyFill="1" applyBorder="1" applyAlignment="1">
      <alignment/>
    </xf>
    <xf numFmtId="0" fontId="0" fillId="0" borderId="19" xfId="0" applyNumberFormat="1" applyFont="1" applyFill="1" applyBorder="1" applyAlignment="1">
      <alignment horizontal="center"/>
    </xf>
    <xf numFmtId="0" fontId="1" fillId="0" borderId="20" xfId="0" applyNumberFormat="1" applyFont="1" applyFill="1" applyBorder="1" applyAlignment="1">
      <alignment horizontal="left"/>
    </xf>
    <xf numFmtId="164" fontId="30" fillId="0" borderId="23" xfId="42" applyNumberFormat="1" applyFont="1" applyFill="1" applyBorder="1" applyAlignment="1">
      <alignment horizontal="center" wrapText="1"/>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4" fillId="0" borderId="0" xfId="0" applyNumberFormat="1" applyFont="1" applyFill="1" applyAlignment="1">
      <alignment/>
    </xf>
    <xf numFmtId="0" fontId="47" fillId="0" borderId="0" xfId="0" applyFont="1" applyAlignment="1">
      <alignment/>
    </xf>
    <xf numFmtId="164" fontId="47" fillId="0" borderId="0" xfId="42" applyNumberFormat="1" applyFont="1" applyAlignment="1">
      <alignment/>
    </xf>
    <xf numFmtId="164" fontId="47"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164" fontId="0" fillId="34" borderId="0" xfId="0" applyNumberFormat="1" applyFont="1" applyFill="1" applyAlignment="1">
      <alignment/>
    </xf>
    <xf numFmtId="0" fontId="47" fillId="0" borderId="0" xfId="0" applyFont="1" applyFill="1" applyAlignment="1">
      <alignment horizontal="left"/>
    </xf>
    <xf numFmtId="164" fontId="47" fillId="0" borderId="0" xfId="42" applyNumberFormat="1" applyFont="1" applyFill="1" applyAlignment="1">
      <alignment horizontal="left"/>
    </xf>
    <xf numFmtId="3" fontId="1" fillId="0" borderId="0" xfId="0" applyNumberFormat="1" applyFont="1" applyFill="1" applyBorder="1" applyAlignment="1">
      <alignment horizontal="left"/>
    </xf>
    <xf numFmtId="0" fontId="0" fillId="0" borderId="16" xfId="0" applyFont="1" applyFill="1" applyBorder="1" applyAlignment="1">
      <alignment horizontal="center"/>
    </xf>
    <xf numFmtId="10" fontId="0" fillId="0" borderId="0" xfId="77" applyNumberFormat="1" applyFont="1" applyFill="1" applyBorder="1" applyAlignment="1">
      <alignment/>
    </xf>
    <xf numFmtId="43" fontId="0" fillId="0" borderId="0" xfId="0" applyNumberFormat="1" applyFont="1" applyFill="1" applyBorder="1" applyAlignment="1">
      <alignment horizontal="center" wrapText="1"/>
    </xf>
    <xf numFmtId="0" fontId="0" fillId="0" borderId="18" xfId="0" applyFont="1" applyFill="1" applyBorder="1" applyAlignment="1">
      <alignment/>
    </xf>
    <xf numFmtId="164" fontId="0" fillId="34" borderId="0" xfId="42" applyNumberFormat="1" applyFont="1" applyFill="1" applyAlignment="1">
      <alignment/>
    </xf>
    <xf numFmtId="0" fontId="28" fillId="34" borderId="26"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32" xfId="0" applyFont="1" applyBorder="1" applyAlignment="1">
      <alignment/>
    </xf>
    <xf numFmtId="0" fontId="0" fillId="0" borderId="12" xfId="0" applyFont="1" applyBorder="1" applyAlignment="1">
      <alignment/>
    </xf>
    <xf numFmtId="0" fontId="0" fillId="0" borderId="33" xfId="0" applyFont="1" applyBorder="1" applyAlignment="1">
      <alignment/>
    </xf>
    <xf numFmtId="164" fontId="0" fillId="0" borderId="26" xfId="42" applyNumberFormat="1" applyFont="1" applyFill="1" applyBorder="1" applyAlignment="1">
      <alignment/>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Fill="1" applyAlignment="1">
      <alignmen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6" fillId="0" borderId="0" xfId="42" applyNumberFormat="1" applyFont="1" applyFill="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34" borderId="0" xfId="42" applyNumberFormat="1" applyFont="1" applyFill="1" applyAlignment="1">
      <alignment horizontal="right"/>
    </xf>
    <xf numFmtId="164" fontId="14" fillId="34" borderId="12" xfId="42" applyNumberFormat="1" applyFont="1" applyFill="1" applyBorder="1" applyAlignment="1">
      <alignment horizontal="right"/>
    </xf>
    <xf numFmtId="164" fontId="14" fillId="0" borderId="0" xfId="42" applyNumberFormat="1" applyFont="1" applyFill="1" applyAlignment="1">
      <alignment horizontal="right"/>
    </xf>
    <xf numFmtId="164" fontId="15"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4" fillId="0" borderId="11" xfId="42" applyNumberFormat="1" applyFont="1" applyFill="1" applyBorder="1" applyAlignment="1">
      <alignment/>
    </xf>
    <xf numFmtId="10" fontId="0" fillId="34" borderId="0" xfId="77"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Alignment="1">
      <alignment horizontal="center"/>
    </xf>
    <xf numFmtId="164" fontId="22" fillId="0" borderId="0" xfId="42" applyNumberFormat="1" applyFont="1" applyAlignment="1">
      <alignment/>
    </xf>
    <xf numFmtId="0" fontId="22" fillId="0" borderId="0" xfId="0" applyFont="1" applyFill="1" applyAlignment="1">
      <alignment horizontal="center"/>
    </xf>
    <xf numFmtId="0" fontId="22" fillId="0" borderId="0" xfId="0" applyFont="1" applyBorder="1" applyAlignment="1">
      <alignment/>
    </xf>
    <xf numFmtId="0" fontId="22" fillId="0" borderId="16" xfId="0" applyFont="1" applyBorder="1" applyAlignment="1">
      <alignment/>
    </xf>
    <xf numFmtId="0" fontId="22" fillId="0" borderId="21"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51" applyNumberFormat="1" applyFont="1" applyBorder="1" applyAlignment="1">
      <alignment/>
    </xf>
    <xf numFmtId="0" fontId="22" fillId="0" borderId="21" xfId="0" applyNumberFormat="1" applyFont="1" applyFill="1" applyBorder="1" applyAlignment="1">
      <alignment horizontal="center"/>
    </xf>
    <xf numFmtId="0" fontId="39" fillId="0" borderId="21" xfId="0" applyNumberFormat="1" applyFont="1" applyFill="1" applyBorder="1" applyAlignment="1">
      <alignment horizontal="center"/>
    </xf>
    <xf numFmtId="0" fontId="22" fillId="0" borderId="18" xfId="0" applyNumberFormat="1" applyFont="1" applyFill="1" applyBorder="1" applyAlignment="1">
      <alignment horizontal="center"/>
    </xf>
    <xf numFmtId="0" fontId="22" fillId="0" borderId="17"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7"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0" fontId="0" fillId="34" borderId="12" xfId="0" applyFill="1" applyBorder="1" applyAlignment="1">
      <alignment/>
    </xf>
    <xf numFmtId="0" fontId="31" fillId="0" borderId="0" xfId="0" applyFont="1" applyFill="1" applyAlignment="1">
      <alignment/>
    </xf>
    <xf numFmtId="177" fontId="6" fillId="0" borderId="12" xfId="42" applyNumberFormat="1" applyFont="1" applyFill="1" applyBorder="1" applyAlignment="1">
      <alignment/>
    </xf>
    <xf numFmtId="177" fontId="4" fillId="0" borderId="0" xfId="42" applyNumberFormat="1" applyFont="1" applyFill="1" applyAlignment="1">
      <alignment/>
    </xf>
    <xf numFmtId="201" fontId="6" fillId="0" borderId="0" xfId="0" applyNumberFormat="1" applyFont="1" applyFill="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64" fontId="6" fillId="34" borderId="12" xfId="42" applyNumberFormat="1" applyFont="1" applyFill="1" applyBorder="1" applyAlignment="1">
      <alignment/>
    </xf>
    <xf numFmtId="10" fontId="0" fillId="34" borderId="17" xfId="77"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0" fillId="0" borderId="0" xfId="77" applyNumberFormat="1" applyFont="1" applyAlignment="1">
      <alignment/>
    </xf>
    <xf numFmtId="167" fontId="0" fillId="0" borderId="0" xfId="51"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7"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49" fillId="0" borderId="0" xfId="0" applyFont="1" applyFill="1" applyBorder="1" applyAlignment="1">
      <alignment horizontal="center"/>
    </xf>
    <xf numFmtId="0" fontId="30" fillId="0" borderId="0" xfId="0" applyFont="1" applyFill="1" applyBorder="1" applyAlignment="1">
      <alignment/>
    </xf>
    <xf numFmtId="0" fontId="49"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21"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0" xfId="0" applyFont="1" applyFill="1" applyBorder="1" applyAlignment="1">
      <alignment horizontal="center" wrapText="1"/>
    </xf>
    <xf numFmtId="0" fontId="30" fillId="36" borderId="19" xfId="0" applyFont="1" applyFill="1" applyBorder="1" applyAlignment="1">
      <alignment horizontal="center" wrapText="1"/>
    </xf>
    <xf numFmtId="0" fontId="30" fillId="36" borderId="20" xfId="0" applyFont="1" applyFill="1" applyBorder="1" applyAlignment="1">
      <alignment horizontal="center" wrapText="1"/>
    </xf>
    <xf numFmtId="0" fontId="1" fillId="36" borderId="13" xfId="0" applyFont="1" applyFill="1" applyBorder="1" applyAlignment="1">
      <alignment horizontal="center" wrapText="1"/>
    </xf>
    <xf numFmtId="9" fontId="0" fillId="0" borderId="0" xfId="77" applyFont="1" applyFill="1" applyBorder="1" applyAlignment="1">
      <alignment horizontal="center"/>
    </xf>
    <xf numFmtId="164" fontId="0" fillId="34" borderId="12" xfId="0" applyNumberFormat="1" applyFont="1" applyFill="1" applyBorder="1" applyAlignment="1">
      <alignment/>
    </xf>
    <xf numFmtId="0" fontId="1" fillId="0" borderId="0" xfId="0" applyFont="1" applyFill="1" applyAlignment="1">
      <alignment horizontal="center"/>
    </xf>
    <xf numFmtId="0" fontId="0" fillId="0" borderId="21" xfId="0" applyNumberFormat="1" applyFont="1" applyFill="1" applyBorder="1" applyAlignment="1">
      <alignment/>
    </xf>
    <xf numFmtId="0" fontId="33" fillId="0" borderId="21" xfId="0" applyNumberFormat="1" applyFont="1" applyFill="1" applyBorder="1" applyAlignment="1">
      <alignment horizontal="left"/>
    </xf>
    <xf numFmtId="3" fontId="0" fillId="0" borderId="21" xfId="0" applyNumberFormat="1" applyFont="1" applyFill="1" applyBorder="1" applyAlignment="1">
      <alignment/>
    </xf>
    <xf numFmtId="3" fontId="37" fillId="0" borderId="21" xfId="0" applyNumberFormat="1" applyFont="1" applyBorder="1" applyAlignment="1">
      <alignment horizontal="center"/>
    </xf>
    <xf numFmtId="164" fontId="0" fillId="0" borderId="18" xfId="42" applyNumberFormat="1" applyFont="1" applyBorder="1" applyAlignment="1">
      <alignment horizontal="right"/>
    </xf>
    <xf numFmtId="164" fontId="0" fillId="0" borderId="21" xfId="42" applyNumberFormat="1" applyFont="1" applyFill="1" applyBorder="1" applyAlignment="1">
      <alignment horizontal="right"/>
    </xf>
    <xf numFmtId="0" fontId="48" fillId="0" borderId="21" xfId="0" applyFont="1" applyBorder="1" applyAlignment="1">
      <alignment/>
    </xf>
    <xf numFmtId="0" fontId="0" fillId="0" borderId="18" xfId="0" applyFont="1" applyBorder="1" applyAlignment="1">
      <alignment/>
    </xf>
    <xf numFmtId="164" fontId="0" fillId="0" borderId="16" xfId="0" applyNumberFormat="1" applyFont="1" applyBorder="1" applyAlignment="1">
      <alignment/>
    </xf>
    <xf numFmtId="164" fontId="0" fillId="34" borderId="29" xfId="0" applyNumberFormat="1" applyFont="1" applyFill="1" applyBorder="1" applyAlignment="1">
      <alignment horizontal="center"/>
    </xf>
    <xf numFmtId="164" fontId="0" fillId="0" borderId="34" xfId="0" applyNumberFormat="1" applyFont="1" applyFill="1" applyBorder="1" applyAlignment="1">
      <alignment horizontal="center"/>
    </xf>
    <xf numFmtId="164" fontId="0" fillId="0" borderId="16" xfId="0" applyNumberFormat="1" applyFont="1" applyFill="1" applyBorder="1" applyAlignment="1">
      <alignment horizontal="center"/>
    </xf>
    <xf numFmtId="0" fontId="10" fillId="0" borderId="0" xfId="0" applyFont="1" applyFill="1" applyAlignment="1">
      <alignment horizontal="left"/>
    </xf>
    <xf numFmtId="0" fontId="5" fillId="0" borderId="0" xfId="0" applyFont="1" applyFill="1" applyAlignment="1">
      <alignment horizontal="center"/>
    </xf>
    <xf numFmtId="0" fontId="10" fillId="0" borderId="0" xfId="0" applyFont="1" applyFill="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167" fontId="0" fillId="34" borderId="0" xfId="0" applyNumberFormat="1" applyFont="1" applyFill="1" applyAlignment="1">
      <alignment/>
    </xf>
    <xf numFmtId="209" fontId="0" fillId="34" borderId="0" xfId="0" applyNumberFormat="1" applyFont="1" applyFill="1" applyAlignment="1">
      <alignment horizontal="center"/>
    </xf>
    <xf numFmtId="164" fontId="0" fillId="0" borderId="0" xfId="0" applyNumberFormat="1" applyFont="1" applyFill="1" applyAlignment="1">
      <alignment horizontal="left"/>
    </xf>
    <xf numFmtId="164" fontId="0" fillId="0" borderId="0" xfId="0" applyNumberFormat="1" applyFont="1" applyAlignment="1">
      <alignment/>
    </xf>
    <xf numFmtId="37" fontId="15" fillId="0" borderId="0" xfId="0" applyNumberFormat="1" applyFont="1" applyFill="1" applyBorder="1" applyAlignment="1">
      <alignment horizontal="left"/>
    </xf>
    <xf numFmtId="10" fontId="16" fillId="0" borderId="0" xfId="77" applyNumberFormat="1" applyFont="1" applyFill="1" applyBorder="1" applyAlignment="1">
      <alignment horizontal="right"/>
    </xf>
    <xf numFmtId="37" fontId="15" fillId="0" borderId="0" xfId="0" applyNumberFormat="1" applyFont="1" applyFill="1" applyBorder="1" applyAlignment="1">
      <alignment horizontal="right"/>
    </xf>
    <xf numFmtId="164" fontId="28" fillId="0" borderId="16" xfId="42" applyNumberFormat="1" applyFont="1" applyFill="1" applyBorder="1" applyAlignment="1">
      <alignment/>
    </xf>
    <xf numFmtId="164" fontId="28" fillId="0" borderId="17" xfId="42" applyNumberFormat="1" applyFont="1" applyFill="1" applyBorder="1" applyAlignment="1">
      <alignment/>
    </xf>
    <xf numFmtId="208" fontId="31" fillId="0" borderId="0" xfId="0" applyNumberFormat="1" applyFont="1" applyBorder="1" applyAlignment="1">
      <alignment horizontal="righ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34" borderId="0" xfId="42" applyNumberFormat="1" applyFont="1" applyFill="1" applyBorder="1" applyAlignment="1">
      <alignment/>
    </xf>
    <xf numFmtId="164" fontId="6" fillId="34" borderId="0" xfId="42" applyNumberFormat="1" applyFont="1" applyFill="1" applyAlignment="1">
      <alignment/>
    </xf>
    <xf numFmtId="164" fontId="6" fillId="34" borderId="12" xfId="42" applyNumberFormat="1" applyFont="1" applyFill="1" applyBorder="1" applyAlignment="1">
      <alignment/>
    </xf>
    <xf numFmtId="164" fontId="6" fillId="0" borderId="10" xfId="42" applyNumberFormat="1" applyFont="1" applyFill="1" applyBorder="1" applyAlignment="1">
      <alignment/>
    </xf>
    <xf numFmtId="172" fontId="6" fillId="0" borderId="0" xfId="77"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77" applyNumberFormat="1" applyFont="1" applyBorder="1" applyAlignment="1">
      <alignment/>
    </xf>
    <xf numFmtId="164" fontId="6" fillId="34" borderId="0" xfId="42" applyNumberFormat="1" applyFont="1" applyFill="1" applyBorder="1" applyAlignment="1">
      <alignment horizontal="right"/>
    </xf>
    <xf numFmtId="172" fontId="6" fillId="0" borderId="0" xfId="0" applyNumberFormat="1" applyFont="1" applyFill="1" applyAlignment="1">
      <alignment horizontal="right"/>
    </xf>
    <xf numFmtId="172" fontId="14" fillId="0" borderId="0" xfId="77" applyNumberFormat="1" applyFont="1" applyFill="1" applyAlignment="1">
      <alignment horizontal="right"/>
    </xf>
    <xf numFmtId="164" fontId="15" fillId="0" borderId="10" xfId="42" applyNumberFormat="1" applyFont="1" applyBorder="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77" applyNumberFormat="1" applyFont="1" applyFill="1" applyAlignment="1">
      <alignment/>
    </xf>
    <xf numFmtId="173" fontId="6" fillId="0" borderId="0" xfId="77" applyNumberFormat="1" applyFont="1" applyFill="1" applyAlignment="1">
      <alignment horizontal="right"/>
    </xf>
    <xf numFmtId="164" fontId="12" fillId="0" borderId="0" xfId="42" applyNumberFormat="1" applyFont="1" applyBorder="1" applyAlignment="1">
      <alignment/>
    </xf>
    <xf numFmtId="10" fontId="6" fillId="0" borderId="0" xfId="77"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164" fontId="22" fillId="34" borderId="0" xfId="42" applyNumberFormat="1" applyFont="1" applyFill="1" applyAlignment="1">
      <alignment vertical="center" wrapText="1"/>
    </xf>
    <xf numFmtId="0" fontId="37" fillId="0" borderId="0" xfId="0" applyFont="1" applyFill="1" applyBorder="1" applyAlignment="1">
      <alignment horizontal="center"/>
    </xf>
    <xf numFmtId="164" fontId="0" fillId="0" borderId="21" xfId="42" applyNumberFormat="1" applyFont="1" applyBorder="1" applyAlignment="1">
      <alignment/>
    </xf>
    <xf numFmtId="164" fontId="0" fillId="0" borderId="12" xfId="0" applyNumberFormat="1" applyFont="1" applyFill="1" applyBorder="1" applyAlignment="1">
      <alignment horizontal="center"/>
    </xf>
    <xf numFmtId="10" fontId="0" fillId="0" borderId="0" xfId="77" applyNumberFormat="1" applyFont="1" applyFill="1" applyBorder="1" applyAlignment="1">
      <alignment horizontal="center"/>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0" borderId="0" xfId="0" applyNumberFormat="1" applyFill="1" applyAlignment="1">
      <alignment/>
    </xf>
    <xf numFmtId="164" fontId="0" fillId="34" borderId="0" xfId="0" applyNumberFormat="1" applyFont="1" applyFill="1" applyBorder="1" applyAlignment="1">
      <alignment/>
    </xf>
    <xf numFmtId="164" fontId="0" fillId="34" borderId="21" xfId="0" applyNumberFormat="1" applyFont="1" applyFill="1" applyBorder="1" applyAlignment="1">
      <alignment horizontal="center" wrapText="1"/>
    </xf>
    <xf numFmtId="164" fontId="37" fillId="0" borderId="21" xfId="0" applyNumberFormat="1" applyFont="1" applyFill="1" applyBorder="1" applyAlignment="1">
      <alignment/>
    </xf>
    <xf numFmtId="0" fontId="5" fillId="0" borderId="0" xfId="0" applyFont="1" applyFill="1" applyBorder="1" applyAlignment="1">
      <alignment/>
    </xf>
    <xf numFmtId="0" fontId="8" fillId="38" borderId="35" xfId="0" applyFont="1" applyFill="1" applyBorder="1" applyAlignment="1">
      <alignment horizontal="center"/>
    </xf>
    <xf numFmtId="164" fontId="0" fillId="34" borderId="26" xfId="42" applyNumberFormat="1"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77" applyNumberFormat="1" applyFont="1" applyFill="1" applyBorder="1" applyAlignment="1">
      <alignment/>
    </xf>
    <xf numFmtId="164" fontId="0" fillId="0" borderId="0" xfId="42" applyNumberFormat="1" applyFont="1" applyFill="1" applyBorder="1" applyAlignment="1">
      <alignment horizontal="right"/>
    </xf>
    <xf numFmtId="3" fontId="0" fillId="0" borderId="0" xfId="0" applyNumberFormat="1" applyFont="1" applyFill="1" applyAlignment="1">
      <alignment horizontal="right"/>
    </xf>
    <xf numFmtId="0" fontId="1" fillId="36" borderId="13" xfId="0" applyFont="1" applyFill="1" applyBorder="1" applyAlignment="1">
      <alignment horizontal="center"/>
    </xf>
    <xf numFmtId="0" fontId="1" fillId="36" borderId="30" xfId="0" applyFont="1" applyFill="1" applyBorder="1" applyAlignment="1">
      <alignment horizontal="center"/>
    </xf>
    <xf numFmtId="210" fontId="0" fillId="0" borderId="0" xfId="0" applyNumberFormat="1" applyFont="1" applyFill="1" applyAlignment="1">
      <alignment/>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30"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30"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5" fillId="0" borderId="0" xfId="0" applyFont="1" applyFill="1" applyBorder="1" applyAlignment="1">
      <alignment horizontal="righ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72" fontId="0" fillId="34" borderId="0" xfId="77" applyNumberFormat="1" applyFont="1" applyFill="1" applyAlignment="1">
      <alignment/>
    </xf>
    <xf numFmtId="164" fontId="28" fillId="0" borderId="21" xfId="42" applyNumberFormat="1" applyFont="1" applyFill="1" applyBorder="1" applyAlignment="1">
      <alignment/>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164" fontId="4" fillId="34" borderId="0" xfId="42" applyNumberFormat="1" applyFont="1" applyFill="1" applyBorder="1" applyAlignment="1">
      <alignment/>
    </xf>
    <xf numFmtId="0" fontId="1" fillId="0" borderId="36" xfId="0" applyFont="1" applyFill="1" applyBorder="1" applyAlignment="1">
      <alignment/>
    </xf>
    <xf numFmtId="37" fontId="0" fillId="34" borderId="26" xfId="0" applyNumberFormat="1" applyFont="1" applyFill="1" applyBorder="1" applyAlignment="1">
      <alignment/>
    </xf>
    <xf numFmtId="0" fontId="0" fillId="34" borderId="0" xfId="0"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3" fontId="0" fillId="0" borderId="0" xfId="0" applyNumberFormat="1" applyFont="1" applyFill="1" applyBorder="1" applyAlignment="1">
      <alignment/>
    </xf>
    <xf numFmtId="164" fontId="0" fillId="0" borderId="0" xfId="0"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28" fillId="0" borderId="23" xfId="0" applyFont="1" applyFill="1" applyBorder="1" applyAlignment="1">
      <alignment/>
    </xf>
    <xf numFmtId="10" fontId="0" fillId="0" borderId="0" xfId="0" applyNumberFormat="1" applyFont="1" applyFill="1" applyAlignment="1">
      <alignment/>
    </xf>
    <xf numFmtId="10" fontId="0" fillId="0" borderId="12" xfId="0" applyNumberFormat="1" applyFont="1" applyFill="1" applyBorder="1" applyAlignment="1">
      <alignment/>
    </xf>
    <xf numFmtId="164" fontId="30" fillId="0" borderId="21" xfId="42" applyNumberFormat="1" applyFont="1" applyBorder="1" applyAlignment="1">
      <alignment/>
    </xf>
    <xf numFmtId="0" fontId="30" fillId="0" borderId="19" xfId="0" applyFont="1" applyFill="1" applyBorder="1" applyAlignment="1">
      <alignment horizontal="center"/>
    </xf>
    <xf numFmtId="164" fontId="28" fillId="0" borderId="16" xfId="0" applyNumberFormat="1" applyFont="1" applyFill="1" applyBorder="1" applyAlignment="1">
      <alignment/>
    </xf>
    <xf numFmtId="164" fontId="30" fillId="0" borderId="17" xfId="42" applyNumberFormat="1" applyFont="1" applyBorder="1" applyAlignment="1">
      <alignment/>
    </xf>
    <xf numFmtId="0" fontId="28" fillId="0" borderId="24" xfId="0" applyFont="1" applyFill="1" applyBorder="1" applyAlignment="1">
      <alignment horizontal="center"/>
    </xf>
    <xf numFmtId="167" fontId="28" fillId="0" borderId="15" xfId="0" applyNumberFormat="1" applyFont="1" applyFill="1" applyBorder="1" applyAlignment="1">
      <alignment/>
    </xf>
    <xf numFmtId="167" fontId="28" fillId="0" borderId="0" xfId="0" applyNumberFormat="1" applyFont="1" applyFill="1" applyBorder="1" applyAlignment="1">
      <alignment/>
    </xf>
    <xf numFmtId="0" fontId="28" fillId="0" borderId="15" xfId="0" applyFont="1" applyFill="1" applyBorder="1" applyAlignment="1">
      <alignment/>
    </xf>
    <xf numFmtId="167" fontId="0" fillId="0" borderId="0" xfId="0" applyNumberFormat="1" applyFont="1" applyFill="1" applyAlignment="1">
      <alignment/>
    </xf>
    <xf numFmtId="0" fontId="1" fillId="0" borderId="0" xfId="0" applyFont="1" applyFill="1" applyBorder="1" applyAlignment="1">
      <alignmen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0" fontId="38" fillId="0" borderId="0" xfId="0" applyFont="1" applyFill="1" applyBorder="1" applyAlignment="1">
      <alignment horizontal="left"/>
    </xf>
    <xf numFmtId="0" fontId="38" fillId="0" borderId="0" xfId="0" applyFont="1" applyFill="1" applyBorder="1" applyAlignment="1">
      <alignment horizontal="center"/>
    </xf>
    <xf numFmtId="164" fontId="38" fillId="0" borderId="15" xfId="42" applyNumberFormat="1" applyFont="1" applyFill="1" applyBorder="1" applyAlignment="1">
      <alignment horizontal="center"/>
    </xf>
    <xf numFmtId="0" fontId="10" fillId="0" borderId="0" xfId="0" applyFont="1" applyFill="1" applyAlignment="1">
      <alignment horizontal="left"/>
    </xf>
    <xf numFmtId="1" fontId="37" fillId="0" borderId="0" xfId="0" applyNumberFormat="1" applyFont="1" applyFill="1" applyBorder="1" applyAlignment="1">
      <alignment horizontal="left"/>
    </xf>
    <xf numFmtId="168" fontId="6" fillId="0" borderId="35" xfId="0" applyNumberFormat="1" applyFont="1" applyFill="1" applyBorder="1" applyAlignment="1">
      <alignment/>
    </xf>
    <xf numFmtId="0" fontId="102" fillId="0" borderId="0" xfId="0" applyFont="1" applyFill="1" applyAlignment="1">
      <alignment/>
    </xf>
    <xf numFmtId="210" fontId="6" fillId="0" borderId="0" xfId="0" applyNumberFormat="1" applyFont="1" applyAlignment="1">
      <alignment/>
    </xf>
    <xf numFmtId="168" fontId="6" fillId="0" borderId="12" xfId="0" applyNumberFormat="1" applyFont="1" applyFill="1" applyBorder="1" applyAlignment="1">
      <alignment/>
    </xf>
    <xf numFmtId="164" fontId="1" fillId="0" borderId="16" xfId="0" applyNumberFormat="1" applyFont="1" applyFill="1" applyBorder="1" applyAlignment="1">
      <alignment horizontal="center"/>
    </xf>
    <xf numFmtId="0" fontId="12" fillId="0" borderId="0" xfId="0" applyFont="1" applyFill="1" applyBorder="1" applyAlignment="1">
      <alignment horizontal="center"/>
    </xf>
    <xf numFmtId="164" fontId="35" fillId="0" borderId="0" xfId="0" applyNumberFormat="1" applyFont="1" applyFill="1" applyBorder="1" applyAlignment="1">
      <alignment/>
    </xf>
    <xf numFmtId="0" fontId="1" fillId="0" borderId="0" xfId="0" applyFont="1" applyFill="1" applyAlignment="1" quotePrefix="1">
      <alignment horizontal="left"/>
    </xf>
    <xf numFmtId="164" fontId="0" fillId="0" borderId="0" xfId="0" applyNumberFormat="1" applyFont="1" applyFill="1" applyBorder="1" applyAlignment="1">
      <alignment horizontal="center"/>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164" fontId="0" fillId="0" borderId="29" xfId="0" applyNumberFormat="1" applyFont="1" applyFill="1" applyBorder="1" applyAlignment="1">
      <alignment horizontal="right"/>
    </xf>
    <xf numFmtId="0" fontId="10" fillId="0" borderId="0" xfId="0" applyFont="1" applyFill="1" applyBorder="1" applyAlignment="1">
      <alignment horizontal="center" wrapText="1"/>
    </xf>
    <xf numFmtId="0" fontId="0" fillId="0" borderId="21" xfId="0" applyFont="1" applyFill="1" applyBorder="1" applyAlignment="1">
      <alignment horizontal="center"/>
    </xf>
    <xf numFmtId="164" fontId="0" fillId="0" borderId="0" xfId="0" applyNumberFormat="1" applyFont="1" applyFill="1" applyBorder="1" applyAlignment="1">
      <alignment/>
    </xf>
    <xf numFmtId="164" fontId="6" fillId="0" borderId="0" xfId="0" applyNumberFormat="1" applyFont="1" applyFill="1" applyBorder="1" applyAlignment="1">
      <alignment/>
    </xf>
    <xf numFmtId="164" fontId="0" fillId="0" borderId="0" xfId="42" applyNumberFormat="1" applyFont="1" applyFill="1" applyAlignment="1">
      <alignment/>
    </xf>
    <xf numFmtId="172" fontId="0" fillId="0" borderId="0" xfId="77" applyNumberFormat="1" applyFont="1" applyFill="1" applyBorder="1" applyAlignment="1">
      <alignment/>
    </xf>
    <xf numFmtId="0" fontId="4" fillId="0" borderId="16" xfId="0" applyFont="1" applyFill="1" applyBorder="1" applyAlignment="1">
      <alignment horizontal="center"/>
    </xf>
    <xf numFmtId="164" fontId="0" fillId="0" borderId="29" xfId="0" applyNumberFormat="1" applyFont="1" applyFill="1" applyBorder="1" applyAlignment="1">
      <alignment/>
    </xf>
    <xf numFmtId="164" fontId="0" fillId="0" borderId="29" xfId="42" applyNumberFormat="1" applyFont="1" applyFill="1" applyBorder="1" applyAlignment="1">
      <alignment horizontal="right"/>
    </xf>
    <xf numFmtId="3" fontId="8" fillId="0" borderId="0" xfId="0" applyNumberFormat="1" applyFont="1" applyFill="1" applyBorder="1" applyAlignment="1">
      <alignment/>
    </xf>
    <xf numFmtId="164" fontId="8" fillId="0" borderId="0" xfId="42" applyNumberFormat="1" applyFont="1" applyFill="1" applyBorder="1" applyAlignment="1">
      <alignment/>
    </xf>
    <xf numFmtId="0" fontId="8" fillId="0" borderId="0" xfId="0" applyFont="1" applyFill="1" applyAlignment="1">
      <alignment/>
    </xf>
    <xf numFmtId="0" fontId="8" fillId="0" borderId="0" xfId="0" applyFont="1" applyAlignment="1">
      <alignment/>
    </xf>
    <xf numFmtId="164" fontId="5" fillId="34" borderId="26"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47" applyNumberFormat="1" applyFont="1" applyFill="1" applyBorder="1" applyAlignment="1">
      <alignment/>
    </xf>
    <xf numFmtId="0" fontId="0" fillId="0" borderId="0" xfId="0" applyFill="1" applyBorder="1" applyAlignment="1">
      <alignment horizontal="center"/>
    </xf>
    <xf numFmtId="43" fontId="0" fillId="0" borderId="0" xfId="47"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47" applyNumberFormat="1" applyFont="1" applyFill="1" applyBorder="1" applyAlignment="1">
      <alignment/>
    </xf>
    <xf numFmtId="164" fontId="0" fillId="0" borderId="0" xfId="47" applyNumberFormat="1" applyFont="1" applyFill="1" applyBorder="1" applyAlignment="1">
      <alignment/>
    </xf>
    <xf numFmtId="0" fontId="5" fillId="0" borderId="0" xfId="0" applyFont="1" applyAlignment="1">
      <alignment/>
    </xf>
    <xf numFmtId="164" fontId="5" fillId="0" borderId="0" xfId="47" applyNumberFormat="1" applyFont="1" applyAlignment="1">
      <alignment/>
    </xf>
    <xf numFmtId="164" fontId="9" fillId="0" borderId="0" xfId="46" applyNumberFormat="1" applyFont="1" applyFill="1" applyBorder="1" applyAlignment="1">
      <alignment/>
    </xf>
    <xf numFmtId="164" fontId="6" fillId="0" borderId="0" xfId="66" applyNumberFormat="1" applyFont="1" applyFill="1">
      <alignment/>
      <protection/>
    </xf>
    <xf numFmtId="164" fontId="1" fillId="0" borderId="0" xfId="42" applyNumberFormat="1" applyFont="1" applyFill="1" applyAlignment="1">
      <alignment/>
    </xf>
    <xf numFmtId="37" fontId="0" fillId="0" borderId="0" xfId="0" applyNumberFormat="1" applyFont="1" applyFill="1" applyBorder="1" applyAlignment="1">
      <alignment/>
    </xf>
    <xf numFmtId="1" fontId="37" fillId="34" borderId="0" xfId="0" applyNumberFormat="1" applyFont="1" applyFill="1" applyBorder="1" applyAlignment="1">
      <alignment horizontal="center"/>
    </xf>
    <xf numFmtId="164" fontId="0" fillId="34" borderId="15" xfId="0" applyNumberFormat="1" applyFill="1" applyBorder="1" applyAlignment="1">
      <alignment/>
    </xf>
    <xf numFmtId="1" fontId="37" fillId="34" borderId="12" xfId="0" applyNumberFormat="1" applyFont="1" applyFill="1" applyBorder="1" applyAlignment="1">
      <alignment horizontal="center"/>
    </xf>
    <xf numFmtId="164" fontId="0" fillId="34" borderId="15" xfId="0" applyNumberFormat="1" applyFill="1" applyBorder="1" applyAlignment="1">
      <alignment horizontal="right"/>
    </xf>
    <xf numFmtId="164" fontId="0" fillId="34" borderId="37"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7" xfId="42" applyNumberFormat="1" applyFont="1" applyFill="1" applyBorder="1" applyAlignment="1">
      <alignment horizontal="right"/>
    </xf>
    <xf numFmtId="164" fontId="0" fillId="34" borderId="37" xfId="42" applyNumberFormat="1" applyFont="1" applyFill="1" applyBorder="1" applyAlignment="1">
      <alignment/>
    </xf>
    <xf numFmtId="164" fontId="6" fillId="0" borderId="0" xfId="47"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9" fillId="34" borderId="0" xfId="47" applyNumberFormat="1" applyFont="1" applyFill="1" applyAlignment="1">
      <alignment/>
    </xf>
    <xf numFmtId="0" fontId="0" fillId="0" borderId="0" xfId="0" applyFont="1" applyFill="1" applyBorder="1" applyAlignment="1">
      <alignment wrapText="1"/>
    </xf>
    <xf numFmtId="167" fontId="0" fillId="0" borderId="0" xfId="0" applyNumberFormat="1" applyFont="1" applyFill="1" applyBorder="1" applyAlignment="1">
      <alignment/>
    </xf>
    <xf numFmtId="0" fontId="1" fillId="0" borderId="0" xfId="0" applyFont="1" applyFill="1" applyAlignment="1">
      <alignment wrapText="1"/>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47" applyNumberFormat="1" applyFont="1" applyAlignment="1">
      <alignment horizontal="right" wrapText="1"/>
    </xf>
    <xf numFmtId="164" fontId="0" fillId="0" borderId="0" xfId="47" applyNumberFormat="1" applyFont="1" applyAlignment="1">
      <alignment horizontal="right"/>
    </xf>
    <xf numFmtId="164" fontId="0" fillId="0" borderId="0" xfId="47" applyNumberFormat="1" applyFont="1" applyFill="1" applyAlignment="1">
      <alignment horizontal="right"/>
    </xf>
    <xf numFmtId="164" fontId="10" fillId="0" borderId="0" xfId="0" applyNumberFormat="1" applyFont="1" applyBorder="1" applyAlignment="1">
      <alignment horizontal="right"/>
    </xf>
    <xf numFmtId="0" fontId="0" fillId="0" borderId="0" xfId="0" applyBorder="1" applyAlignment="1">
      <alignment horizontal="left"/>
    </xf>
    <xf numFmtId="38" fontId="56" fillId="0" borderId="0" xfId="56" applyNumberFormat="1" applyBorder="1">
      <alignment/>
      <protection/>
    </xf>
    <xf numFmtId="0" fontId="81" fillId="0" borderId="0" xfId="0" applyFont="1" applyFill="1" applyBorder="1" applyAlignment="1">
      <alignment horizontal="left"/>
    </xf>
    <xf numFmtId="38" fontId="0" fillId="0" borderId="0" xfId="0" applyNumberFormat="1" applyBorder="1" applyAlignment="1">
      <alignment/>
    </xf>
    <xf numFmtId="164" fontId="0" fillId="0" borderId="0" xfId="47" applyNumberFormat="1" applyFont="1" applyFill="1" applyBorder="1" applyAlignment="1">
      <alignment/>
    </xf>
    <xf numFmtId="164" fontId="0" fillId="0" borderId="0" xfId="47" applyNumberFormat="1" applyFont="1" applyFill="1" applyBorder="1" applyAlignment="1">
      <alignment/>
    </xf>
    <xf numFmtId="164" fontId="0" fillId="0" borderId="0" xfId="47" applyNumberFormat="1" applyFont="1" applyFill="1" applyBorder="1" applyAlignment="1">
      <alignment/>
    </xf>
    <xf numFmtId="43" fontId="1" fillId="0" borderId="0" xfId="47" applyFont="1" applyFill="1" applyBorder="1" applyAlignment="1">
      <alignment/>
    </xf>
    <xf numFmtId="0" fontId="5" fillId="0" borderId="0" xfId="0" applyFont="1" applyFill="1" applyBorder="1" applyAlignment="1">
      <alignment/>
    </xf>
    <xf numFmtId="164" fontId="1" fillId="0" borderId="0" xfId="47" applyNumberFormat="1" applyFont="1" applyFill="1" applyBorder="1" applyAlignment="1">
      <alignment/>
    </xf>
    <xf numFmtId="164" fontId="10" fillId="0" borderId="0" xfId="0" applyNumberFormat="1" applyFont="1" applyFill="1" applyBorder="1" applyAlignment="1">
      <alignment horizontal="right"/>
    </xf>
    <xf numFmtId="164" fontId="0" fillId="0" borderId="0" xfId="0" applyNumberFormat="1" applyFill="1" applyBorder="1" applyAlignment="1">
      <alignment/>
    </xf>
    <xf numFmtId="164" fontId="1" fillId="0" borderId="0" xfId="0" applyNumberFormat="1" applyFont="1" applyFill="1" applyBorder="1" applyAlignment="1">
      <alignment/>
    </xf>
    <xf numFmtId="164" fontId="5" fillId="0" borderId="0" xfId="0" applyNumberFormat="1" applyFont="1" applyFill="1" applyAlignment="1">
      <alignment/>
    </xf>
    <xf numFmtId="0" fontId="4" fillId="0" borderId="0" xfId="0" applyNumberFormat="1" applyFont="1" applyFill="1" applyAlignment="1">
      <alignment horizontal="left"/>
    </xf>
    <xf numFmtId="0" fontId="57"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54" fillId="34" borderId="0" xfId="47" applyNumberFormat="1" applyFont="1" applyFill="1" applyAlignment="1">
      <alignment/>
    </xf>
    <xf numFmtId="164" fontId="0" fillId="34" borderId="0" xfId="0" applyNumberFormat="1" applyFont="1" applyFill="1" applyBorder="1" applyAlignment="1">
      <alignment/>
    </xf>
    <xf numFmtId="164" fontId="28" fillId="34" borderId="0" xfId="0" applyNumberFormat="1" applyFont="1" applyFill="1" applyBorder="1" applyAlignment="1">
      <alignment horizontal="center"/>
    </xf>
    <xf numFmtId="164" fontId="0" fillId="34" borderId="21" xfId="0" applyNumberFormat="1" applyFont="1" applyFill="1" applyBorder="1" applyAlignment="1">
      <alignment horizontal="center"/>
    </xf>
    <xf numFmtId="164" fontId="1" fillId="34" borderId="0" xfId="0" applyNumberFormat="1" applyFont="1" applyFill="1" applyBorder="1" applyAlignment="1">
      <alignment/>
    </xf>
    <xf numFmtId="164" fontId="1" fillId="34" borderId="17" xfId="0" applyNumberFormat="1" applyFont="1" applyFill="1" applyBorder="1" applyAlignment="1">
      <alignment/>
    </xf>
    <xf numFmtId="164" fontId="1" fillId="34" borderId="21" xfId="0" applyNumberFormat="1" applyFont="1" applyFill="1" applyBorder="1" applyAlignment="1">
      <alignment/>
    </xf>
    <xf numFmtId="164" fontId="1" fillId="34" borderId="21" xfId="42" applyNumberFormat="1" applyFont="1" applyFill="1" applyBorder="1" applyAlignment="1">
      <alignment/>
    </xf>
    <xf numFmtId="0" fontId="22" fillId="0" borderId="12" xfId="0" applyFont="1" applyFill="1" applyBorder="1" applyAlignment="1">
      <alignment horizontal="right"/>
    </xf>
    <xf numFmtId="37" fontId="0" fillId="34" borderId="26" xfId="0" applyNumberFormat="1" applyFont="1" applyFill="1" applyBorder="1" applyAlignment="1">
      <alignment wrapText="1"/>
    </xf>
    <xf numFmtId="37" fontId="0" fillId="34" borderId="26" xfId="0"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6" fillId="34" borderId="0" xfId="42" applyNumberFormat="1" applyFont="1" applyFill="1" applyAlignment="1">
      <alignment/>
    </xf>
    <xf numFmtId="164" fontId="6" fillId="34" borderId="0" xfId="42" applyNumberFormat="1" applyFont="1" applyFill="1" applyAlignment="1">
      <alignment/>
    </xf>
    <xf numFmtId="164" fontId="6" fillId="34" borderId="0" xfId="42" applyNumberFormat="1" applyFont="1" applyFill="1" applyBorder="1" applyAlignment="1">
      <alignment/>
    </xf>
    <xf numFmtId="164" fontId="6" fillId="34" borderId="12" xfId="42" applyNumberFormat="1" applyFont="1" applyFill="1" applyBorder="1" applyAlignment="1">
      <alignment/>
    </xf>
    <xf numFmtId="164" fontId="6" fillId="34" borderId="12" xfId="42" applyNumberFormat="1" applyFont="1" applyFill="1" applyBorder="1" applyAlignment="1">
      <alignment/>
    </xf>
    <xf numFmtId="164" fontId="0" fillId="34" borderId="0" xfId="47" applyNumberFormat="1" applyFont="1" applyFill="1" applyBorder="1" applyAlignment="1">
      <alignment/>
    </xf>
    <xf numFmtId="164" fontId="0" fillId="34" borderId="12" xfId="47" applyNumberFormat="1" applyFont="1" applyFill="1" applyBorder="1" applyAlignment="1">
      <alignment/>
    </xf>
    <xf numFmtId="0" fontId="0" fillId="34" borderId="0" xfId="0" applyFont="1" applyFill="1" applyAlignment="1">
      <alignment/>
    </xf>
    <xf numFmtId="0" fontId="0" fillId="34" borderId="0" xfId="0"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77" applyNumberFormat="1" applyFont="1" applyFill="1" applyAlignment="1">
      <alignment/>
    </xf>
    <xf numFmtId="167" fontId="28" fillId="0" borderId="25" xfId="51" applyNumberFormat="1" applyFont="1" applyFill="1" applyBorder="1" applyAlignment="1">
      <alignment/>
    </xf>
    <xf numFmtId="0" fontId="9" fillId="0" borderId="0" xfId="0" applyFont="1" applyFill="1" applyBorder="1" applyAlignment="1">
      <alignment/>
    </xf>
    <xf numFmtId="0" fontId="10" fillId="0" borderId="0" xfId="0" applyFont="1" applyFill="1" applyAlignment="1">
      <alignment/>
    </xf>
    <xf numFmtId="167" fontId="5" fillId="0" borderId="0" xfId="51" applyNumberFormat="1" applyFont="1" applyFill="1" applyAlignment="1">
      <alignment/>
    </xf>
    <xf numFmtId="3" fontId="0" fillId="0" borderId="0" xfId="0" applyNumberFormat="1" applyFont="1" applyFill="1" applyBorder="1" applyAlignment="1">
      <alignment horizontal="left"/>
    </xf>
    <xf numFmtId="164" fontId="0" fillId="0" borderId="0" xfId="47" applyNumberFormat="1" applyFont="1" applyFill="1" applyBorder="1" applyAlignment="1">
      <alignment horizontal="center"/>
    </xf>
    <xf numFmtId="43" fontId="0" fillId="0" borderId="0" xfId="47" applyFont="1" applyFill="1" applyBorder="1" applyAlignment="1">
      <alignment/>
    </xf>
    <xf numFmtId="43" fontId="0" fillId="0" borderId="0" xfId="47" applyFont="1" applyFill="1" applyBorder="1" applyAlignment="1">
      <alignment horizontal="center" wrapText="1"/>
    </xf>
    <xf numFmtId="164" fontId="10" fillId="0" borderId="0" xfId="47" applyNumberFormat="1" applyFont="1" applyFill="1" applyBorder="1" applyAlignment="1">
      <alignment/>
    </xf>
    <xf numFmtId="164" fontId="0" fillId="34" borderId="0" xfId="0" applyNumberFormat="1" applyFont="1" applyFill="1" applyBorder="1" applyAlignment="1">
      <alignment/>
    </xf>
    <xf numFmtId="164" fontId="10" fillId="0" borderId="0" xfId="42" applyNumberFormat="1" applyFont="1" applyAlignment="1">
      <alignment/>
    </xf>
    <xf numFmtId="0" fontId="0" fillId="0" borderId="0" xfId="0" applyFont="1" applyFill="1" applyBorder="1" applyAlignment="1">
      <alignment/>
    </xf>
    <xf numFmtId="0" fontId="4" fillId="34" borderId="35" xfId="0" applyFont="1" applyFill="1" applyBorder="1" applyAlignment="1">
      <alignment horizontal="center" wrapText="1"/>
    </xf>
    <xf numFmtId="164" fontId="9"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58" fillId="0" borderId="0" xfId="0" applyNumberFormat="1" applyFont="1" applyFill="1" applyBorder="1" applyAlignment="1">
      <alignment/>
    </xf>
    <xf numFmtId="164" fontId="58" fillId="0" borderId="0" xfId="0" applyNumberFormat="1" applyFont="1" applyFill="1" applyBorder="1" applyAlignment="1">
      <alignment/>
    </xf>
    <xf numFmtId="164" fontId="47" fillId="0" borderId="0" xfId="42" applyNumberFormat="1"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vertical="top"/>
    </xf>
    <xf numFmtId="164" fontId="54" fillId="0" borderId="0" xfId="42" applyNumberFormat="1" applyFont="1" applyFill="1" applyBorder="1" applyAlignment="1">
      <alignment/>
    </xf>
    <xf numFmtId="0" fontId="47" fillId="0" borderId="0" xfId="0" applyFont="1" applyFill="1" applyBorder="1" applyAlignment="1">
      <alignment/>
    </xf>
    <xf numFmtId="164" fontId="54" fillId="0" borderId="0" xfId="47" applyNumberFormat="1" applyFont="1" applyFill="1" applyAlignment="1">
      <alignment/>
    </xf>
    <xf numFmtId="164" fontId="6" fillId="0" borderId="0" xfId="0" applyNumberFormat="1" applyFont="1" applyFill="1" applyAlignment="1">
      <alignment/>
    </xf>
    <xf numFmtId="164" fontId="0" fillId="34" borderId="0" xfId="42" applyNumberFormat="1" applyFont="1" applyFill="1" applyBorder="1" applyAlignment="1">
      <alignment/>
    </xf>
    <xf numFmtId="0" fontId="30" fillId="0" borderId="0" xfId="0" applyFont="1" applyFill="1" applyBorder="1" applyAlignment="1">
      <alignment horizontal="center"/>
    </xf>
    <xf numFmtId="164" fontId="28" fillId="0" borderId="0" xfId="42" applyNumberFormat="1" applyFont="1" applyFill="1" applyBorder="1" applyAlignment="1">
      <alignment horizontal="center"/>
    </xf>
    <xf numFmtId="164" fontId="38" fillId="0" borderId="0" xfId="42" applyNumberFormat="1" applyFont="1" applyFill="1" applyBorder="1" applyAlignment="1">
      <alignment horizontal="center"/>
    </xf>
    <xf numFmtId="164" fontId="30" fillId="0" borderId="15" xfId="42" applyNumberFormat="1" applyFont="1" applyFill="1" applyBorder="1" applyAlignment="1">
      <alignment horizontal="center" wrapText="1"/>
    </xf>
    <xf numFmtId="164" fontId="0" fillId="0" borderId="21" xfId="42" applyNumberFormat="1" applyFont="1" applyBorder="1" applyAlignment="1">
      <alignment/>
    </xf>
    <xf numFmtId="0" fontId="82" fillId="0" borderId="0" xfId="0" applyFont="1" applyFill="1" applyBorder="1" applyAlignment="1">
      <alignment horizontal="right"/>
    </xf>
    <xf numFmtId="43" fontId="5" fillId="0" borderId="0" xfId="0" applyNumberFormat="1" applyFont="1" applyFill="1" applyBorder="1" applyAlignment="1">
      <alignment/>
    </xf>
    <xf numFmtId="3" fontId="6" fillId="0" borderId="0" xfId="0" applyNumberFormat="1" applyFont="1" applyFill="1" applyAlignment="1">
      <alignment/>
    </xf>
    <xf numFmtId="167" fontId="0" fillId="0" borderId="0" xfId="51" applyNumberFormat="1" applyFont="1" applyFill="1" applyBorder="1" applyAlignment="1">
      <alignment/>
    </xf>
    <xf numFmtId="0" fontId="40" fillId="0" borderId="0" xfId="0" applyFont="1" applyFill="1" applyBorder="1" applyAlignment="1">
      <alignment horizontal="center"/>
    </xf>
    <xf numFmtId="164" fontId="0" fillId="0" borderId="18" xfId="0" applyNumberFormat="1" applyFont="1" applyFill="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53" fillId="0" borderId="0" xfId="0" applyFont="1" applyFill="1" applyBorder="1" applyAlignment="1">
      <alignment horizontal="center"/>
    </xf>
    <xf numFmtId="164" fontId="53" fillId="0" borderId="15" xfId="42" applyNumberFormat="1" applyFont="1" applyFill="1" applyBorder="1" applyAlignment="1">
      <alignment horizontal="center"/>
    </xf>
    <xf numFmtId="0" fontId="53" fillId="0" borderId="0" xfId="0" applyFont="1" applyFill="1" applyBorder="1" applyAlignment="1">
      <alignment/>
    </xf>
    <xf numFmtId="164" fontId="53" fillId="0" borderId="15" xfId="42" applyNumberFormat="1" applyFont="1" applyFill="1" applyBorder="1" applyAlignment="1">
      <alignment/>
    </xf>
    <xf numFmtId="164" fontId="53" fillId="0" borderId="0" xfId="42" applyNumberFormat="1" applyFont="1" applyFill="1" applyBorder="1" applyAlignment="1">
      <alignment/>
    </xf>
    <xf numFmtId="176" fontId="53" fillId="0" borderId="0" xfId="42" applyNumberFormat="1" applyFont="1" applyFill="1" applyBorder="1" applyAlignment="1">
      <alignment/>
    </xf>
    <xf numFmtId="164" fontId="53" fillId="0" borderId="21" xfId="42" applyNumberFormat="1" applyFont="1" applyFill="1" applyBorder="1" applyAlignment="1">
      <alignment/>
    </xf>
    <xf numFmtId="164" fontId="53" fillId="0" borderId="18" xfId="42" applyNumberFormat="1" applyFont="1" applyFill="1" applyBorder="1" applyAlignment="1">
      <alignment/>
    </xf>
    <xf numFmtId="0" fontId="5" fillId="0" borderId="0" xfId="0" applyFont="1" applyFill="1" applyAlignment="1">
      <alignment/>
    </xf>
    <xf numFmtId="0" fontId="5" fillId="0" borderId="0" xfId="0" applyFont="1" applyFill="1" applyAlignment="1">
      <alignment horizontal="center"/>
    </xf>
    <xf numFmtId="164" fontId="5" fillId="0" borderId="0" xfId="42" applyNumberFormat="1" applyFont="1" applyFill="1" applyAlignment="1">
      <alignment horizontal="center"/>
    </xf>
    <xf numFmtId="167" fontId="28" fillId="0" borderId="21" xfId="0" applyNumberFormat="1" applyFont="1" applyFill="1" applyBorder="1" applyAlignment="1">
      <alignment/>
    </xf>
    <xf numFmtId="167" fontId="28" fillId="0" borderId="18" xfId="51" applyNumberFormat="1" applyFont="1" applyFill="1" applyBorder="1" applyAlignment="1">
      <alignment/>
    </xf>
    <xf numFmtId="164" fontId="82" fillId="0" borderId="0" xfId="42" applyNumberFormat="1" applyFont="1" applyFill="1" applyBorder="1" applyAlignment="1">
      <alignment/>
    </xf>
    <xf numFmtId="164" fontId="54" fillId="0" borderId="0" xfId="47" applyNumberFormat="1" applyFont="1" applyFill="1" applyBorder="1" applyAlignment="1">
      <alignment horizontal="left"/>
    </xf>
    <xf numFmtId="164" fontId="54" fillId="0" borderId="0" xfId="47" applyNumberFormat="1" applyFont="1" applyFill="1" applyBorder="1" applyAlignment="1">
      <alignment/>
    </xf>
    <xf numFmtId="164" fontId="82" fillId="0" borderId="0" xfId="47" applyNumberFormat="1" applyFont="1" applyFill="1" applyBorder="1" applyAlignment="1">
      <alignment/>
    </xf>
    <xf numFmtId="164" fontId="54" fillId="0" borderId="0" xfId="47" applyNumberFormat="1" applyFont="1" applyFill="1" applyBorder="1" applyAlignment="1" quotePrefix="1">
      <alignment/>
    </xf>
    <xf numFmtId="3" fontId="0" fillId="0" borderId="0" xfId="0" applyNumberFormat="1" applyBorder="1" applyAlignment="1">
      <alignment/>
    </xf>
    <xf numFmtId="0" fontId="0" fillId="0" borderId="0" xfId="0" applyFont="1" applyAlignment="1">
      <alignment vertical="center"/>
    </xf>
    <xf numFmtId="6" fontId="0" fillId="0" borderId="0" xfId="0" applyNumberFormat="1" applyFont="1" applyFill="1" applyBorder="1" applyAlignment="1">
      <alignment/>
    </xf>
    <xf numFmtId="164" fontId="0" fillId="0" borderId="0" xfId="0" applyNumberFormat="1" applyFont="1" applyFill="1" applyAlignment="1">
      <alignment horizontal="right"/>
    </xf>
    <xf numFmtId="0" fontId="1" fillId="0" borderId="0" xfId="0" applyFont="1" applyFill="1" applyAlignment="1">
      <alignment/>
    </xf>
    <xf numFmtId="214" fontId="1" fillId="0" borderId="0" xfId="0" applyNumberFormat="1" applyFont="1" applyFill="1" applyAlignment="1" quotePrefix="1">
      <alignment/>
    </xf>
    <xf numFmtId="0" fontId="1" fillId="0" borderId="0" xfId="0" applyFont="1" applyFill="1" applyBorder="1" applyAlignment="1" quotePrefix="1">
      <alignment/>
    </xf>
    <xf numFmtId="167" fontId="1" fillId="0" borderId="0" xfId="51" applyNumberFormat="1" applyFont="1" applyFill="1" applyAlignment="1">
      <alignment horizontal="left"/>
    </xf>
    <xf numFmtId="0" fontId="5" fillId="0" borderId="0" xfId="0" applyFont="1" applyFill="1" applyAlignment="1">
      <alignment/>
    </xf>
    <xf numFmtId="0" fontId="5" fillId="0" borderId="0" xfId="0" applyFont="1" applyFill="1" applyAlignment="1">
      <alignment wrapText="1"/>
    </xf>
    <xf numFmtId="167" fontId="5" fillId="0" borderId="0" xfId="0" applyNumberFormat="1" applyFont="1" applyFill="1" applyAlignment="1">
      <alignment/>
    </xf>
    <xf numFmtId="5" fontId="51" fillId="0" borderId="0" xfId="42" applyNumberFormat="1" applyFont="1" applyFill="1" applyAlignment="1">
      <alignment/>
    </xf>
    <xf numFmtId="3" fontId="6" fillId="0" borderId="0" xfId="0" applyNumberFormat="1" applyFont="1" applyFill="1" applyBorder="1" applyAlignment="1">
      <alignment horizontal="right"/>
    </xf>
    <xf numFmtId="177" fontId="6" fillId="0" borderId="0" xfId="0" applyNumberFormat="1" applyFont="1" applyFill="1" applyAlignment="1">
      <alignment/>
    </xf>
    <xf numFmtId="0" fontId="21" fillId="0" borderId="0" xfId="0" applyFont="1" applyFill="1" applyBorder="1" applyAlignment="1">
      <alignment/>
    </xf>
    <xf numFmtId="164" fontId="59" fillId="0" borderId="0" xfId="47" applyNumberFormat="1" applyFont="1" applyFill="1" applyBorder="1" applyAlignment="1">
      <alignment/>
    </xf>
    <xf numFmtId="164" fontId="60" fillId="0" borderId="0" xfId="42" applyNumberFormat="1" applyFont="1" applyFill="1" applyBorder="1" applyAlignment="1">
      <alignment/>
    </xf>
    <xf numFmtId="0" fontId="1" fillId="0" borderId="0" xfId="0" applyFont="1" applyFill="1" applyBorder="1" applyAlignment="1" quotePrefix="1">
      <alignment/>
    </xf>
    <xf numFmtId="164" fontId="0" fillId="0" borderId="0" xfId="47" applyNumberFormat="1" applyFont="1" applyFill="1" applyAlignment="1">
      <alignment/>
    </xf>
    <xf numFmtId="164" fontId="0" fillId="0" borderId="0" xfId="47" applyNumberFormat="1" applyFont="1" applyFill="1" applyAlignment="1">
      <alignment horizontal="center"/>
    </xf>
    <xf numFmtId="164" fontId="0" fillId="0" borderId="12" xfId="47" applyNumberFormat="1" applyFont="1" applyFill="1" applyBorder="1" applyAlignment="1">
      <alignment horizontal="center"/>
    </xf>
    <xf numFmtId="0" fontId="5" fillId="0" borderId="0" xfId="0" applyFont="1" applyFill="1" applyBorder="1" applyAlignment="1">
      <alignment horizontal="center"/>
    </xf>
    <xf numFmtId="0" fontId="5" fillId="0" borderId="15" xfId="0" applyFont="1" applyFill="1" applyBorder="1" applyAlignment="1">
      <alignment horizontal="center"/>
    </xf>
    <xf numFmtId="164" fontId="28" fillId="33" borderId="16" xfId="42" applyNumberFormat="1" applyFont="1" applyFill="1" applyBorder="1" applyAlignment="1">
      <alignment/>
    </xf>
    <xf numFmtId="0" fontId="0" fillId="0" borderId="0" xfId="0" applyFont="1" applyFill="1" applyAlignment="1">
      <alignment horizontal="center" wrapText="1"/>
    </xf>
    <xf numFmtId="0" fontId="0" fillId="0" borderId="31" xfId="0" applyFont="1" applyFill="1" applyBorder="1" applyAlignment="1">
      <alignment/>
    </xf>
    <xf numFmtId="0" fontId="0" fillId="0" borderId="38" xfId="0" applyFont="1" applyFill="1" applyBorder="1" applyAlignment="1">
      <alignment horizontal="center"/>
    </xf>
    <xf numFmtId="0" fontId="0" fillId="0" borderId="39" xfId="0" applyFont="1" applyFill="1" applyBorder="1" applyAlignment="1">
      <alignment horizontal="center"/>
    </xf>
    <xf numFmtId="0" fontId="9" fillId="0" borderId="0" xfId="0" applyNumberFormat="1" applyFont="1" applyAlignment="1">
      <alignment horizontal="center"/>
    </xf>
    <xf numFmtId="0" fontId="4" fillId="0" borderId="0" xfId="0" applyFont="1" applyBorder="1" applyAlignment="1">
      <alignment horizontal="left"/>
    </xf>
    <xf numFmtId="0" fontId="9" fillId="0" borderId="0" xfId="0" applyFont="1" applyFill="1" applyBorder="1" applyAlignment="1">
      <alignment horizontal="center"/>
    </xf>
    <xf numFmtId="3" fontId="6" fillId="0" borderId="0" xfId="0" applyNumberFormat="1" applyFont="1" applyAlignment="1">
      <alignment horizontal="left"/>
    </xf>
    <xf numFmtId="0" fontId="6" fillId="0" borderId="0" xfId="0" applyFont="1" applyBorder="1" applyAlignment="1">
      <alignment horizontal="left"/>
    </xf>
    <xf numFmtId="164" fontId="14" fillId="0" borderId="0" xfId="0" applyNumberFormat="1" applyFont="1" applyBorder="1" applyAlignment="1">
      <alignment horizontal="right"/>
    </xf>
    <xf numFmtId="3" fontId="6" fillId="0" borderId="0" xfId="0" applyNumberFormat="1" applyFont="1" applyBorder="1" applyAlignment="1">
      <alignment/>
    </xf>
    <xf numFmtId="0" fontId="9" fillId="0" borderId="0" xfId="0" applyFont="1" applyAlignment="1">
      <alignment horizontal="center"/>
    </xf>
    <xf numFmtId="0" fontId="9" fillId="0" borderId="0" xfId="0" applyFont="1" applyAlignment="1">
      <alignment/>
    </xf>
    <xf numFmtId="0" fontId="9" fillId="0" borderId="0" xfId="0" applyFont="1" applyAlignment="1">
      <alignment/>
    </xf>
    <xf numFmtId="37" fontId="0" fillId="34" borderId="26" xfId="72" applyNumberFormat="1" applyFont="1" applyFill="1" applyBorder="1">
      <alignment/>
      <protection/>
    </xf>
    <xf numFmtId="164" fontId="0" fillId="34" borderId="26" xfId="45" applyNumberFormat="1" applyFont="1" applyFill="1" applyBorder="1" applyAlignment="1">
      <alignment/>
    </xf>
    <xf numFmtId="0" fontId="0" fillId="34" borderId="26" xfId="72" applyFont="1" applyFill="1" applyBorder="1" applyAlignment="1">
      <alignment wrapText="1"/>
      <protection/>
    </xf>
    <xf numFmtId="164" fontId="0" fillId="34" borderId="40" xfId="45" applyNumberFormat="1" applyFont="1" applyFill="1" applyBorder="1" applyAlignment="1">
      <alignment/>
    </xf>
    <xf numFmtId="0" fontId="67" fillId="0" borderId="0" xfId="73" applyFont="1" applyFill="1">
      <alignment/>
      <protection/>
    </xf>
    <xf numFmtId="0" fontId="1" fillId="0" borderId="12" xfId="73" applyFont="1" applyFill="1" applyBorder="1" applyAlignment="1">
      <alignment horizontal="center"/>
      <protection/>
    </xf>
    <xf numFmtId="167" fontId="0" fillId="0" borderId="0" xfId="53" applyNumberFormat="1" applyFont="1" applyFill="1" applyAlignment="1">
      <alignment/>
    </xf>
    <xf numFmtId="0" fontId="0" fillId="0" borderId="0" xfId="71" applyFont="1" applyFill="1">
      <alignment/>
      <protection/>
    </xf>
    <xf numFmtId="10" fontId="0" fillId="0" borderId="0" xfId="78" applyNumberFormat="1" applyFont="1" applyFill="1" applyBorder="1" applyAlignment="1">
      <alignment/>
    </xf>
    <xf numFmtId="10" fontId="1" fillId="0" borderId="0" xfId="78" applyNumberFormat="1" applyFont="1" applyFill="1" applyBorder="1" applyAlignment="1">
      <alignment/>
    </xf>
    <xf numFmtId="0" fontId="0" fillId="0" borderId="0" xfId="71" applyFont="1">
      <alignment/>
      <protection/>
    </xf>
    <xf numFmtId="0" fontId="0" fillId="0" borderId="0" xfId="71" applyFont="1" applyFill="1" applyAlignment="1">
      <alignment horizontal="center"/>
      <protection/>
    </xf>
    <xf numFmtId="0" fontId="1" fillId="0" borderId="0" xfId="71" applyFont="1" applyFill="1" applyAlignment="1">
      <alignment horizontal="center" wrapText="1"/>
      <protection/>
    </xf>
    <xf numFmtId="0" fontId="0" fillId="0" borderId="0" xfId="71" applyFont="1" applyFill="1" applyAlignment="1">
      <alignment horizontal="center" vertical="center"/>
      <protection/>
    </xf>
    <xf numFmtId="0" fontId="0" fillId="0" borderId="0" xfId="71" applyFont="1" applyFill="1" applyAlignment="1">
      <alignment horizontal="center" vertical="center" wrapText="1"/>
      <protection/>
    </xf>
    <xf numFmtId="0" fontId="0" fillId="0" borderId="0" xfId="71" applyFont="1" applyFill="1" applyAlignment="1">
      <alignment horizontal="left" vertical="top"/>
      <protection/>
    </xf>
    <xf numFmtId="0" fontId="55" fillId="0" borderId="0" xfId="67" applyFont="1" applyFill="1">
      <alignment/>
      <protection/>
    </xf>
    <xf numFmtId="0" fontId="1" fillId="0" borderId="21" xfId="71" applyFont="1" applyFill="1" applyBorder="1" applyAlignment="1">
      <alignment horizontal="center" wrapText="1"/>
      <protection/>
    </xf>
    <xf numFmtId="0" fontId="0" fillId="34" borderId="26" xfId="72" applyFont="1" applyFill="1" applyBorder="1">
      <alignment/>
      <protection/>
    </xf>
    <xf numFmtId="164" fontId="54" fillId="0" borderId="0" xfId="42" applyNumberFormat="1" applyFont="1" applyFill="1" applyBorder="1" applyAlignment="1">
      <alignment/>
    </xf>
    <xf numFmtId="164" fontId="47" fillId="0" borderId="0" xfId="42" applyNumberFormat="1" applyFont="1" applyFill="1" applyBorder="1" applyAlignment="1">
      <alignment/>
    </xf>
    <xf numFmtId="0" fontId="0" fillId="0" borderId="0" xfId="0" applyFill="1" applyBorder="1" applyAlignment="1">
      <alignment/>
    </xf>
    <xf numFmtId="164" fontId="54" fillId="0" borderId="0" xfId="45" applyNumberFormat="1" applyFont="1" applyFill="1" applyBorder="1" applyAlignment="1">
      <alignment/>
    </xf>
    <xf numFmtId="164" fontId="47" fillId="0" borderId="0" xfId="45" applyNumberFormat="1" applyFont="1" applyFill="1" applyBorder="1" applyAlignment="1">
      <alignment/>
    </xf>
    <xf numFmtId="164" fontId="82" fillId="0" borderId="0" xfId="45" applyNumberFormat="1" applyFont="1" applyFill="1" applyBorder="1" applyAlignment="1">
      <alignment/>
    </xf>
    <xf numFmtId="164" fontId="59" fillId="0" borderId="21" xfId="47" applyNumberFormat="1" applyFont="1" applyFill="1" applyBorder="1" applyAlignment="1">
      <alignment/>
    </xf>
    <xf numFmtId="164" fontId="59" fillId="0" borderId="18" xfId="47" applyNumberFormat="1" applyFont="1" applyFill="1" applyBorder="1" applyAlignment="1">
      <alignment/>
    </xf>
    <xf numFmtId="0" fontId="0" fillId="0" borderId="20" xfId="0" applyFill="1" applyBorder="1" applyAlignment="1">
      <alignment/>
    </xf>
    <xf numFmtId="0" fontId="0" fillId="0" borderId="23" xfId="0" applyBorder="1" applyAlignment="1">
      <alignment/>
    </xf>
    <xf numFmtId="164" fontId="22" fillId="34" borderId="17" xfId="42" applyNumberFormat="1" applyFont="1" applyFill="1" applyBorder="1" applyAlignment="1">
      <alignment horizontal="center"/>
    </xf>
    <xf numFmtId="0" fontId="21" fillId="0" borderId="0" xfId="0" applyFont="1" applyAlignment="1">
      <alignment/>
    </xf>
    <xf numFmtId="0" fontId="0" fillId="0" borderId="0" xfId="71" applyFont="1" applyFill="1" applyAlignment="1">
      <alignment/>
      <protection/>
    </xf>
    <xf numFmtId="164" fontId="22" fillId="34" borderId="0" xfId="45" applyNumberFormat="1" applyFont="1" applyFill="1" applyAlignment="1">
      <alignment/>
    </xf>
    <xf numFmtId="37" fontId="6" fillId="0" borderId="0" xfId="0" applyNumberFormat="1" applyFont="1" applyFill="1" applyAlignment="1">
      <alignment horizontal="right"/>
    </xf>
    <xf numFmtId="188" fontId="6" fillId="0" borderId="0" xfId="0" applyNumberFormat="1" applyFont="1" applyAlignment="1">
      <alignment/>
    </xf>
    <xf numFmtId="0" fontId="61" fillId="0" borderId="0" xfId="0" applyFont="1" applyAlignment="1">
      <alignment vertical="center"/>
    </xf>
    <xf numFmtId="0" fontId="38" fillId="0" borderId="0" xfId="0" applyFont="1" applyFill="1" applyBorder="1" applyAlignment="1">
      <alignment/>
    </xf>
    <xf numFmtId="167" fontId="28" fillId="0" borderId="24" xfId="51" applyNumberFormat="1" applyFont="1" applyFill="1" applyBorder="1" applyAlignment="1">
      <alignment/>
    </xf>
    <xf numFmtId="0" fontId="0" fillId="0" borderId="0" xfId="70">
      <alignment/>
      <protection/>
    </xf>
    <xf numFmtId="0" fontId="5" fillId="0" borderId="0" xfId="70" applyFont="1">
      <alignment/>
      <protection/>
    </xf>
    <xf numFmtId="0" fontId="5" fillId="0" borderId="0" xfId="70" applyFont="1" applyAlignment="1">
      <alignment horizontal="center"/>
      <protection/>
    </xf>
    <xf numFmtId="0" fontId="0" fillId="0" borderId="0" xfId="70" applyFont="1">
      <alignment/>
      <protection/>
    </xf>
    <xf numFmtId="0" fontId="0" fillId="0" borderId="0" xfId="70" applyFont="1" applyAlignment="1">
      <alignment horizontal="center"/>
      <protection/>
    </xf>
    <xf numFmtId="0" fontId="0" fillId="0" borderId="0" xfId="70" applyFont="1" applyFill="1" applyAlignment="1">
      <alignment/>
      <protection/>
    </xf>
    <xf numFmtId="0" fontId="1" fillId="0" borderId="0" xfId="70" applyFont="1" applyFill="1" applyAlignment="1">
      <alignment horizontal="center"/>
      <protection/>
    </xf>
    <xf numFmtId="0" fontId="0" fillId="0" borderId="0" xfId="70" applyFont="1" applyFill="1">
      <alignment/>
      <protection/>
    </xf>
    <xf numFmtId="0" fontId="33" fillId="0" borderId="0" xfId="70" applyFont="1" applyFill="1" applyAlignment="1">
      <alignment horizontal="center"/>
      <protection/>
    </xf>
    <xf numFmtId="164" fontId="33" fillId="0" borderId="0" xfId="49" applyNumberFormat="1" applyFont="1" applyFill="1" applyAlignment="1">
      <alignment horizontal="center" wrapText="1"/>
    </xf>
    <xf numFmtId="0" fontId="0" fillId="0" borderId="0" xfId="70" applyFont="1" applyFill="1" applyAlignment="1">
      <alignment horizontal="center"/>
      <protection/>
    </xf>
    <xf numFmtId="0" fontId="1" fillId="0" borderId="0" xfId="70" applyFont="1" applyFill="1">
      <alignment/>
      <protection/>
    </xf>
    <xf numFmtId="0" fontId="0" fillId="0" borderId="0" xfId="70" applyFont="1" applyFill="1" applyAlignment="1">
      <alignment horizontal="center" wrapText="1"/>
      <protection/>
    </xf>
    <xf numFmtId="5" fontId="0" fillId="0" borderId="0" xfId="49" applyNumberFormat="1" applyFont="1" applyFill="1" applyAlignment="1">
      <alignment/>
    </xf>
    <xf numFmtId="0" fontId="0" fillId="0" borderId="0" xfId="70" applyFont="1" applyFill="1" applyAlignment="1">
      <alignment wrapText="1"/>
      <protection/>
    </xf>
    <xf numFmtId="8" fontId="0" fillId="0" borderId="0" xfId="70" applyNumberFormat="1" applyFont="1" applyFill="1">
      <alignment/>
      <protection/>
    </xf>
    <xf numFmtId="164" fontId="0" fillId="0" borderId="0" xfId="49" applyNumberFormat="1" applyFont="1" applyFill="1" applyAlignment="1">
      <alignment horizontal="center"/>
    </xf>
    <xf numFmtId="0" fontId="0" fillId="0" borderId="0" xfId="70" applyFont="1" applyAlignment="1">
      <alignment horizontal="center" vertical="center"/>
      <protection/>
    </xf>
    <xf numFmtId="164" fontId="1" fillId="0" borderId="12" xfId="49" applyNumberFormat="1" applyFont="1" applyFill="1" applyBorder="1" applyAlignment="1">
      <alignment horizontal="center" wrapText="1"/>
    </xf>
    <xf numFmtId="0" fontId="0" fillId="0" borderId="12" xfId="70" applyFont="1" applyFill="1" applyBorder="1">
      <alignment/>
      <protection/>
    </xf>
    <xf numFmtId="5" fontId="1" fillId="0" borderId="41" xfId="49" applyNumberFormat="1" applyFont="1" applyFill="1" applyBorder="1" applyAlignment="1">
      <alignment/>
    </xf>
    <xf numFmtId="8" fontId="0" fillId="0" borderId="41" xfId="70" applyNumberFormat="1" applyFont="1" applyFill="1" applyBorder="1">
      <alignment/>
      <protection/>
    </xf>
    <xf numFmtId="5" fontId="1" fillId="0" borderId="11" xfId="49" applyNumberFormat="1" applyFont="1" applyFill="1" applyBorder="1" applyAlignment="1">
      <alignment/>
    </xf>
    <xf numFmtId="5" fontId="0" fillId="0" borderId="12" xfId="49" applyNumberFormat="1" applyFont="1" applyFill="1" applyBorder="1" applyAlignment="1">
      <alignment/>
    </xf>
    <xf numFmtId="0" fontId="1" fillId="0" borderId="0" xfId="70" applyFont="1" applyFill="1" applyAlignment="1">
      <alignment/>
      <protection/>
    </xf>
    <xf numFmtId="0" fontId="1" fillId="0" borderId="0" xfId="71" applyFont="1" applyFill="1" applyBorder="1" applyAlignment="1">
      <alignment horizontal="center" wrapText="1"/>
      <protection/>
    </xf>
    <xf numFmtId="164" fontId="0" fillId="0" borderId="0" xfId="50" applyNumberFormat="1" applyFont="1" applyFill="1" applyAlignment="1">
      <alignment vertical="center"/>
    </xf>
    <xf numFmtId="164" fontId="5" fillId="0" borderId="0" xfId="50" applyNumberFormat="1" applyFont="1" applyFill="1" applyAlignment="1">
      <alignment vertical="center"/>
    </xf>
    <xf numFmtId="164" fontId="5" fillId="0" borderId="0" xfId="50" applyNumberFormat="1" applyFont="1" applyFill="1" applyAlignment="1">
      <alignment/>
    </xf>
    <xf numFmtId="0" fontId="83" fillId="0" borderId="0" xfId="67" applyFont="1" applyFill="1">
      <alignment/>
      <protection/>
    </xf>
    <xf numFmtId="0" fontId="83" fillId="0" borderId="0" xfId="67" applyFont="1" applyFill="1" applyAlignment="1">
      <alignment wrapText="1"/>
      <protection/>
    </xf>
    <xf numFmtId="0" fontId="5" fillId="0" borderId="0" xfId="71" applyFont="1" applyFill="1">
      <alignment/>
      <protection/>
    </xf>
    <xf numFmtId="0" fontId="5" fillId="0" borderId="0" xfId="71" applyFont="1" applyFill="1" applyAlignment="1">
      <alignment vertical="top" wrapText="1"/>
      <protection/>
    </xf>
    <xf numFmtId="0" fontId="5" fillId="0" borderId="0" xfId="71" applyFont="1" applyFill="1" applyAlignment="1">
      <alignment horizontal="left" vertical="top"/>
      <protection/>
    </xf>
    <xf numFmtId="164" fontId="0" fillId="0" borderId="0" xfId="50" applyNumberFormat="1" applyFont="1" applyFill="1" applyAlignment="1">
      <alignment horizontal="center"/>
    </xf>
    <xf numFmtId="164" fontId="0" fillId="0" borderId="0" xfId="45" applyNumberFormat="1" applyFont="1" applyFill="1" applyBorder="1" applyAlignment="1">
      <alignment/>
    </xf>
    <xf numFmtId="164" fontId="0" fillId="0" borderId="0" xfId="49" applyNumberFormat="1" applyFont="1" applyFill="1" applyAlignment="1">
      <alignment/>
    </xf>
    <xf numFmtId="164" fontId="1" fillId="0" borderId="0" xfId="71" applyNumberFormat="1" applyFont="1" applyFill="1">
      <alignment/>
      <protection/>
    </xf>
    <xf numFmtId="0" fontId="0" fillId="0" borderId="0" xfId="70" applyFont="1" applyAlignment="1">
      <alignment horizontal="center" vertical="top"/>
      <protection/>
    </xf>
    <xf numFmtId="0" fontId="1" fillId="0" borderId="21" xfId="71" applyFont="1" applyFill="1" applyBorder="1" applyAlignment="1">
      <alignment horizontal="left" wrapText="1"/>
      <protection/>
    </xf>
    <xf numFmtId="0" fontId="0" fillId="0" borderId="0" xfId="70" applyBorder="1">
      <alignment/>
      <protection/>
    </xf>
    <xf numFmtId="0" fontId="5" fillId="0" borderId="0" xfId="71" applyFont="1" applyFill="1" applyBorder="1">
      <alignment/>
      <protection/>
    </xf>
    <xf numFmtId="0" fontId="0" fillId="0" borderId="0" xfId="73" applyFont="1" applyFill="1" applyAlignment="1">
      <alignment/>
      <protection/>
    </xf>
    <xf numFmtId="0" fontId="1" fillId="0" borderId="0" xfId="73" applyFont="1" applyFill="1" applyAlignment="1">
      <alignment horizontal="center"/>
      <protection/>
    </xf>
    <xf numFmtId="0" fontId="0" fillId="0" borderId="0" xfId="73" applyFont="1" applyFill="1">
      <alignment/>
      <protection/>
    </xf>
    <xf numFmtId="0" fontId="0" fillId="0" borderId="0" xfId="73" applyFont="1" applyFill="1" applyBorder="1">
      <alignment/>
      <protection/>
    </xf>
    <xf numFmtId="0" fontId="0" fillId="0" borderId="0" xfId="70" applyFont="1" applyBorder="1" applyAlignment="1">
      <alignment horizontal="center"/>
      <protection/>
    </xf>
    <xf numFmtId="0" fontId="1" fillId="0" borderId="0" xfId="73" applyFont="1" applyFill="1" applyBorder="1" applyAlignment="1">
      <alignment/>
      <protection/>
    </xf>
    <xf numFmtId="0" fontId="0" fillId="0" borderId="0" xfId="69" applyFont="1" applyFill="1" applyAlignment="1">
      <alignment horizontal="left"/>
      <protection/>
    </xf>
    <xf numFmtId="0" fontId="0" fillId="0" borderId="0" xfId="73" applyFont="1" applyFill="1" applyAlignment="1">
      <alignment horizontal="center"/>
      <protection/>
    </xf>
    <xf numFmtId="10" fontId="0" fillId="0" borderId="0" xfId="73" applyNumberFormat="1" applyFont="1" applyFill="1" applyAlignment="1" quotePrefix="1">
      <alignment horizontal="center"/>
      <protection/>
    </xf>
    <xf numFmtId="167" fontId="0" fillId="0" borderId="0" xfId="73" applyNumberFormat="1" applyFont="1" applyFill="1">
      <alignment/>
      <protection/>
    </xf>
    <xf numFmtId="0" fontId="0" fillId="0" borderId="0" xfId="73" applyFont="1" applyFill="1" applyAlignment="1">
      <alignment horizontal="left"/>
      <protection/>
    </xf>
    <xf numFmtId="0" fontId="26" fillId="0" borderId="0" xfId="73" applyFont="1" applyFill="1">
      <alignment/>
      <protection/>
    </xf>
    <xf numFmtId="167" fontId="0" fillId="0" borderId="0" xfId="73" applyNumberFormat="1" applyFont="1" applyFill="1" applyBorder="1">
      <alignment/>
      <protection/>
    </xf>
    <xf numFmtId="0" fontId="0" fillId="0" borderId="0" xfId="71" applyFont="1" applyFill="1" applyBorder="1">
      <alignment/>
      <protection/>
    </xf>
    <xf numFmtId="0" fontId="0" fillId="0" borderId="0" xfId="71" applyFont="1" applyFill="1" applyBorder="1" applyAlignment="1">
      <alignment horizontal="right"/>
      <protection/>
    </xf>
    <xf numFmtId="0" fontId="1" fillId="0" borderId="0" xfId="71" applyFont="1" applyFill="1" applyBorder="1" applyAlignment="1">
      <alignment horizontal="right"/>
      <protection/>
    </xf>
    <xf numFmtId="0" fontId="1" fillId="0" borderId="0" xfId="71" applyFont="1" applyFill="1" applyBorder="1">
      <alignment/>
      <protection/>
    </xf>
    <xf numFmtId="0" fontId="1" fillId="0" borderId="12" xfId="73" applyFont="1" applyFill="1" applyBorder="1" applyAlignment="1">
      <alignment/>
      <protection/>
    </xf>
    <xf numFmtId="0" fontId="0" fillId="0" borderId="12" xfId="73" applyFont="1" applyFill="1" applyBorder="1">
      <alignment/>
      <protection/>
    </xf>
    <xf numFmtId="167" fontId="0" fillId="0" borderId="12" xfId="73" applyNumberFormat="1" applyFont="1" applyFill="1" applyBorder="1">
      <alignment/>
      <protection/>
    </xf>
    <xf numFmtId="0" fontId="0" fillId="0" borderId="12" xfId="70" applyBorder="1">
      <alignment/>
      <protection/>
    </xf>
    <xf numFmtId="167" fontId="0" fillId="0" borderId="12" xfId="53" applyNumberFormat="1" applyFont="1" applyFill="1" applyBorder="1" applyAlignment="1">
      <alignment/>
    </xf>
    <xf numFmtId="167" fontId="0" fillId="0" borderId="11" xfId="73" applyNumberFormat="1" applyFont="1" applyFill="1" applyBorder="1">
      <alignment/>
      <protection/>
    </xf>
    <xf numFmtId="0" fontId="0" fillId="0" borderId="42" xfId="0" applyNumberFormat="1" applyFont="1" applyFill="1" applyBorder="1" applyAlignment="1">
      <alignment horizontal="left"/>
    </xf>
    <xf numFmtId="0" fontId="22" fillId="0" borderId="42" xfId="0" applyFont="1" applyFill="1" applyBorder="1" applyAlignment="1">
      <alignment/>
    </xf>
    <xf numFmtId="0" fontId="39" fillId="0" borderId="42" xfId="0" applyNumberFormat="1" applyFont="1" applyFill="1" applyBorder="1" applyAlignment="1">
      <alignment horizontal="center"/>
    </xf>
    <xf numFmtId="0" fontId="0" fillId="0" borderId="43" xfId="0" applyNumberFormat="1" applyFont="1" applyFill="1" applyBorder="1" applyAlignment="1">
      <alignment horizontal="left"/>
    </xf>
    <xf numFmtId="10" fontId="6" fillId="0" borderId="0" xfId="0" applyNumberFormat="1" applyFont="1" applyFill="1" applyAlignment="1">
      <alignment/>
    </xf>
    <xf numFmtId="0" fontId="30" fillId="0" borderId="0" xfId="0" applyFont="1" applyFill="1" applyBorder="1" applyAlignment="1" quotePrefix="1">
      <alignment/>
    </xf>
    <xf numFmtId="164" fontId="0" fillId="0" borderId="0" xfId="0" applyNumberFormat="1" applyFont="1" applyBorder="1" applyAlignment="1" quotePrefix="1">
      <alignment/>
    </xf>
    <xf numFmtId="164" fontId="6" fillId="0" borderId="0" xfId="42" applyNumberFormat="1" applyFont="1" applyFill="1" applyBorder="1" applyAlignment="1">
      <alignment horizontal="right"/>
    </xf>
    <xf numFmtId="164" fontId="4" fillId="0" borderId="0" xfId="42" applyNumberFormat="1" applyFont="1" applyFill="1" applyAlignment="1">
      <alignment horizontal="right"/>
    </xf>
    <xf numFmtId="164" fontId="6" fillId="34" borderId="0" xfId="42" applyNumberFormat="1" applyFont="1" applyFill="1" applyAlignment="1">
      <alignment horizontal="right"/>
    </xf>
    <xf numFmtId="164" fontId="4" fillId="0" borderId="0" xfId="42" applyNumberFormat="1" applyFont="1" applyBorder="1" applyAlignment="1">
      <alignment horizontal="right"/>
    </xf>
    <xf numFmtId="43" fontId="4" fillId="34" borderId="0" xfId="42" applyFont="1" applyFill="1" applyBorder="1" applyAlignment="1">
      <alignment horizontal="right"/>
    </xf>
    <xf numFmtId="43" fontId="4" fillId="0" borderId="0" xfId="42" applyNumberFormat="1" applyFont="1" applyBorder="1" applyAlignment="1">
      <alignment horizontal="right"/>
    </xf>
    <xf numFmtId="0" fontId="4" fillId="0" borderId="0" xfId="0" applyFont="1" applyFill="1" applyBorder="1" applyAlignment="1">
      <alignment vertical="center"/>
    </xf>
    <xf numFmtId="0" fontId="8" fillId="0" borderId="0" xfId="0" applyNumberFormat="1"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4" fillId="37" borderId="13" xfId="0" applyNumberFormat="1" applyFont="1" applyFill="1" applyBorder="1" applyAlignment="1">
      <alignment horizontal="center"/>
    </xf>
    <xf numFmtId="0" fontId="1" fillId="0" borderId="0" xfId="0" applyFont="1" applyFill="1" applyBorder="1" applyAlignment="1">
      <alignment horizontal="right"/>
    </xf>
    <xf numFmtId="0" fontId="30" fillId="0" borderId="0" xfId="0" applyFont="1" applyFill="1" applyBorder="1" applyAlignment="1">
      <alignment horizontal="right"/>
    </xf>
    <xf numFmtId="164" fontId="30" fillId="0" borderId="0" xfId="42" applyNumberFormat="1" applyFont="1" applyFill="1" applyBorder="1" applyAlignment="1">
      <alignment/>
    </xf>
    <xf numFmtId="164" fontId="0" fillId="0" borderId="0" xfId="42" applyNumberFormat="1" applyFont="1" applyFill="1" applyAlignment="1">
      <alignment/>
    </xf>
    <xf numFmtId="3" fontId="0" fillId="0" borderId="0" xfId="0" applyNumberFormat="1" applyFill="1" applyBorder="1" applyAlignment="1">
      <alignmen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18" xfId="0" applyNumberFormat="1" applyFont="1" applyFill="1" applyBorder="1" applyAlignment="1">
      <alignment/>
    </xf>
    <xf numFmtId="0" fontId="0" fillId="0" borderId="20" xfId="0" applyNumberFormat="1" applyFont="1" applyFill="1" applyBorder="1" applyAlignment="1">
      <alignment horizontal="left"/>
    </xf>
    <xf numFmtId="0" fontId="1" fillId="0" borderId="21" xfId="0" applyFont="1" applyFill="1" applyBorder="1" applyAlignment="1">
      <alignment/>
    </xf>
    <xf numFmtId="0" fontId="47" fillId="0" borderId="0" xfId="0" applyFont="1" applyFill="1" applyAlignment="1">
      <alignment/>
    </xf>
    <xf numFmtId="43" fontId="4" fillId="0" borderId="0" xfId="0" applyNumberFormat="1" applyFont="1" applyAlignment="1">
      <alignment/>
    </xf>
    <xf numFmtId="43" fontId="6" fillId="0" borderId="0" xfId="0" applyNumberFormat="1" applyFont="1" applyFill="1" applyAlignment="1">
      <alignment/>
    </xf>
    <xf numFmtId="43" fontId="4" fillId="0" borderId="0" xfId="0" applyNumberFormat="1" applyFont="1" applyFill="1" applyAlignment="1">
      <alignment/>
    </xf>
    <xf numFmtId="0" fontId="0" fillId="0" borderId="12" xfId="0" applyFont="1" applyFill="1" applyBorder="1" applyAlignment="1">
      <alignment horizontal="center" vertical="center"/>
    </xf>
    <xf numFmtId="0" fontId="0" fillId="0" borderId="12" xfId="0" applyFont="1" applyFill="1" applyBorder="1" applyAlignment="1">
      <alignment horizontal="center"/>
    </xf>
    <xf numFmtId="0" fontId="0" fillId="0" borderId="37" xfId="0" applyNumberFormat="1" applyFont="1" applyFill="1" applyBorder="1" applyAlignment="1">
      <alignment horizontal="center"/>
    </xf>
    <xf numFmtId="164" fontId="0" fillId="0" borderId="12" xfId="45" applyNumberFormat="1" applyFont="1" applyFill="1" applyBorder="1" applyAlignment="1">
      <alignment/>
    </xf>
    <xf numFmtId="164" fontId="0" fillId="0" borderId="12" xfId="49" applyNumberFormat="1" applyFont="1" applyFill="1" applyBorder="1" applyAlignment="1">
      <alignment/>
    </xf>
    <xf numFmtId="164" fontId="0" fillId="0" borderId="10" xfId="45" applyNumberFormat="1" applyFont="1" applyFill="1" applyBorder="1" applyAlignment="1">
      <alignment/>
    </xf>
    <xf numFmtId="164" fontId="0" fillId="0" borderId="0" xfId="45" applyNumberFormat="1" applyFont="1" applyFill="1" applyAlignment="1">
      <alignment/>
    </xf>
    <xf numFmtId="164" fontId="1" fillId="0" borderId="11" xfId="49" applyNumberFormat="1" applyFont="1" applyFill="1" applyBorder="1" applyAlignment="1">
      <alignment/>
    </xf>
    <xf numFmtId="0" fontId="22" fillId="0" borderId="0" xfId="0" applyFont="1" applyFill="1" applyAlignment="1">
      <alignment horizontal="center" vertical="top"/>
    </xf>
    <xf numFmtId="0" fontId="0" fillId="0" borderId="0" xfId="70" applyAlignment="1">
      <alignment horizontal="center" vertical="top"/>
      <protection/>
    </xf>
    <xf numFmtId="0" fontId="0" fillId="0" borderId="0" xfId="0" applyAlignment="1">
      <alignment horizontal="center" vertical="top"/>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12" xfId="0" applyFont="1" applyBorder="1" applyAlignment="1">
      <alignment horizontal="center" vertical="top"/>
    </xf>
    <xf numFmtId="0" fontId="0" fillId="0" borderId="0" xfId="0" applyFont="1" applyBorder="1" applyAlignment="1">
      <alignment horizontal="center" vertical="top"/>
    </xf>
    <xf numFmtId="0" fontId="0" fillId="0" borderId="0" xfId="0" applyFont="1" applyFill="1" applyAlignment="1">
      <alignment horizontal="right"/>
    </xf>
    <xf numFmtId="164" fontId="28" fillId="0" borderId="18" xfId="42" applyNumberFormat="1" applyFont="1" applyFill="1" applyBorder="1" applyAlignment="1">
      <alignment/>
    </xf>
    <xf numFmtId="164" fontId="0" fillId="0" borderId="0" xfId="48" applyNumberFormat="1" applyFont="1" applyAlignment="1">
      <alignment/>
    </xf>
    <xf numFmtId="164" fontId="0" fillId="34" borderId="12" xfId="42" applyNumberFormat="1" applyFont="1" applyFill="1" applyBorder="1" applyAlignment="1">
      <alignment horizontal="right"/>
    </xf>
    <xf numFmtId="164" fontId="0" fillId="34" borderId="0" xfId="42" applyNumberFormat="1" applyFont="1" applyFill="1" applyBorder="1" applyAlignment="1">
      <alignment horizontal="right"/>
    </xf>
    <xf numFmtId="164" fontId="0" fillId="0" borderId="0" xfId="45" applyNumberFormat="1" applyFont="1" applyFill="1" applyAlignment="1">
      <alignment/>
    </xf>
    <xf numFmtId="0" fontId="0" fillId="0" borderId="0" xfId="0" applyFont="1" applyFill="1" applyAlignment="1" quotePrefix="1">
      <alignment/>
    </xf>
    <xf numFmtId="0" fontId="0" fillId="0" borderId="0" xfId="0" applyFont="1" applyAlignment="1" quotePrefix="1">
      <alignment/>
    </xf>
    <xf numFmtId="3" fontId="28" fillId="0" borderId="0" xfId="0" applyNumberFormat="1" applyFont="1" applyFill="1" applyBorder="1" applyAlignment="1">
      <alignment/>
    </xf>
    <xf numFmtId="164" fontId="28" fillId="0" borderId="0" xfId="0" applyNumberFormat="1" applyFont="1" applyFill="1" applyBorder="1" applyAlignment="1">
      <alignment horizontal="right"/>
    </xf>
    <xf numFmtId="37" fontId="0" fillId="0" borderId="0" xfId="0" applyNumberFormat="1" applyFont="1" applyFill="1" applyBorder="1" applyAlignment="1">
      <alignment horizontal="right"/>
    </xf>
    <xf numFmtId="164" fontId="0" fillId="0" borderId="12" xfId="42" applyNumberFormat="1" applyFont="1" applyFill="1" applyBorder="1" applyAlignment="1" quotePrefix="1">
      <alignment/>
    </xf>
    <xf numFmtId="164" fontId="0" fillId="0" borderId="0" xfId="42" applyNumberFormat="1" applyFont="1" applyFill="1" applyAlignment="1">
      <alignment horizontal="right"/>
    </xf>
    <xf numFmtId="164" fontId="0" fillId="0" borderId="0" xfId="42" applyNumberFormat="1" applyFont="1" applyFill="1" applyBorder="1" applyAlignment="1" quotePrefix="1">
      <alignment horizontal="left"/>
    </xf>
    <xf numFmtId="0" fontId="40" fillId="0" borderId="0" xfId="0" applyNumberFormat="1" applyFont="1" applyFill="1" applyBorder="1" applyAlignment="1">
      <alignment horizontal="center"/>
    </xf>
    <xf numFmtId="3" fontId="49" fillId="0" borderId="0" xfId="0" applyNumberFormat="1" applyFont="1" applyFill="1" applyBorder="1" applyAlignment="1">
      <alignment horizontal="center"/>
    </xf>
    <xf numFmtId="0" fontId="38" fillId="0" borderId="0" xfId="0" applyNumberFormat="1" applyFont="1" applyFill="1" applyBorder="1" applyAlignment="1">
      <alignment horizontal="center"/>
    </xf>
    <xf numFmtId="0" fontId="40" fillId="0" borderId="21" xfId="0" applyNumberFormat="1" applyFont="1" applyFill="1" applyBorder="1" applyAlignment="1">
      <alignment horizontal="center"/>
    </xf>
    <xf numFmtId="0" fontId="37" fillId="0" borderId="20" xfId="0" applyFont="1" applyFill="1" applyBorder="1" applyAlignment="1">
      <alignment/>
    </xf>
    <xf numFmtId="0" fontId="22" fillId="0" borderId="21" xfId="0" applyFont="1" applyFill="1" applyBorder="1" applyAlignment="1">
      <alignment/>
    </xf>
    <xf numFmtId="164" fontId="59" fillId="0" borderId="0" xfId="45" applyNumberFormat="1" applyFont="1" applyFill="1" applyBorder="1" applyAlignment="1">
      <alignment/>
    </xf>
    <xf numFmtId="37" fontId="0" fillId="34" borderId="26" xfId="72" applyNumberFormat="1" applyFont="1" applyFill="1" applyBorder="1" applyAlignment="1">
      <alignment wrapText="1"/>
      <protection/>
    </xf>
    <xf numFmtId="43" fontId="28" fillId="0" borderId="15" xfId="42" applyNumberFormat="1" applyFont="1" applyFill="1" applyBorder="1" applyAlignment="1">
      <alignment/>
    </xf>
    <xf numFmtId="0" fontId="52" fillId="0" borderId="0" xfId="0" applyFont="1" applyFill="1" applyAlignment="1">
      <alignment/>
    </xf>
    <xf numFmtId="43" fontId="4" fillId="0" borderId="0" xfId="0" applyNumberFormat="1" applyFont="1" applyFill="1" applyAlignment="1">
      <alignment/>
    </xf>
    <xf numFmtId="0" fontId="22" fillId="0" borderId="0" xfId="0" applyFont="1" applyFill="1" applyAlignment="1">
      <alignment horizontal="left" vertical="top" wrapText="1"/>
    </xf>
    <xf numFmtId="3" fontId="6" fillId="0" borderId="0" xfId="0" applyNumberFormat="1" applyFont="1" applyFill="1" applyBorder="1" applyAlignment="1">
      <alignment horizontal="right"/>
    </xf>
    <xf numFmtId="0" fontId="22" fillId="0" borderId="0" xfId="0" applyFont="1" applyFill="1" applyAlignment="1">
      <alignment horizontal="left" wrapText="1"/>
    </xf>
    <xf numFmtId="170" fontId="22" fillId="0" borderId="0" xfId="74" applyFont="1" applyFill="1" applyAlignment="1" applyProtection="1">
      <alignment vertical="top" wrapText="1"/>
      <protection/>
    </xf>
    <xf numFmtId="0" fontId="22" fillId="0" borderId="0" xfId="0" applyFont="1" applyFill="1" applyAlignment="1">
      <alignment wrapText="1"/>
    </xf>
    <xf numFmtId="0" fontId="22" fillId="0" borderId="0" xfId="0" applyFont="1" applyFill="1" applyAlignment="1">
      <alignment/>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30" fillId="0" borderId="28" xfId="0" applyFont="1" applyFill="1" applyBorder="1" applyAlignment="1">
      <alignment horizontal="left" wrapText="1"/>
    </xf>
    <xf numFmtId="0" fontId="0" fillId="0" borderId="0" xfId="0" applyFont="1" applyBorder="1" applyAlignment="1">
      <alignment/>
    </xf>
    <xf numFmtId="0" fontId="0" fillId="0" borderId="32"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1" fillId="36" borderId="19" xfId="0" applyFont="1" applyFill="1" applyBorder="1" applyAlignment="1">
      <alignment horizontal="center"/>
    </xf>
    <xf numFmtId="0" fontId="1" fillId="36" borderId="20" xfId="0" applyFont="1" applyFill="1" applyBorder="1" applyAlignment="1">
      <alignment horizontal="center"/>
    </xf>
    <xf numFmtId="0" fontId="1" fillId="36" borderId="23" xfId="0" applyFont="1" applyFill="1" applyBorder="1" applyAlignment="1">
      <alignment horizontal="center"/>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30" xfId="0" applyFont="1" applyFill="1" applyBorder="1" applyAlignment="1">
      <alignment horizontal="center"/>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1" fillId="36" borderId="14" xfId="0" applyFont="1" applyFill="1" applyBorder="1" applyAlignment="1">
      <alignment horizontal="center"/>
    </xf>
    <xf numFmtId="0" fontId="1" fillId="36" borderId="13" xfId="0" applyFont="1" applyFill="1" applyBorder="1" applyAlignment="1">
      <alignment horizontal="center"/>
    </xf>
    <xf numFmtId="0" fontId="31" fillId="36" borderId="13" xfId="0" applyFont="1" applyFill="1" applyBorder="1" applyAlignment="1">
      <alignment horizontal="center"/>
    </xf>
    <xf numFmtId="0" fontId="31" fillId="36" borderId="30" xfId="0" applyFont="1" applyFill="1" applyBorder="1" applyAlignment="1">
      <alignment horizontal="center"/>
    </xf>
    <xf numFmtId="0" fontId="0" fillId="36" borderId="13" xfId="0" applyFont="1" applyFill="1" applyBorder="1" applyAlignment="1">
      <alignment horizontal="center" wrapText="1"/>
    </xf>
    <xf numFmtId="0" fontId="0" fillId="36" borderId="30" xfId="0" applyFont="1" applyFill="1" applyBorder="1" applyAlignment="1">
      <alignment horizontal="center" wrapText="1"/>
    </xf>
    <xf numFmtId="164" fontId="0" fillId="0" borderId="21" xfId="0" applyNumberFormat="1" applyFont="1" applyFill="1" applyBorder="1" applyAlignment="1">
      <alignment horizontal="center" wrapText="1"/>
    </xf>
    <xf numFmtId="164" fontId="0" fillId="0" borderId="18" xfId="0" applyNumberFormat="1" applyFont="1" applyFill="1" applyBorder="1" applyAlignment="1">
      <alignment horizontal="center" wrapText="1"/>
    </xf>
    <xf numFmtId="0" fontId="1" fillId="36" borderId="30"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10" fillId="36" borderId="13" xfId="0" applyFont="1" applyFill="1" applyBorder="1" applyAlignment="1">
      <alignment horizontal="center" wrapText="1"/>
    </xf>
    <xf numFmtId="0" fontId="10" fillId="36" borderId="30" xfId="0"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15" xfId="0" applyNumberFormat="1" applyFont="1" applyFill="1" applyBorder="1" applyAlignment="1">
      <alignment horizontal="center" wrapText="1"/>
    </xf>
    <xf numFmtId="0" fontId="1" fillId="36" borderId="13" xfId="0" applyFont="1" applyFill="1" applyBorder="1" applyAlignment="1">
      <alignment horizontal="center" wrapText="1"/>
    </xf>
    <xf numFmtId="0" fontId="1" fillId="36" borderId="30" xfId="0" applyFont="1" applyFill="1" applyBorder="1" applyAlignment="1">
      <alignment horizontal="center" wrapText="1"/>
    </xf>
    <xf numFmtId="0" fontId="1" fillId="0" borderId="21" xfId="0" applyFont="1" applyFill="1" applyBorder="1" applyAlignment="1">
      <alignment horizontal="center" wrapText="1"/>
    </xf>
    <xf numFmtId="0" fontId="1" fillId="0" borderId="18" xfId="0" applyFont="1" applyFill="1" applyBorder="1" applyAlignment="1">
      <alignment horizontal="center" wrapText="1"/>
    </xf>
    <xf numFmtId="164" fontId="0" fillId="0" borderId="21" xfId="42" applyNumberFormat="1" applyFont="1" applyFill="1" applyBorder="1" applyAlignment="1">
      <alignment horizontal="center" wrapText="1"/>
    </xf>
    <xf numFmtId="164" fontId="0" fillId="0" borderId="18" xfId="42" applyNumberFormat="1" applyFont="1" applyFill="1" applyBorder="1" applyAlignment="1">
      <alignment horizontal="center" wrapText="1"/>
    </xf>
    <xf numFmtId="0" fontId="1" fillId="36" borderId="20" xfId="0" applyFont="1" applyFill="1" applyBorder="1" applyAlignment="1">
      <alignment horizontal="center" wrapText="1"/>
    </xf>
    <xf numFmtId="0" fontId="1" fillId="36" borderId="23" xfId="0" applyFont="1" applyFill="1" applyBorder="1" applyAlignment="1">
      <alignment horizontal="center" wrapText="1"/>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Fill="1" applyBorder="1" applyAlignment="1">
      <alignment horizontal="left" wrapText="1"/>
    </xf>
    <xf numFmtId="0" fontId="0" fillId="0" borderId="15" xfId="0" applyFont="1" applyFill="1" applyBorder="1" applyAlignment="1">
      <alignment horizontal="left" wrapText="1"/>
    </xf>
    <xf numFmtId="0" fontId="1" fillId="0" borderId="20" xfId="0" applyFont="1" applyFill="1" applyBorder="1" applyAlignment="1">
      <alignment horizontal="center" wrapText="1"/>
    </xf>
    <xf numFmtId="0" fontId="1" fillId="0" borderId="23" xfId="0" applyFont="1" applyFill="1" applyBorder="1" applyAlignment="1">
      <alignment horizontal="center" wrapText="1"/>
    </xf>
    <xf numFmtId="0" fontId="0" fillId="36" borderId="19" xfId="0" applyFont="1" applyFill="1" applyBorder="1" applyAlignment="1">
      <alignment horizontal="center"/>
    </xf>
    <xf numFmtId="0" fontId="0" fillId="36" borderId="20" xfId="0" applyFont="1" applyFill="1" applyBorder="1" applyAlignment="1">
      <alignment horizontal="center"/>
    </xf>
    <xf numFmtId="0" fontId="0" fillId="36" borderId="23" xfId="0" applyFont="1" applyFill="1" applyBorder="1" applyAlignment="1">
      <alignment horizontal="center"/>
    </xf>
    <xf numFmtId="0" fontId="0" fillId="36" borderId="20" xfId="0" applyFont="1" applyFill="1" applyBorder="1" applyAlignment="1">
      <alignment horizontal="center" wrapText="1"/>
    </xf>
    <xf numFmtId="0" fontId="0" fillId="0" borderId="20" xfId="0" applyFont="1" applyBorder="1" applyAlignment="1">
      <alignment horizontal="center" wrapText="1"/>
    </xf>
    <xf numFmtId="0" fontId="0" fillId="0" borderId="23" xfId="0" applyFont="1" applyBorder="1" applyAlignment="1">
      <alignment horizontal="center" wrapText="1"/>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0" fillId="0" borderId="0" xfId="0" applyFont="1" applyFill="1" applyAlignment="1">
      <alignment horizontal="left" wrapText="1"/>
    </xf>
    <xf numFmtId="0" fontId="0" fillId="0" borderId="0" xfId="0" applyFont="1" applyAlignment="1">
      <alignment wrapText="1"/>
    </xf>
    <xf numFmtId="0" fontId="30" fillId="0" borderId="19"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30" fillId="0" borderId="16"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30" fillId="0" borderId="16"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xf numFmtId="0" fontId="0" fillId="0" borderId="0" xfId="73" applyFont="1" applyFill="1" applyAlignment="1">
      <alignment horizontal="left" wrapText="1"/>
      <protection/>
    </xf>
    <xf numFmtId="0" fontId="0" fillId="0" borderId="0" xfId="70" applyFont="1" applyAlignment="1">
      <alignment horizontal="left" vertical="top" wrapText="1"/>
      <protection/>
    </xf>
    <xf numFmtId="0" fontId="1" fillId="0" borderId="12" xfId="70" applyFont="1" applyBorder="1" applyAlignment="1">
      <alignment horizontal="left" wrapText="1"/>
      <protection/>
    </xf>
    <xf numFmtId="0" fontId="0" fillId="0" borderId="0" xfId="70" applyFont="1" applyAlignment="1">
      <alignment horizontal="left"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5" xfId="44"/>
    <cellStyle name="Comma 10 2 2" xfId="45"/>
    <cellStyle name="Comma 2" xfId="46"/>
    <cellStyle name="Comma 2 2" xfId="47"/>
    <cellStyle name="Comma 3" xfId="48"/>
    <cellStyle name="Comma 3 2" xfId="49"/>
    <cellStyle name="Comma 3 2 2" xfId="50"/>
    <cellStyle name="Currency" xfId="51"/>
    <cellStyle name="Currency [0]" xfId="52"/>
    <cellStyle name="Currency 3 3" xfId="53"/>
    <cellStyle name="Explanatory Text" xfId="54"/>
    <cellStyle name="Followed Hyperlink" xfId="55"/>
    <cellStyle name="FRxAmtStyle 2"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12" xfId="66"/>
    <cellStyle name="Normal 170 2" xfId="67"/>
    <cellStyle name="Normal 2" xfId="68"/>
    <cellStyle name="Normal 272" xfId="69"/>
    <cellStyle name="Normal 3" xfId="70"/>
    <cellStyle name="Normal 3 7 2" xfId="71"/>
    <cellStyle name="Normal 4" xfId="72"/>
    <cellStyle name="Normal 5" xfId="73"/>
    <cellStyle name="Normal_FN1 Ratebase Draft SPP template (6-11-04) v2" xfId="74"/>
    <cellStyle name="Note" xfId="75"/>
    <cellStyle name="Output" xfId="76"/>
    <cellStyle name="Percent" xfId="77"/>
    <cellStyle name="Percent 2 3 2" xfId="78"/>
    <cellStyle name="Title" xfId="79"/>
    <cellStyle name="Total" xfId="80"/>
    <cellStyle name="Warning Text"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10"/>
  <sheetViews>
    <sheetView tabSelected="1" zoomScale="68" zoomScaleNormal="68" workbookViewId="0" topLeftCell="A1">
      <selection activeCell="I8" sqref="I8"/>
    </sheetView>
  </sheetViews>
  <sheetFormatPr defaultColWidth="9.140625" defaultRowHeight="12.75"/>
  <cols>
    <col min="1" max="1" width="7.421875" style="64" customWidth="1"/>
    <col min="2" max="2" width="5.7109375" style="29" customWidth="1"/>
    <col min="3" max="3" width="83.28125" style="29" customWidth="1"/>
    <col min="4" max="4" width="16.8515625" style="84" customWidth="1"/>
    <col min="5" max="5" width="56.8515625" style="47" bestFit="1" customWidth="1"/>
    <col min="6" max="6" width="2.7109375" style="47" customWidth="1"/>
    <col min="7" max="7" width="23.421875" style="47" bestFit="1" customWidth="1"/>
    <col min="8" max="8" width="7.00390625" style="47" customWidth="1"/>
    <col min="9" max="9" width="7.421875" style="47" customWidth="1"/>
    <col min="10" max="10" width="20.140625" style="47" customWidth="1"/>
    <col min="11" max="11" width="28.00390625" style="47" bestFit="1" customWidth="1"/>
    <col min="12" max="12" width="19.140625" style="47" bestFit="1" customWidth="1"/>
    <col min="13" max="13" width="15.421875" style="47" bestFit="1" customWidth="1"/>
    <col min="14" max="14" width="13.00390625" style="47" bestFit="1" customWidth="1"/>
    <col min="15" max="16384" width="9.140625" style="47" customWidth="1"/>
  </cols>
  <sheetData>
    <row r="1" spans="1:10" s="67" customFormat="1" ht="23.25" thickBot="1">
      <c r="A1" s="888" t="str">
        <f>IF(I1=1,"Formula Rate - Appendix A True-Up","Formula Rate - Appendix A Estimate")</f>
        <v>Formula Rate - Appendix A Estimate</v>
      </c>
      <c r="B1" s="567"/>
      <c r="C1" s="568"/>
      <c r="D1" s="1315" t="s">
        <v>503</v>
      </c>
      <c r="E1" s="569" t="s">
        <v>587</v>
      </c>
      <c r="F1" s="270"/>
      <c r="G1" s="1108">
        <v>2020</v>
      </c>
      <c r="H1" s="219"/>
      <c r="I1" s="894">
        <v>0</v>
      </c>
      <c r="J1" s="219" t="s">
        <v>261</v>
      </c>
    </row>
    <row r="2" spans="1:10" s="219" customFormat="1" ht="15">
      <c r="A2" s="570" t="s">
        <v>5</v>
      </c>
      <c r="B2" s="215"/>
      <c r="C2" s="216"/>
      <c r="D2" s="147"/>
      <c r="E2" s="217"/>
      <c r="F2" s="130"/>
      <c r="G2" s="218"/>
      <c r="J2" s="67" t="s">
        <v>260</v>
      </c>
    </row>
    <row r="3" spans="1:7" s="53" customFormat="1" ht="15">
      <c r="A3" s="83" t="s">
        <v>388</v>
      </c>
      <c r="B3" s="82"/>
      <c r="C3" s="107"/>
      <c r="D3" s="148"/>
      <c r="E3" s="108"/>
      <c r="F3" s="108"/>
      <c r="G3" s="116"/>
    </row>
    <row r="4" spans="1:11" s="53" customFormat="1" ht="15">
      <c r="A4" s="90"/>
      <c r="B4" s="74"/>
      <c r="C4" s="74"/>
      <c r="E4" s="776"/>
      <c r="F4" s="98"/>
      <c r="G4" s="106"/>
      <c r="K4" s="956"/>
    </row>
    <row r="5" spans="1:7" ht="15">
      <c r="A5" s="44"/>
      <c r="B5" s="21"/>
      <c r="D5" s="18"/>
      <c r="E5" s="5"/>
      <c r="F5" s="5"/>
      <c r="G5" s="5"/>
    </row>
    <row r="6" spans="1:11" ht="15">
      <c r="A6" s="28">
        <v>1</v>
      </c>
      <c r="B6" s="28"/>
      <c r="C6" s="98" t="s">
        <v>313</v>
      </c>
      <c r="D6" s="86"/>
      <c r="E6" s="9" t="s">
        <v>454</v>
      </c>
      <c r="F6" s="29"/>
      <c r="G6" s="1078">
        <v>8764262</v>
      </c>
      <c r="H6" s="53"/>
      <c r="I6" s="53"/>
      <c r="J6" s="1133"/>
      <c r="K6" s="53"/>
    </row>
    <row r="7" spans="1:11" ht="15">
      <c r="A7" s="84"/>
      <c r="E7" s="9"/>
      <c r="G7" s="135"/>
      <c r="H7" s="53"/>
      <c r="I7" s="53"/>
      <c r="J7" s="53"/>
      <c r="K7" s="53"/>
    </row>
    <row r="8" spans="1:11" ht="15">
      <c r="A8" s="28">
        <f>+A6+1</f>
        <v>2</v>
      </c>
      <c r="B8" s="28"/>
      <c r="C8" s="98" t="s">
        <v>314</v>
      </c>
      <c r="D8" s="149"/>
      <c r="E8" s="9" t="s">
        <v>455</v>
      </c>
      <c r="F8" s="29"/>
      <c r="G8" s="1078">
        <v>95841573</v>
      </c>
      <c r="H8" s="53"/>
      <c r="I8" s="53"/>
      <c r="J8" s="1133"/>
      <c r="K8" s="53"/>
    </row>
    <row r="9" spans="1:11" ht="15">
      <c r="A9" s="28">
        <f>+A8+1</f>
        <v>3</v>
      </c>
      <c r="B9" s="28"/>
      <c r="C9" s="98" t="s">
        <v>389</v>
      </c>
      <c r="E9" s="9" t="s">
        <v>693</v>
      </c>
      <c r="F9" s="29"/>
      <c r="G9" s="1078">
        <v>44816423</v>
      </c>
      <c r="H9" s="53"/>
      <c r="I9" s="53"/>
      <c r="J9" s="1133"/>
      <c r="K9" s="53"/>
    </row>
    <row r="10" spans="1:11" ht="15">
      <c r="A10" s="28">
        <f>+A9+1</f>
        <v>4</v>
      </c>
      <c r="B10" s="28"/>
      <c r="C10" s="1047" t="s">
        <v>449</v>
      </c>
      <c r="D10" s="150"/>
      <c r="E10" s="32" t="str">
        <f>"(Line "&amp;A8&amp;" - "&amp;A9&amp;")"</f>
        <v>(Line 2 - 3)</v>
      </c>
      <c r="F10" s="57"/>
      <c r="G10" s="853">
        <f>+G8-G9</f>
        <v>51025150</v>
      </c>
      <c r="K10" s="53"/>
    </row>
    <row r="11" spans="1:11" ht="15">
      <c r="A11" s="28"/>
      <c r="B11" s="28"/>
      <c r="C11" s="1048"/>
      <c r="D11" s="18"/>
      <c r="E11" s="29"/>
      <c r="F11" s="29"/>
      <c r="G11" s="854"/>
      <c r="K11" s="53"/>
    </row>
    <row r="12" spans="1:11" ht="15.75" thickBot="1">
      <c r="A12" s="28">
        <v>5</v>
      </c>
      <c r="B12" s="39"/>
      <c r="C12" s="39"/>
      <c r="D12" s="151"/>
      <c r="E12" s="40" t="str">
        <f>"(Line "&amp;A6&amp;" /  Line "&amp;A10&amp;")"</f>
        <v>(Line 1 /  Line 4)</v>
      </c>
      <c r="F12" s="109"/>
      <c r="G12" s="99">
        <f>IF(G10=0,0,G6/G10)</f>
        <v>0.1717635714936654</v>
      </c>
      <c r="K12" s="53"/>
    </row>
    <row r="13" spans="1:12" ht="15.75" thickTop="1">
      <c r="A13" s="28"/>
      <c r="B13" s="28"/>
      <c r="C13" s="21"/>
      <c r="D13" s="25"/>
      <c r="E13" s="29"/>
      <c r="F13" s="29"/>
      <c r="G13" s="37"/>
      <c r="I13" s="53"/>
      <c r="J13" s="53"/>
      <c r="K13" s="53"/>
      <c r="L13" s="53"/>
    </row>
    <row r="14" spans="1:12" ht="15">
      <c r="A14" s="84"/>
      <c r="B14" s="21" t="s">
        <v>438</v>
      </c>
      <c r="C14" s="60"/>
      <c r="D14" s="149"/>
      <c r="E14" s="76"/>
      <c r="F14" s="76"/>
      <c r="G14" s="76"/>
      <c r="I14" s="53"/>
      <c r="J14" s="53"/>
      <c r="K14" s="53"/>
      <c r="L14" s="53"/>
    </row>
    <row r="15" spans="1:12" ht="15">
      <c r="A15" s="71">
        <f>+A12+1</f>
        <v>6</v>
      </c>
      <c r="B15" s="47"/>
      <c r="C15" s="98" t="s">
        <v>393</v>
      </c>
      <c r="D15" s="175" t="str">
        <f>"(Note "&amp;B$281&amp;")"</f>
        <v>(Note B)</v>
      </c>
      <c r="E15" s="58" t="s">
        <v>8</v>
      </c>
      <c r="F15" s="76"/>
      <c r="G15" s="855">
        <f>IF(I1=1,'5 - Cost Support 1'!F66,+'5 - Cost Support 1'!G66)</f>
        <v>4788761824</v>
      </c>
      <c r="H15" s="67"/>
      <c r="I15" s="219"/>
      <c r="J15" s="53"/>
      <c r="K15" s="53"/>
      <c r="L15" s="53"/>
    </row>
    <row r="16" spans="1:12" ht="15">
      <c r="A16" s="71">
        <f>+A15+1</f>
        <v>7</v>
      </c>
      <c r="C16" s="98" t="s">
        <v>392</v>
      </c>
      <c r="D16" s="181" t="str">
        <f>"(Note "&amp;B$280&amp;")"</f>
        <v>(Note A)</v>
      </c>
      <c r="E16" s="58" t="s">
        <v>8</v>
      </c>
      <c r="F16" s="76"/>
      <c r="G16" s="855">
        <f>IF(I1=1,'5 - Cost Support 1'!F134,+'5 - Cost Support 1'!G134)</f>
        <v>1561803649</v>
      </c>
      <c r="H16" s="53"/>
      <c r="I16" s="219"/>
      <c r="J16" s="53"/>
      <c r="K16" s="53"/>
      <c r="L16" s="53"/>
    </row>
    <row r="17" spans="1:12" ht="15">
      <c r="A17" s="28">
        <f>+A16+1</f>
        <v>8</v>
      </c>
      <c r="B17" s="47"/>
      <c r="C17" s="55" t="s">
        <v>434</v>
      </c>
      <c r="D17" s="153"/>
      <c r="E17" s="32" t="str">
        <f>"(Line "&amp;A15&amp;" - Line "&amp;A16&amp;")"</f>
        <v>(Line 6 - Line 7)</v>
      </c>
      <c r="F17" s="55"/>
      <c r="G17" s="853">
        <f>+G15-G16</f>
        <v>3226958175</v>
      </c>
      <c r="I17" s="53"/>
      <c r="J17" s="53"/>
      <c r="K17" s="53"/>
      <c r="L17" s="53"/>
    </row>
    <row r="18" spans="1:12" ht="15">
      <c r="A18" s="84"/>
      <c r="B18" s="47"/>
      <c r="C18" s="47"/>
      <c r="G18" s="135"/>
      <c r="I18" s="190"/>
      <c r="J18" s="53"/>
      <c r="K18" s="53"/>
      <c r="L18" s="53"/>
    </row>
    <row r="19" spans="1:12" ht="15">
      <c r="A19" s="71">
        <f>+A17+1</f>
        <v>9</v>
      </c>
      <c r="B19" s="47"/>
      <c r="C19" s="47" t="s">
        <v>390</v>
      </c>
      <c r="E19" s="101" t="str">
        <f>"(Line "&amp;A38&amp;")"</f>
        <v>(Line 21)</v>
      </c>
      <c r="G19" s="135">
        <f>+G38</f>
        <v>1142702930.146418</v>
      </c>
      <c r="H19" s="53"/>
      <c r="I19" s="190"/>
      <c r="J19" s="53"/>
      <c r="K19" s="53"/>
      <c r="L19" s="53"/>
    </row>
    <row r="20" spans="1:12" ht="15.75" thickBot="1">
      <c r="A20" s="28">
        <f>+A19+1</f>
        <v>10</v>
      </c>
      <c r="B20" s="43" t="s">
        <v>301</v>
      </c>
      <c r="C20" s="43"/>
      <c r="D20" s="154"/>
      <c r="E20" s="40" t="str">
        <f>"(Line "&amp;A19&amp;" / Line "&amp;A15&amp;")"</f>
        <v>(Line 9 / Line 6)</v>
      </c>
      <c r="F20" s="100"/>
      <c r="G20" s="99">
        <f>IF(G15=0,0,G19/(G15))</f>
        <v>0.23862179246825246</v>
      </c>
      <c r="H20" s="53"/>
      <c r="I20" s="190"/>
      <c r="J20" s="53"/>
      <c r="K20" s="53"/>
      <c r="L20" s="53"/>
    </row>
    <row r="21" spans="1:12" ht="15" thickTop="1">
      <c r="A21" s="84"/>
      <c r="H21" s="53"/>
      <c r="I21" s="53"/>
      <c r="J21" s="53"/>
      <c r="K21" s="53"/>
      <c r="L21" s="53"/>
    </row>
    <row r="22" spans="1:12" s="33" customFormat="1" ht="15">
      <c r="A22" s="71">
        <f>+A20+1</f>
        <v>11</v>
      </c>
      <c r="B22" s="28"/>
      <c r="C22" s="1049" t="s">
        <v>391</v>
      </c>
      <c r="E22" s="101" t="str">
        <f>"(Line "&amp;A56&amp;")"</f>
        <v>(Line 33)</v>
      </c>
      <c r="F22" s="8"/>
      <c r="G22" s="135">
        <f>+G56</f>
        <v>786463153.6929591</v>
      </c>
      <c r="H22" s="639"/>
      <c r="I22" s="639"/>
      <c r="J22" s="639"/>
      <c r="K22" s="639"/>
      <c r="L22" s="639"/>
    </row>
    <row r="23" spans="1:12" ht="15.75" thickBot="1">
      <c r="A23" s="28">
        <f>+A22+1</f>
        <v>12</v>
      </c>
      <c r="B23" s="43" t="s">
        <v>435</v>
      </c>
      <c r="C23" s="43"/>
      <c r="D23" s="154"/>
      <c r="E23" s="40" t="str">
        <f>"(Line "&amp;A22&amp;" / Line "&amp;A17&amp;")"</f>
        <v>(Line 11 / Line 8)</v>
      </c>
      <c r="F23" s="100"/>
      <c r="G23" s="99">
        <f>IF(G17=0,0,G22/G17)</f>
        <v>0.243716562484718</v>
      </c>
      <c r="I23" s="53"/>
      <c r="J23" s="53"/>
      <c r="K23" s="53"/>
      <c r="L23" s="53"/>
    </row>
    <row r="24" spans="1:12" ht="15.75" thickTop="1">
      <c r="A24" s="49"/>
      <c r="B24" s="28"/>
      <c r="C24" s="21"/>
      <c r="D24" s="25"/>
      <c r="E24" s="29"/>
      <c r="F24" s="29"/>
      <c r="G24" s="37"/>
      <c r="I24" s="53"/>
      <c r="J24" s="53"/>
      <c r="K24" s="53"/>
      <c r="L24" s="53"/>
    </row>
    <row r="25" spans="1:7" s="53" customFormat="1" ht="15">
      <c r="A25" s="83" t="s">
        <v>433</v>
      </c>
      <c r="B25" s="82"/>
      <c r="C25" s="107"/>
      <c r="D25" s="148"/>
      <c r="E25" s="108"/>
      <c r="F25" s="108"/>
      <c r="G25" s="116"/>
    </row>
    <row r="26" spans="1:7" s="53" customFormat="1" ht="15">
      <c r="A26" s="110"/>
      <c r="B26" s="111">
        <v>0</v>
      </c>
      <c r="C26" s="74"/>
      <c r="D26" s="147"/>
      <c r="E26" s="98"/>
      <c r="F26" s="98"/>
      <c r="G26" s="106"/>
    </row>
    <row r="27" spans="1:12" ht="15">
      <c r="A27" s="84"/>
      <c r="B27" s="21" t="s">
        <v>398</v>
      </c>
      <c r="D27" s="635"/>
      <c r="E27" s="9"/>
      <c r="F27" s="44"/>
      <c r="G27" s="854"/>
      <c r="I27" s="53"/>
      <c r="J27" s="53"/>
      <c r="K27" s="53"/>
      <c r="L27" s="53"/>
    </row>
    <row r="28" spans="1:12" ht="15">
      <c r="A28" s="71">
        <f>+A23+1</f>
        <v>13</v>
      </c>
      <c r="B28" s="28"/>
      <c r="C28" s="1048" t="s">
        <v>430</v>
      </c>
      <c r="D28" s="175" t="str">
        <f>"(Note "&amp;B$281&amp;")"</f>
        <v>(Note B)</v>
      </c>
      <c r="E28" s="9" t="s">
        <v>8</v>
      </c>
      <c r="F28" s="29"/>
      <c r="G28" s="856">
        <f>IF(I1=1,'5 - Cost Support 1'!F17,+'5 - Cost Support 1'!G17)</f>
        <v>996230126</v>
      </c>
      <c r="I28" s="53"/>
      <c r="J28" s="53"/>
      <c r="K28" s="53"/>
      <c r="L28" s="53"/>
    </row>
    <row r="29" spans="1:12" ht="15">
      <c r="A29" s="71">
        <f>+A28+1</f>
        <v>14</v>
      </c>
      <c r="B29" s="71"/>
      <c r="C29" s="1050" t="s">
        <v>366</v>
      </c>
      <c r="D29" s="181" t="str">
        <f>"(Note "&amp;B$281&amp;")"</f>
        <v>(Note B)</v>
      </c>
      <c r="E29" s="87" t="s">
        <v>108</v>
      </c>
      <c r="F29" s="174"/>
      <c r="G29" s="857">
        <f>IF(I1=1,0,'6- Est &amp; Reconcile WS'!I199)</f>
        <v>23516436.004111536</v>
      </c>
      <c r="I29" s="1368"/>
      <c r="J29" s="53"/>
      <c r="K29" s="53"/>
      <c r="L29" s="53"/>
    </row>
    <row r="30" spans="1:12" ht="15">
      <c r="A30" s="71">
        <f>+A29+1</f>
        <v>15</v>
      </c>
      <c r="B30" s="28"/>
      <c r="C30" s="12" t="s">
        <v>636</v>
      </c>
      <c r="D30" s="175"/>
      <c r="E30" s="42" t="str">
        <f>"(Line "&amp;A28&amp;" + Line "&amp;A29&amp;")"</f>
        <v>(Line 13 + Line 14)</v>
      </c>
      <c r="F30" s="29"/>
      <c r="G30" s="223">
        <f>+G28+G29</f>
        <v>1019746562.0041115</v>
      </c>
      <c r="I30" s="53"/>
      <c r="J30" s="53"/>
      <c r="K30" s="53"/>
      <c r="L30" s="53"/>
    </row>
    <row r="31" spans="1:8" s="53" customFormat="1" ht="15">
      <c r="A31" s="71"/>
      <c r="B31" s="71"/>
      <c r="C31" s="1049"/>
      <c r="D31" s="86"/>
      <c r="E31" s="9"/>
      <c r="F31" s="52"/>
      <c r="G31" s="744"/>
      <c r="H31" s="47"/>
    </row>
    <row r="32" spans="1:12" ht="15">
      <c r="A32" s="71">
        <f>+A30+1</f>
        <v>16</v>
      </c>
      <c r="B32" s="28"/>
      <c r="C32" s="1048" t="s">
        <v>429</v>
      </c>
      <c r="E32" s="9" t="s">
        <v>8</v>
      </c>
      <c r="F32" s="29"/>
      <c r="G32" s="856">
        <f>IF(I1=1,'5 - Cost Support 1'!F43+'5 - Cost Support 1'!F38,+'5 - Cost Support 1'!G43+'5 - Cost Support 1'!G38)</f>
        <v>715846597</v>
      </c>
      <c r="I32" s="53"/>
      <c r="J32" s="53"/>
      <c r="K32" s="53"/>
      <c r="L32" s="53"/>
    </row>
    <row r="33" spans="1:12" ht="15">
      <c r="A33" s="71">
        <f>+A32+1</f>
        <v>17</v>
      </c>
      <c r="B33" s="28"/>
      <c r="C33" s="1048" t="s">
        <v>394</v>
      </c>
      <c r="D33" s="175" t="str">
        <f>"(Note "&amp;B$280&amp;")"</f>
        <v>(Note A)</v>
      </c>
      <c r="E33" s="103" t="s">
        <v>8</v>
      </c>
      <c r="F33" s="29"/>
      <c r="G33" s="855">
        <f>IF(I1=1,'5 - Cost Support 1'!F64,+'5 - Cost Support 1'!G64)</f>
        <v>0</v>
      </c>
      <c r="I33" s="53"/>
      <c r="J33" s="53"/>
      <c r="K33" s="53"/>
      <c r="L33" s="53"/>
    </row>
    <row r="34" spans="1:12" ht="15">
      <c r="A34" s="71">
        <f>+A33+1</f>
        <v>18</v>
      </c>
      <c r="B34" s="28"/>
      <c r="C34" s="1047" t="s">
        <v>431</v>
      </c>
      <c r="D34" s="153"/>
      <c r="E34" s="42" t="str">
        <f>"(Line "&amp;A32&amp;" + Line "&amp;A33&amp;")"</f>
        <v>(Line 16 + Line 17)</v>
      </c>
      <c r="F34" s="57"/>
      <c r="G34" s="858">
        <f>SUM(G32:G33)</f>
        <v>715846597</v>
      </c>
      <c r="I34" s="53"/>
      <c r="J34" s="53"/>
      <c r="K34" s="53"/>
      <c r="L34" s="53"/>
    </row>
    <row r="35" spans="1:12" ht="15">
      <c r="A35" s="71">
        <f>+A34+1</f>
        <v>19</v>
      </c>
      <c r="B35" s="28"/>
      <c r="C35" s="51" t="s">
        <v>439</v>
      </c>
      <c r="D35" s="25"/>
      <c r="E35" s="103" t="str">
        <f>"(Line "&amp;A$12&amp;")"</f>
        <v>(Line 5)</v>
      </c>
      <c r="F35" s="20"/>
      <c r="G35" s="859">
        <f>+G12</f>
        <v>0.1717635714936654</v>
      </c>
      <c r="I35" s="53"/>
      <c r="J35" s="53"/>
      <c r="K35" s="53"/>
      <c r="L35" s="53"/>
    </row>
    <row r="36" spans="1:12" ht="15">
      <c r="A36" s="71">
        <f>+A35+1</f>
        <v>20</v>
      </c>
      <c r="B36" s="47"/>
      <c r="C36" s="38" t="s">
        <v>396</v>
      </c>
      <c r="D36" s="150"/>
      <c r="E36" s="42" t="str">
        <f>"(Line "&amp;A34&amp;" * Line "&amp;A35&amp;")"</f>
        <v>(Line 18 * Line 19)</v>
      </c>
      <c r="F36" s="55"/>
      <c r="G36" s="733">
        <f>+G35*G34</f>
        <v>122956368.14230658</v>
      </c>
      <c r="I36" s="190"/>
      <c r="J36" s="53"/>
      <c r="K36" s="53"/>
      <c r="L36" s="53"/>
    </row>
    <row r="37" spans="1:12" ht="15">
      <c r="A37" s="86"/>
      <c r="B37" s="47"/>
      <c r="C37" s="21"/>
      <c r="D37" s="227"/>
      <c r="E37" s="53"/>
      <c r="G37" s="860"/>
      <c r="I37" s="190"/>
      <c r="J37" s="53"/>
      <c r="K37" s="53"/>
      <c r="L37" s="53"/>
    </row>
    <row r="38" spans="1:12" s="1" customFormat="1" ht="15.75" thickBot="1">
      <c r="A38" s="71">
        <f>+A36+1</f>
        <v>21</v>
      </c>
      <c r="B38" s="43" t="s">
        <v>367</v>
      </c>
      <c r="C38" s="43"/>
      <c r="D38" s="156"/>
      <c r="E38" s="348" t="str">
        <f>"(Line "&amp;A30&amp;" + Line "&amp;A36&amp;")"</f>
        <v>(Line 15 + Line 20)</v>
      </c>
      <c r="F38" s="43"/>
      <c r="G38" s="737">
        <f>SUM(G30,G36)</f>
        <v>1142702930.146418</v>
      </c>
      <c r="H38" s="47"/>
      <c r="I38" s="190"/>
      <c r="J38" s="1369"/>
      <c r="K38" s="190"/>
      <c r="L38" s="190"/>
    </row>
    <row r="39" spans="1:12" ht="15.75" thickTop="1">
      <c r="A39" s="86"/>
      <c r="B39" s="47"/>
      <c r="C39" s="47"/>
      <c r="E39" s="53"/>
      <c r="G39" s="53"/>
      <c r="I39" s="190"/>
      <c r="J39" s="53"/>
      <c r="K39" s="53"/>
      <c r="L39" s="53"/>
    </row>
    <row r="40" spans="1:12" ht="15">
      <c r="A40" s="71"/>
      <c r="B40" s="21" t="s">
        <v>344</v>
      </c>
      <c r="C40" s="21"/>
      <c r="D40" s="635"/>
      <c r="E40" s="9"/>
      <c r="F40" s="13"/>
      <c r="G40" s="861"/>
      <c r="I40" s="53"/>
      <c r="J40" s="53"/>
      <c r="K40" s="53"/>
      <c r="L40" s="53"/>
    </row>
    <row r="41" spans="1:12" ht="15">
      <c r="A41" s="86"/>
      <c r="B41" s="52"/>
      <c r="C41" s="52"/>
      <c r="E41" s="9"/>
      <c r="F41" s="5"/>
      <c r="G41" s="861"/>
      <c r="I41" s="190"/>
      <c r="J41" s="53"/>
      <c r="K41" s="53"/>
      <c r="L41" s="53"/>
    </row>
    <row r="42" spans="1:12" ht="15">
      <c r="A42" s="71">
        <f>+A38+1</f>
        <v>22</v>
      </c>
      <c r="B42" s="28"/>
      <c r="C42" s="1048" t="s">
        <v>496</v>
      </c>
      <c r="D42" s="175" t="str">
        <f>"(Note "&amp;B$281&amp;")"</f>
        <v>(Note B)</v>
      </c>
      <c r="E42" s="9" t="s">
        <v>8</v>
      </c>
      <c r="F42" s="8"/>
      <c r="G42" s="856">
        <f>IF(I1=1,'5 - Cost Support 1'!F85,+'5 - Cost Support 1'!G85)</f>
        <v>293970540</v>
      </c>
      <c r="I42" s="53"/>
      <c r="J42" s="53"/>
      <c r="K42" s="53"/>
      <c r="L42" s="53"/>
    </row>
    <row r="43" spans="1:12" ht="15">
      <c r="A43" s="71">
        <f>A42+1</f>
        <v>23</v>
      </c>
      <c r="B43" s="28"/>
      <c r="C43" s="1050" t="s">
        <v>57</v>
      </c>
      <c r="D43" s="181" t="str">
        <f>"(Note "&amp;B$281&amp;")"</f>
        <v>(Note B)</v>
      </c>
      <c r="E43" s="87" t="s">
        <v>111</v>
      </c>
      <c r="F43" s="788"/>
      <c r="G43" s="857">
        <f>IF(I1=1,0,'6- Est &amp; Reconcile WS'!H220)</f>
        <v>224684.7639786031</v>
      </c>
      <c r="I43" s="1368"/>
      <c r="J43" s="53"/>
      <c r="K43" s="53"/>
      <c r="L43" s="53"/>
    </row>
    <row r="44" spans="1:12" ht="15">
      <c r="A44" s="71">
        <f>A43+1</f>
        <v>24</v>
      </c>
      <c r="B44" s="28"/>
      <c r="C44" s="12" t="s">
        <v>124</v>
      </c>
      <c r="D44" s="175"/>
      <c r="E44" s="237" t="str">
        <f>"(Line "&amp;A42&amp;" + Line "&amp;A43&amp;")"</f>
        <v>(Line 22 + Line 23)</v>
      </c>
      <c r="F44" s="36"/>
      <c r="G44" s="742">
        <f>G42+G43</f>
        <v>294195224.7639786</v>
      </c>
      <c r="I44" s="53"/>
      <c r="J44" s="53"/>
      <c r="K44" s="53"/>
      <c r="L44" s="53"/>
    </row>
    <row r="45" spans="1:8" s="53" customFormat="1" ht="15">
      <c r="A45" s="71"/>
      <c r="B45" s="71"/>
      <c r="C45" s="52"/>
      <c r="D45" s="86"/>
      <c r="E45" s="9"/>
      <c r="F45" s="52"/>
      <c r="G45" s="744"/>
      <c r="H45" s="47"/>
    </row>
    <row r="46" spans="1:12" ht="15">
      <c r="A46" s="71">
        <f>+A44+1</f>
        <v>25</v>
      </c>
      <c r="B46" s="28"/>
      <c r="C46" s="1048" t="s">
        <v>521</v>
      </c>
      <c r="E46" s="9" t="s">
        <v>8</v>
      </c>
      <c r="F46" s="29"/>
      <c r="G46" s="856">
        <f>IF(I1=1,'5 - Cost Support 1'!F111,+'5 - Cost Support 1'!G111)</f>
        <v>150231940</v>
      </c>
      <c r="I46" s="53"/>
      <c r="J46" s="53"/>
      <c r="K46" s="53"/>
      <c r="L46" s="53"/>
    </row>
    <row r="47" spans="1:12" ht="15">
      <c r="A47" s="71">
        <f aca="true" t="shared" si="0" ref="A47:A52">+A46+1</f>
        <v>26</v>
      </c>
      <c r="B47" s="28"/>
      <c r="C47" s="1048" t="s">
        <v>771</v>
      </c>
      <c r="E47" s="22" t="s">
        <v>8</v>
      </c>
      <c r="F47" s="29"/>
      <c r="G47" s="856">
        <f>IF(I1=1,'5 - Cost Support 1'!F106,+'5 - Cost Support 1'!G106)</f>
        <v>210988726</v>
      </c>
      <c r="I47" s="53"/>
      <c r="J47" s="53"/>
      <c r="K47" s="53"/>
      <c r="L47" s="53"/>
    </row>
    <row r="48" spans="1:12" ht="15">
      <c r="A48" s="71">
        <f t="shared" si="0"/>
        <v>27</v>
      </c>
      <c r="B48" s="28"/>
      <c r="C48" s="1048" t="s">
        <v>713</v>
      </c>
      <c r="D48" s="175"/>
      <c r="E48" s="22" t="s">
        <v>8</v>
      </c>
      <c r="F48" s="29"/>
      <c r="G48" s="856">
        <f>'5 - Cost Support 1'!G132</f>
        <v>0</v>
      </c>
      <c r="I48" s="53"/>
      <c r="J48" s="53"/>
      <c r="K48" s="53"/>
      <c r="L48" s="53"/>
    </row>
    <row r="49" spans="1:12" ht="15">
      <c r="A49" s="71">
        <f t="shared" si="0"/>
        <v>28</v>
      </c>
      <c r="B49" s="28"/>
      <c r="C49" s="1051" t="s">
        <v>395</v>
      </c>
      <c r="D49" s="181"/>
      <c r="E49" s="101" t="s">
        <v>8</v>
      </c>
      <c r="F49" s="92"/>
      <c r="G49" s="857">
        <f>'5 - Cost Support 1'!G132</f>
        <v>0</v>
      </c>
      <c r="I49" s="53"/>
      <c r="J49" s="53"/>
      <c r="K49" s="53"/>
      <c r="L49" s="53"/>
    </row>
    <row r="50" spans="1:12" ht="15">
      <c r="A50" s="71">
        <f t="shared" si="0"/>
        <v>29</v>
      </c>
      <c r="B50" s="28"/>
      <c r="C50" s="1052" t="s">
        <v>772</v>
      </c>
      <c r="D50" s="19"/>
      <c r="E50" s="22" t="str">
        <f>"(Sum Lines "&amp;A46&amp;" to "&amp;A49&amp;")"</f>
        <v>(Sum Lines 25 to 28)</v>
      </c>
      <c r="F50" s="22"/>
      <c r="G50" s="862">
        <f>SUM(G46:G49)</f>
        <v>361220666</v>
      </c>
      <c r="I50" s="53"/>
      <c r="J50" s="53"/>
      <c r="K50" s="53"/>
      <c r="L50" s="53"/>
    </row>
    <row r="51" spans="1:12" ht="15">
      <c r="A51" s="71">
        <f t="shared" si="0"/>
        <v>30</v>
      </c>
      <c r="B51" s="28"/>
      <c r="C51" s="1052" t="str">
        <f>+C35</f>
        <v>Wage &amp; Salary Allocation Factor</v>
      </c>
      <c r="D51" s="19"/>
      <c r="E51" s="101" t="str">
        <f>"(Line "&amp;A$12&amp;")"</f>
        <v>(Line 5)</v>
      </c>
      <c r="F51" s="22"/>
      <c r="G51" s="863">
        <f>+G12</f>
        <v>0.1717635714936654</v>
      </c>
      <c r="I51" s="53"/>
      <c r="J51" s="53"/>
      <c r="K51" s="53"/>
      <c r="L51" s="53"/>
    </row>
    <row r="52" spans="1:12" ht="15">
      <c r="A52" s="71">
        <f t="shared" si="0"/>
        <v>31</v>
      </c>
      <c r="B52" s="47"/>
      <c r="C52" s="81" t="s">
        <v>419</v>
      </c>
      <c r="D52" s="153"/>
      <c r="E52" s="22" t="str">
        <f>"(Line "&amp;A50&amp;" * Line "&amp;A51&amp;")"</f>
        <v>(Line 29 * Line 30)</v>
      </c>
      <c r="F52" s="55"/>
      <c r="G52" s="734">
        <f>+G51*G50</f>
        <v>62044551.689480424</v>
      </c>
      <c r="I52" s="53"/>
      <c r="J52" s="53"/>
      <c r="K52" s="53"/>
      <c r="L52" s="53"/>
    </row>
    <row r="53" spans="1:12" ht="15">
      <c r="A53" s="86"/>
      <c r="B53" s="47"/>
      <c r="C53" s="47"/>
      <c r="G53" s="135"/>
      <c r="I53" s="53"/>
      <c r="J53" s="53"/>
      <c r="K53" s="53"/>
      <c r="L53" s="53"/>
    </row>
    <row r="54" spans="1:12" ht="15.75" thickBot="1">
      <c r="A54" s="71">
        <f>+A52+1</f>
        <v>32</v>
      </c>
      <c r="B54" s="43" t="s">
        <v>368</v>
      </c>
      <c r="C54" s="43"/>
      <c r="D54" s="156"/>
      <c r="E54" s="41" t="str">
        <f>"(Line "&amp;A44&amp;" + Line "&amp;A52&amp;")"</f>
        <v>(Line 24 + Line 31)</v>
      </c>
      <c r="F54" s="43"/>
      <c r="G54" s="727">
        <f>+G52+G44</f>
        <v>356239776.453459</v>
      </c>
      <c r="I54" s="53"/>
      <c r="J54" s="1369"/>
      <c r="K54" s="53"/>
      <c r="L54" s="53"/>
    </row>
    <row r="55" spans="1:12" ht="15" thickTop="1">
      <c r="A55" s="86"/>
      <c r="B55" s="47"/>
      <c r="C55" s="47"/>
      <c r="G55" s="135"/>
      <c r="I55" s="53"/>
      <c r="J55" s="53"/>
      <c r="K55" s="53"/>
      <c r="L55" s="53"/>
    </row>
    <row r="56" spans="1:12" ht="15.75" thickBot="1">
      <c r="A56" s="71">
        <f>+A54+1</f>
        <v>33</v>
      </c>
      <c r="B56" s="43" t="s">
        <v>369</v>
      </c>
      <c r="C56" s="43"/>
      <c r="D56" s="156"/>
      <c r="E56" s="41" t="str">
        <f>"(Line "&amp;A38&amp;" - Line "&amp;A54&amp;")"</f>
        <v>(Line 21 - Line 32)</v>
      </c>
      <c r="F56" s="43"/>
      <c r="G56" s="727">
        <f>+G38-G54</f>
        <v>786463153.6929591</v>
      </c>
      <c r="I56" s="53"/>
      <c r="J56" s="53"/>
      <c r="K56" s="53"/>
      <c r="L56" s="53"/>
    </row>
    <row r="57" spans="1:12" ht="15" thickTop="1">
      <c r="A57" s="84"/>
      <c r="B57" s="47"/>
      <c r="C57" s="47"/>
      <c r="I57" s="53"/>
      <c r="J57" s="53"/>
      <c r="K57" s="53"/>
      <c r="L57" s="53"/>
    </row>
    <row r="58" spans="1:12" ht="15">
      <c r="A58" s="83" t="s">
        <v>397</v>
      </c>
      <c r="B58" s="107"/>
      <c r="C58" s="107"/>
      <c r="D58" s="148"/>
      <c r="E58" s="108"/>
      <c r="F58" s="108"/>
      <c r="G58" s="115"/>
      <c r="I58" s="53"/>
      <c r="J58" s="53"/>
      <c r="K58" s="53"/>
      <c r="L58" s="53"/>
    </row>
    <row r="59" spans="1:12" ht="15">
      <c r="A59" s="204"/>
      <c r="B59" s="205"/>
      <c r="C59" s="205"/>
      <c r="I59" s="53"/>
      <c r="J59" s="53"/>
      <c r="K59" s="53"/>
      <c r="L59" s="53"/>
    </row>
    <row r="60" spans="1:12" ht="15">
      <c r="A60" s="86"/>
      <c r="B60" s="266" t="s">
        <v>529</v>
      </c>
      <c r="D60" s="175" t="str">
        <f>"(Note "&amp;B303&amp;")"</f>
        <v>(Note R)</v>
      </c>
      <c r="G60" s="854"/>
      <c r="I60" s="53"/>
      <c r="J60" s="53"/>
      <c r="K60" s="53"/>
      <c r="L60" s="53"/>
    </row>
    <row r="61" spans="1:12" ht="15">
      <c r="A61" s="86">
        <f>+A56+1</f>
        <v>34</v>
      </c>
      <c r="B61" s="266"/>
      <c r="C61" s="29" t="s">
        <v>561</v>
      </c>
      <c r="D61" s="175" t="s">
        <v>28</v>
      </c>
      <c r="E61" s="87" t="str">
        <f>"Attachment 1, Col B,  Line "&amp;'1 - ADIT'!A15&amp;""</f>
        <v>Attachment 1, Col B,  Line 9</v>
      </c>
      <c r="F61" s="220"/>
      <c r="G61" s="856">
        <f>-'1 - ADIT'!C15</f>
        <v>-157316394.3226692</v>
      </c>
      <c r="H61" s="53"/>
      <c r="I61" s="938"/>
      <c r="J61" s="190"/>
      <c r="K61" s="53"/>
      <c r="L61" s="53"/>
    </row>
    <row r="62" spans="1:10" s="53" customFormat="1" ht="15">
      <c r="A62" s="71">
        <f>A61+1</f>
        <v>35</v>
      </c>
      <c r="C62" s="356" t="s">
        <v>420</v>
      </c>
      <c r="D62" s="163"/>
      <c r="E62" s="42" t="str">
        <f>"Line "&amp;A61&amp;""</f>
        <v>Line 34</v>
      </c>
      <c r="F62" s="98"/>
      <c r="G62" s="739">
        <f>+G61</f>
        <v>-157316394.3226692</v>
      </c>
      <c r="I62" s="190"/>
      <c r="J62" s="1369"/>
    </row>
    <row r="63" spans="1:10" s="53" customFormat="1" ht="15">
      <c r="A63" s="71"/>
      <c r="C63" s="266"/>
      <c r="D63" s="183"/>
      <c r="E63" s="42"/>
      <c r="F63" s="98"/>
      <c r="G63" s="740"/>
      <c r="I63" s="190"/>
      <c r="J63" s="190"/>
    </row>
    <row r="64" spans="1:11" ht="15">
      <c r="A64" s="71"/>
      <c r="B64" s="21" t="s">
        <v>462</v>
      </c>
      <c r="C64" s="47"/>
      <c r="D64" s="47"/>
      <c r="F64" s="29"/>
      <c r="G64" s="316"/>
      <c r="H64" s="53"/>
      <c r="I64" s="53"/>
      <c r="J64" s="53"/>
      <c r="K64" s="53"/>
    </row>
    <row r="65" spans="1:11" ht="15">
      <c r="A65" s="71">
        <f>+A62+1</f>
        <v>36</v>
      </c>
      <c r="B65" s="44"/>
      <c r="C65" s="1050" t="s">
        <v>456</v>
      </c>
      <c r="D65" s="181" t="str">
        <f>"(Note "&amp;B301&amp;")"</f>
        <v>(Note P)</v>
      </c>
      <c r="E65" s="87" t="s">
        <v>112</v>
      </c>
      <c r="F65" s="92"/>
      <c r="G65" s="857">
        <f>IF(I1=1,'6- Est &amp; Reconcile WS'!I103,'6- Est &amp; Reconcile WS'!I200)</f>
        <v>9556243.797307698</v>
      </c>
      <c r="H65" s="53"/>
      <c r="I65" s="1368"/>
      <c r="J65" s="53"/>
      <c r="K65" s="53"/>
    </row>
    <row r="66" spans="1:11" ht="15">
      <c r="A66" s="71">
        <f>A65+1</f>
        <v>37</v>
      </c>
      <c r="B66" s="44"/>
      <c r="C66" s="21" t="s">
        <v>463</v>
      </c>
      <c r="D66" s="175"/>
      <c r="E66" s="237"/>
      <c r="F66" s="29"/>
      <c r="G66" s="223">
        <f>+G65</f>
        <v>9556243.797307698</v>
      </c>
      <c r="H66" s="53"/>
      <c r="I66" s="53"/>
      <c r="J66" s="1369"/>
      <c r="K66" s="53"/>
    </row>
    <row r="67" spans="1:11" ht="15">
      <c r="A67" s="71"/>
      <c r="B67" s="71"/>
      <c r="C67" s="537"/>
      <c r="D67" s="175"/>
      <c r="E67" s="237"/>
      <c r="F67" s="60"/>
      <c r="G67" s="860"/>
      <c r="H67" s="53"/>
      <c r="I67" s="53"/>
      <c r="J67" s="1328"/>
      <c r="K67" s="53"/>
    </row>
    <row r="68" spans="1:11" ht="15">
      <c r="A68" s="71">
        <f>+A66+1</f>
        <v>38</v>
      </c>
      <c r="B68" s="46" t="s">
        <v>668</v>
      </c>
      <c r="D68" s="175" t="str">
        <f>"(Note "&amp;B$282&amp;")"</f>
        <v>(Note C)</v>
      </c>
      <c r="E68" s="98" t="s">
        <v>8</v>
      </c>
      <c r="F68" s="60"/>
      <c r="G68" s="855">
        <f>IF(I1=1,'5 - Cost Support 1'!I158,'5 - Cost Support 1'!H158)</f>
        <v>0</v>
      </c>
      <c r="H68" s="53"/>
      <c r="I68" s="53"/>
      <c r="J68" s="1328"/>
      <c r="K68" s="53"/>
    </row>
    <row r="69" spans="1:11" ht="15">
      <c r="A69" s="86"/>
      <c r="B69" s="47"/>
      <c r="C69" s="21"/>
      <c r="D69" s="86"/>
      <c r="G69" s="860"/>
      <c r="H69" s="53"/>
      <c r="I69" s="53"/>
      <c r="J69" s="53"/>
      <c r="K69" s="53"/>
    </row>
    <row r="70" spans="1:7" s="53" customFormat="1" ht="15">
      <c r="A70" s="71"/>
      <c r="B70" s="190" t="s">
        <v>27</v>
      </c>
      <c r="C70" s="266"/>
      <c r="D70" s="183"/>
      <c r="E70" s="42"/>
      <c r="F70" s="98"/>
      <c r="G70" s="740"/>
    </row>
    <row r="71" spans="1:11" ht="15">
      <c r="A71" s="86">
        <f>+A68+1</f>
        <v>39</v>
      </c>
      <c r="B71" s="53"/>
      <c r="C71" s="266" t="s">
        <v>29</v>
      </c>
      <c r="D71" s="175" t="s">
        <v>28</v>
      </c>
      <c r="E71" s="98" t="s">
        <v>8</v>
      </c>
      <c r="F71" s="76"/>
      <c r="G71" s="864">
        <f>-'5 - Cost Support 1'!K257</f>
        <v>-4474530.182703589</v>
      </c>
      <c r="H71" s="53"/>
      <c r="I71" s="938"/>
      <c r="J71" s="53"/>
      <c r="K71" s="53"/>
    </row>
    <row r="72" spans="1:11" ht="15">
      <c r="A72" s="71"/>
      <c r="B72" s="50"/>
      <c r="C72" s="52"/>
      <c r="D72" s="86"/>
      <c r="E72" s="312"/>
      <c r="F72" s="62"/>
      <c r="G72" s="316"/>
      <c r="H72" s="53"/>
      <c r="I72" s="53"/>
      <c r="J72" s="53"/>
      <c r="K72" s="53"/>
    </row>
    <row r="73" spans="1:11" ht="15">
      <c r="A73" s="71"/>
      <c r="B73" s="1041" t="s">
        <v>386</v>
      </c>
      <c r="C73" s="51"/>
      <c r="D73" s="86"/>
      <c r="E73" s="313"/>
      <c r="F73" s="59"/>
      <c r="G73" s="316"/>
      <c r="H73" s="53"/>
      <c r="I73" s="53"/>
      <c r="J73" s="53"/>
      <c r="K73" s="53"/>
    </row>
    <row r="74" spans="1:11" ht="15">
      <c r="A74" s="71">
        <f>+A71+1</f>
        <v>40</v>
      </c>
      <c r="B74" s="1042"/>
      <c r="C74" s="137" t="s">
        <v>47</v>
      </c>
      <c r="D74" s="181" t="str">
        <f>"(Note "&amp;B$280&amp;")"</f>
        <v>(Note A)</v>
      </c>
      <c r="E74" s="137" t="s">
        <v>8</v>
      </c>
      <c r="F74" s="136"/>
      <c r="G74" s="729">
        <f>'5 - Cost Support 1'!K273</f>
        <v>3441879.4376547574</v>
      </c>
      <c r="H74" s="53"/>
      <c r="I74" s="938"/>
      <c r="J74" s="53"/>
      <c r="K74" s="53"/>
    </row>
    <row r="75" spans="1:11" ht="15">
      <c r="A75" s="28">
        <f>+A74+1</f>
        <v>41</v>
      </c>
      <c r="B75" s="50"/>
      <c r="C75" s="190" t="s">
        <v>328</v>
      </c>
      <c r="D75" s="157"/>
      <c r="E75" s="42" t="str">
        <f>"(Line "&amp;A74&amp;")"</f>
        <v>(Line 40)</v>
      </c>
      <c r="F75" s="77"/>
      <c r="G75" s="739">
        <f>+G74</f>
        <v>3441879.4376547574</v>
      </c>
      <c r="H75" s="53"/>
      <c r="I75" s="53"/>
      <c r="J75" s="53"/>
      <c r="K75" s="53"/>
    </row>
    <row r="76" spans="1:11" ht="15">
      <c r="A76" s="28"/>
      <c r="B76" s="50"/>
      <c r="C76" s="51"/>
      <c r="D76" s="28"/>
      <c r="E76" s="59"/>
      <c r="F76" s="59"/>
      <c r="G76" s="741"/>
      <c r="H76" s="53"/>
      <c r="I76" s="53"/>
      <c r="J76" s="53"/>
      <c r="K76" s="53"/>
    </row>
    <row r="77" spans="1:11" ht="15">
      <c r="A77" s="71"/>
      <c r="B77" s="1041" t="s">
        <v>342</v>
      </c>
      <c r="C77" s="53"/>
      <c r="D77" s="146"/>
      <c r="E77" s="136"/>
      <c r="F77" s="59"/>
      <c r="G77" s="741"/>
      <c r="H77" s="53"/>
      <c r="I77" s="53"/>
      <c r="J77" s="53"/>
      <c r="K77" s="53"/>
    </row>
    <row r="78" spans="1:11" ht="15">
      <c r="A78" s="86">
        <f>+A75+1</f>
        <v>42</v>
      </c>
      <c r="B78" s="53"/>
      <c r="C78" s="53" t="s">
        <v>401</v>
      </c>
      <c r="D78" s="175" t="str">
        <f>"(Note "&amp;B$280&amp;")"</f>
        <v>(Note A)</v>
      </c>
      <c r="E78" s="98" t="s">
        <v>8</v>
      </c>
      <c r="G78" s="729">
        <f>'5 - Cost Support 1'!I280</f>
        <v>1293344</v>
      </c>
      <c r="H78" s="53"/>
      <c r="I78" s="938"/>
      <c r="J78" s="53"/>
      <c r="K78" s="53"/>
    </row>
    <row r="79" spans="1:7" s="53" customFormat="1" ht="15">
      <c r="A79" s="71">
        <f>+A78+1</f>
        <v>43</v>
      </c>
      <c r="B79" s="50"/>
      <c r="C79" s="137" t="s">
        <v>439</v>
      </c>
      <c r="D79" s="158"/>
      <c r="E79" s="101" t="str">
        <f>"(Line "&amp;A$12&amp;")"</f>
        <v>(Line 5)</v>
      </c>
      <c r="F79" s="89"/>
      <c r="G79" s="865">
        <f>+G12</f>
        <v>0.1717635714936654</v>
      </c>
    </row>
    <row r="80" spans="1:11" ht="15">
      <c r="A80" s="71">
        <f>+A79+1</f>
        <v>44</v>
      </c>
      <c r="B80" s="50"/>
      <c r="C80" s="51" t="s">
        <v>495</v>
      </c>
      <c r="D80" s="86"/>
      <c r="E80" s="22" t="str">
        <f>"(Line "&amp;A78&amp;" * Line"&amp;A79&amp;")"</f>
        <v>(Line 42 * Line43)</v>
      </c>
      <c r="F80" s="59"/>
      <c r="G80" s="738">
        <f>+G78*G79</f>
        <v>222149.38460990318</v>
      </c>
      <c r="H80" s="53"/>
      <c r="I80" s="53"/>
      <c r="J80" s="53"/>
      <c r="K80" s="53"/>
    </row>
    <row r="81" spans="1:11" ht="15">
      <c r="A81" s="71">
        <f>+A80+1</f>
        <v>45</v>
      </c>
      <c r="B81" s="50"/>
      <c r="C81" s="51" t="s">
        <v>330</v>
      </c>
      <c r="D81" s="71"/>
      <c r="E81" s="137" t="s">
        <v>8</v>
      </c>
      <c r="F81" s="59"/>
      <c r="G81" s="729">
        <f>'5 - Cost Support 1'!I282</f>
        <v>9278007</v>
      </c>
      <c r="H81" s="53"/>
      <c r="I81" s="938"/>
      <c r="J81" s="53"/>
      <c r="K81" s="53"/>
    </row>
    <row r="82" spans="1:11" ht="18" customHeight="1">
      <c r="A82" s="71">
        <f>+A81+1</f>
        <v>46</v>
      </c>
      <c r="B82" s="50"/>
      <c r="C82" s="1046" t="s">
        <v>341</v>
      </c>
      <c r="D82" s="159"/>
      <c r="E82" s="22" t="str">
        <f>"(Line "&amp;A80&amp;" + Line"&amp;A81&amp;")"</f>
        <v>(Line 44 + Line45)</v>
      </c>
      <c r="F82" s="66"/>
      <c r="G82" s="717">
        <f>SUM(G80:G81)</f>
        <v>9500156.384609902</v>
      </c>
      <c r="H82" s="53"/>
      <c r="I82" s="53"/>
      <c r="J82" s="53"/>
      <c r="K82" s="53"/>
    </row>
    <row r="83" spans="1:11" ht="15">
      <c r="A83" s="71"/>
      <c r="B83" s="50"/>
      <c r="C83" s="51"/>
      <c r="D83" s="28"/>
      <c r="E83" s="59"/>
      <c r="F83" s="59"/>
      <c r="G83" s="135"/>
      <c r="H83" s="53"/>
      <c r="I83" s="53"/>
      <c r="J83" s="53"/>
      <c r="K83" s="53"/>
    </row>
    <row r="84" spans="1:11" ht="15">
      <c r="A84" s="71"/>
      <c r="B84" s="1041" t="s">
        <v>387</v>
      </c>
      <c r="C84" s="53"/>
      <c r="E84" s="59"/>
      <c r="F84" s="59"/>
      <c r="G84" s="135"/>
      <c r="H84" s="53"/>
      <c r="I84" s="53"/>
      <c r="J84" s="53"/>
      <c r="K84" s="53"/>
    </row>
    <row r="85" spans="1:11" ht="15">
      <c r="A85" s="71">
        <f>+A82+1</f>
        <v>47</v>
      </c>
      <c r="B85" s="50"/>
      <c r="C85" s="51" t="s">
        <v>452</v>
      </c>
      <c r="E85" s="22" t="str">
        <f>"(Line "&amp;A$126&amp;")"</f>
        <v>(Line 75)</v>
      </c>
      <c r="F85" s="59"/>
      <c r="G85" s="731">
        <f>+G126</f>
        <v>33271368.59442833</v>
      </c>
      <c r="H85" s="53"/>
      <c r="I85" s="939"/>
      <c r="J85" s="53"/>
      <c r="K85" s="53"/>
    </row>
    <row r="86" spans="1:11" ht="15">
      <c r="A86" s="71">
        <f>+A85+1</f>
        <v>48</v>
      </c>
      <c r="B86" s="50"/>
      <c r="C86" s="63" t="s">
        <v>440</v>
      </c>
      <c r="E86" s="88" t="s">
        <v>505</v>
      </c>
      <c r="G86" s="866">
        <v>0.125</v>
      </c>
      <c r="I86" s="53"/>
      <c r="J86" s="939"/>
      <c r="K86" s="53"/>
    </row>
    <row r="87" spans="1:11" s="67" customFormat="1" ht="15">
      <c r="A87" s="71">
        <f>+A86+1</f>
        <v>49</v>
      </c>
      <c r="B87" s="1043"/>
      <c r="C87" s="356" t="s">
        <v>329</v>
      </c>
      <c r="D87" s="160"/>
      <c r="E87" s="22" t="str">
        <f>"(Line "&amp;A85&amp;" * Line "&amp;A86&amp;")"</f>
        <v>(Line 47 * Line 48)</v>
      </c>
      <c r="F87" s="65"/>
      <c r="G87" s="867">
        <f>+G85*G86</f>
        <v>4158921.0743035413</v>
      </c>
      <c r="H87" s="47"/>
      <c r="I87" s="219"/>
      <c r="J87" s="1329"/>
      <c r="K87" s="219"/>
    </row>
    <row r="88" spans="1:11" s="67" customFormat="1" ht="15">
      <c r="A88" s="71"/>
      <c r="B88" s="1043"/>
      <c r="C88" s="266"/>
      <c r="D88" s="689"/>
      <c r="E88" s="42"/>
      <c r="F88" s="130"/>
      <c r="G88" s="736"/>
      <c r="H88" s="47"/>
      <c r="I88" s="219"/>
      <c r="J88" s="1329"/>
      <c r="K88" s="219"/>
    </row>
    <row r="89" spans="1:11" ht="15">
      <c r="A89" s="84"/>
      <c r="B89" s="47"/>
      <c r="C89" s="47"/>
      <c r="G89" s="135"/>
      <c r="I89" s="53"/>
      <c r="J89" s="53"/>
      <c r="K89" s="53"/>
    </row>
    <row r="90" spans="1:11" ht="15.75" thickBot="1">
      <c r="A90" s="84">
        <f>+A87+1</f>
        <v>50</v>
      </c>
      <c r="B90" s="43" t="s">
        <v>447</v>
      </c>
      <c r="C90" s="43"/>
      <c r="D90" s="156"/>
      <c r="E90" s="314" t="str">
        <f>"(Lines "&amp;A62&amp;" + "&amp;A66&amp;" + "&amp;A71&amp;" + "&amp;A75&amp;" + "&amp;A82&amp;" + "&amp;A87&amp;")"</f>
        <v>(Lines 35 + 37 + 39 + 41 + 46 + 49)</v>
      </c>
      <c r="F90" s="315"/>
      <c r="G90" s="737">
        <f>SUM(G62,G71,G75,G82,G87,G66,G68)</f>
        <v>-135133723.81149688</v>
      </c>
      <c r="I90" s="53"/>
      <c r="J90" s="53"/>
      <c r="K90" s="53"/>
    </row>
    <row r="91" spans="1:11" ht="15" thickTop="1">
      <c r="A91" s="84"/>
      <c r="B91" s="47"/>
      <c r="C91" s="47"/>
      <c r="G91" s="135"/>
      <c r="I91" s="53"/>
      <c r="J91" s="53"/>
      <c r="K91" s="53"/>
    </row>
    <row r="92" spans="1:11" s="33" customFormat="1" ht="15.75" thickBot="1">
      <c r="A92" s="28">
        <f>+A90+1</f>
        <v>51</v>
      </c>
      <c r="B92" s="43" t="s">
        <v>436</v>
      </c>
      <c r="C92" s="43"/>
      <c r="D92" s="156"/>
      <c r="E92" s="40" t="str">
        <f>"(Line "&amp;A56&amp;" + Line "&amp;A90&amp;")"</f>
        <v>(Line 33 + Line 50)</v>
      </c>
      <c r="F92" s="43"/>
      <c r="G92" s="727">
        <f>+G56+G90</f>
        <v>651329429.8814622</v>
      </c>
      <c r="H92" s="47"/>
      <c r="I92" s="639"/>
      <c r="J92" s="639"/>
      <c r="K92" s="639"/>
    </row>
    <row r="93" spans="2:11" ht="15" thickTop="1">
      <c r="B93" s="47"/>
      <c r="C93" s="47"/>
      <c r="I93" s="53"/>
      <c r="J93" s="53"/>
      <c r="K93" s="53"/>
    </row>
    <row r="94" spans="1:9" s="53" customFormat="1" ht="15">
      <c r="A94" s="1053" t="s">
        <v>507</v>
      </c>
      <c r="B94" s="1044"/>
      <c r="C94" s="1054"/>
      <c r="D94" s="161"/>
      <c r="E94" s="115"/>
      <c r="F94" s="115"/>
      <c r="G94" s="116"/>
      <c r="H94" s="47"/>
      <c r="I94" s="190"/>
    </row>
    <row r="95" spans="1:9" s="53" customFormat="1" ht="15">
      <c r="A95" s="52"/>
      <c r="B95" s="52"/>
      <c r="C95" s="52"/>
      <c r="D95" s="162"/>
      <c r="G95" s="106"/>
      <c r="H95" s="47"/>
      <c r="I95" s="190"/>
    </row>
    <row r="96" spans="1:11" ht="15">
      <c r="A96" s="28"/>
      <c r="B96" s="21" t="s">
        <v>425</v>
      </c>
      <c r="D96" s="86"/>
      <c r="E96" s="914"/>
      <c r="F96" s="5"/>
      <c r="G96" s="854"/>
      <c r="I96" s="190"/>
      <c r="J96" s="53"/>
      <c r="K96" s="53"/>
    </row>
    <row r="97" spans="1:11" ht="15">
      <c r="A97" s="28">
        <f>+A92+1</f>
        <v>52</v>
      </c>
      <c r="B97" s="28"/>
      <c r="C97" s="1049" t="s">
        <v>425</v>
      </c>
      <c r="D97" s="86"/>
      <c r="E97" s="914" t="s">
        <v>101</v>
      </c>
      <c r="F97" s="44"/>
      <c r="G97" s="1078">
        <v>11737667</v>
      </c>
      <c r="H97" s="53"/>
      <c r="I97" s="53"/>
      <c r="J97" s="1133"/>
      <c r="K97" s="53"/>
    </row>
    <row r="98" spans="1:11" ht="15">
      <c r="A98" s="28">
        <f>A97+1</f>
        <v>53</v>
      </c>
      <c r="B98" s="28"/>
      <c r="C98" s="1049" t="s">
        <v>508</v>
      </c>
      <c r="D98" s="86"/>
      <c r="E98" s="914" t="s">
        <v>102</v>
      </c>
      <c r="F98" s="52"/>
      <c r="G98" s="1078">
        <v>0</v>
      </c>
      <c r="H98" s="53"/>
      <c r="I98" s="53"/>
      <c r="J98" s="53"/>
      <c r="K98" s="53"/>
    </row>
    <row r="99" spans="1:13" ht="15">
      <c r="A99" s="71">
        <f>+A98+1</f>
        <v>54</v>
      </c>
      <c r="B99" s="71"/>
      <c r="C99" s="1049" t="s">
        <v>464</v>
      </c>
      <c r="D99" s="175" t="str">
        <f>"(Note "&amp;B$298&amp;")"</f>
        <v>(Note N)</v>
      </c>
      <c r="E99" s="9" t="s">
        <v>584</v>
      </c>
      <c r="F99" s="52"/>
      <c r="G99" s="1078">
        <v>0</v>
      </c>
      <c r="H99" s="53"/>
      <c r="I99" s="53"/>
      <c r="J99" s="53"/>
      <c r="K99" s="53"/>
      <c r="L99" s="53"/>
      <c r="M99" s="53"/>
    </row>
    <row r="100" spans="1:13" ht="15">
      <c r="A100" s="71">
        <f>+A99+1</f>
        <v>55</v>
      </c>
      <c r="B100" s="71"/>
      <c r="C100" s="1049" t="s">
        <v>714</v>
      </c>
      <c r="D100" s="181" t="s">
        <v>56</v>
      </c>
      <c r="E100" s="103" t="s">
        <v>281</v>
      </c>
      <c r="F100" s="52"/>
      <c r="G100" s="1078">
        <v>0</v>
      </c>
      <c r="H100" s="53"/>
      <c r="I100" s="53"/>
      <c r="J100" s="53"/>
      <c r="K100" s="53"/>
      <c r="L100" s="53"/>
      <c r="M100" s="53"/>
    </row>
    <row r="101" spans="1:13" ht="15">
      <c r="A101" s="71">
        <f>+A100+1</f>
        <v>56</v>
      </c>
      <c r="B101" s="52"/>
      <c r="C101" s="38" t="s">
        <v>425</v>
      </c>
      <c r="D101" s="163"/>
      <c r="E101" s="42" t="str">
        <f>"(Lines "&amp;A97&amp;" - "&amp;A98&amp;" + "&amp;A99&amp;" + "&amp;A100&amp;")"</f>
        <v>(Lines 52 - 53 + 54 + 55)</v>
      </c>
      <c r="F101" s="56"/>
      <c r="G101" s="733">
        <f>+G97-G98+G99+G100</f>
        <v>11737667</v>
      </c>
      <c r="H101" s="53"/>
      <c r="I101" s="53"/>
      <c r="J101" s="1328"/>
      <c r="K101" s="53"/>
      <c r="L101" s="53"/>
      <c r="M101" s="53"/>
    </row>
    <row r="102" spans="1:13" ht="15">
      <c r="A102" s="71"/>
      <c r="B102" s="71"/>
      <c r="C102" s="21"/>
      <c r="D102" s="25"/>
      <c r="E102" s="52"/>
      <c r="F102" s="52"/>
      <c r="G102" s="214"/>
      <c r="H102" s="53"/>
      <c r="I102" s="53"/>
      <c r="J102" s="53"/>
      <c r="K102" s="53"/>
      <c r="L102" s="53"/>
      <c r="M102" s="53"/>
    </row>
    <row r="103" spans="1:13" ht="15">
      <c r="A103" s="71"/>
      <c r="B103" s="21" t="s">
        <v>333</v>
      </c>
      <c r="C103" s="52"/>
      <c r="D103" s="25"/>
      <c r="E103" s="52"/>
      <c r="F103" s="52"/>
      <c r="G103" s="214"/>
      <c r="H103" s="53"/>
      <c r="I103" s="53"/>
      <c r="J103" s="53"/>
      <c r="K103" s="53"/>
      <c r="L103" s="53"/>
      <c r="M103" s="53"/>
    </row>
    <row r="104" spans="1:13" ht="15">
      <c r="A104" s="71">
        <f>+A101+1</f>
        <v>57</v>
      </c>
      <c r="B104" s="71"/>
      <c r="C104" s="1049" t="s">
        <v>426</v>
      </c>
      <c r="D104" s="175" t="str">
        <f>"(Note "&amp;B$280&amp;")"</f>
        <v>(Note A)</v>
      </c>
      <c r="E104" s="5" t="s">
        <v>315</v>
      </c>
      <c r="F104" s="52"/>
      <c r="G104" s="1078">
        <v>0</v>
      </c>
      <c r="H104" s="53"/>
      <c r="I104" s="53"/>
      <c r="J104" s="63"/>
      <c r="K104" s="63"/>
      <c r="L104" s="53"/>
      <c r="M104" s="53"/>
    </row>
    <row r="105" spans="1:13" ht="15">
      <c r="A105" s="71">
        <f aca="true" t="shared" si="1" ref="A105:A113">+A104+1</f>
        <v>58</v>
      </c>
      <c r="B105" s="71"/>
      <c r="C105" s="1049" t="s">
        <v>428</v>
      </c>
      <c r="D105" s="86"/>
      <c r="E105" s="5" t="s">
        <v>103</v>
      </c>
      <c r="F105" s="52"/>
      <c r="G105" s="1078">
        <v>124521343</v>
      </c>
      <c r="H105" s="53"/>
      <c r="I105" s="53"/>
      <c r="J105" s="1133"/>
      <c r="K105" s="53"/>
      <c r="L105" s="53"/>
      <c r="M105" s="53"/>
    </row>
    <row r="106" spans="1:13" ht="15">
      <c r="A106" s="71">
        <f>A105+1</f>
        <v>59</v>
      </c>
      <c r="B106" s="71"/>
      <c r="C106" s="1049" t="s">
        <v>273</v>
      </c>
      <c r="D106" s="86"/>
      <c r="E106" s="5" t="s">
        <v>8</v>
      </c>
      <c r="F106" s="52"/>
      <c r="G106" s="1078">
        <f>'5 - Cost Support 1'!E185</f>
        <v>0</v>
      </c>
      <c r="H106" s="53"/>
      <c r="I106" s="53"/>
      <c r="J106" s="53"/>
      <c r="K106" s="53"/>
      <c r="L106" s="53"/>
      <c r="M106" s="53"/>
    </row>
    <row r="107" spans="1:13" ht="15">
      <c r="A107" s="71">
        <f>A106+1</f>
        <v>60</v>
      </c>
      <c r="B107" s="71"/>
      <c r="C107" s="1049" t="s">
        <v>510</v>
      </c>
      <c r="D107" s="91"/>
      <c r="E107" s="5" t="s">
        <v>104</v>
      </c>
      <c r="F107" s="29"/>
      <c r="G107" s="1078">
        <v>5596934</v>
      </c>
      <c r="H107" s="53"/>
      <c r="I107" s="53"/>
      <c r="J107" s="1133"/>
      <c r="K107" s="53"/>
      <c r="L107" s="53"/>
      <c r="M107" s="53"/>
    </row>
    <row r="108" spans="1:13" ht="15">
      <c r="A108" s="71">
        <f t="shared" si="1"/>
        <v>61</v>
      </c>
      <c r="B108" s="71"/>
      <c r="C108" s="1049" t="s">
        <v>465</v>
      </c>
      <c r="D108" s="175" t="str">
        <f>"(Note "&amp;B$284&amp;")"</f>
        <v>(Note E)</v>
      </c>
      <c r="E108" s="5" t="s">
        <v>255</v>
      </c>
      <c r="F108" s="29"/>
      <c r="G108" s="1078">
        <v>782423</v>
      </c>
      <c r="H108" s="53"/>
      <c r="I108" s="53"/>
      <c r="J108" s="1133"/>
      <c r="K108" s="53"/>
      <c r="L108" s="53"/>
      <c r="M108" s="53"/>
    </row>
    <row r="109" spans="1:13" ht="15">
      <c r="A109" s="71">
        <f t="shared" si="1"/>
        <v>62</v>
      </c>
      <c r="B109" s="71"/>
      <c r="C109" s="1049" t="s">
        <v>466</v>
      </c>
      <c r="D109" s="91"/>
      <c r="E109" s="5" t="s">
        <v>256</v>
      </c>
      <c r="F109" s="29"/>
      <c r="G109" s="1078">
        <v>715247</v>
      </c>
      <c r="H109" s="53"/>
      <c r="I109" s="53"/>
      <c r="J109" s="1133"/>
      <c r="K109" s="53"/>
      <c r="L109" s="53"/>
      <c r="M109" s="53"/>
    </row>
    <row r="110" spans="1:13" ht="15">
      <c r="A110" s="71">
        <f>+A109+1</f>
        <v>63</v>
      </c>
      <c r="B110" s="71"/>
      <c r="C110" s="1049" t="s">
        <v>500</v>
      </c>
      <c r="D110" s="175" t="str">
        <f>"(Note "&amp;B$283&amp;")"</f>
        <v>(Note D)</v>
      </c>
      <c r="E110" s="103" t="s">
        <v>437</v>
      </c>
      <c r="F110" s="52"/>
      <c r="G110" s="1078">
        <v>0</v>
      </c>
      <c r="H110" s="53"/>
      <c r="I110" s="53"/>
      <c r="J110" s="63"/>
      <c r="K110" s="63"/>
      <c r="L110" s="53"/>
      <c r="M110" s="53"/>
    </row>
    <row r="111" spans="1:11" ht="15">
      <c r="A111" s="71">
        <f t="shared" si="1"/>
        <v>64</v>
      </c>
      <c r="B111" s="71"/>
      <c r="C111" s="38" t="s">
        <v>331</v>
      </c>
      <c r="D111" s="155"/>
      <c r="E111" s="22" t="str">
        <f>"(Lines "&amp;A104&amp;" thru "&amp;A105&amp;") -  Sum (Lines "&amp;A106&amp;" to "&amp;A110&amp;")"</f>
        <v>(Lines 57 thru 58) -  Sum (Lines 59 to 63)</v>
      </c>
      <c r="F111" s="57"/>
      <c r="G111" s="853">
        <f>G104+G105-SUM(G106:G110)</f>
        <v>117426739</v>
      </c>
      <c r="I111" s="53"/>
      <c r="J111" s="53"/>
      <c r="K111" s="53"/>
    </row>
    <row r="112" spans="1:11" ht="15">
      <c r="A112" s="71">
        <f t="shared" si="1"/>
        <v>65</v>
      </c>
      <c r="B112" s="71"/>
      <c r="C112" s="51" t="s">
        <v>439</v>
      </c>
      <c r="E112" s="174" t="str">
        <f>"(Line "&amp;A$12&amp;")"</f>
        <v>(Line 5)</v>
      </c>
      <c r="F112" s="59"/>
      <c r="G112" s="61">
        <f>+G12</f>
        <v>0.1717635714936654</v>
      </c>
      <c r="I112" s="53"/>
      <c r="J112" s="53"/>
      <c r="K112" s="53"/>
    </row>
    <row r="113" spans="1:11" ht="15">
      <c r="A113" s="71">
        <f t="shared" si="1"/>
        <v>66</v>
      </c>
      <c r="B113" s="71"/>
      <c r="C113" s="38" t="s">
        <v>340</v>
      </c>
      <c r="D113" s="150"/>
      <c r="E113" s="22" t="str">
        <f>"(Line "&amp;A111&amp;" * Line "&amp;A112&amp;")"</f>
        <v>(Line 64 * Line 65)</v>
      </c>
      <c r="F113" s="57"/>
      <c r="G113" s="734">
        <f>+G112*G111</f>
        <v>20169636.079494487</v>
      </c>
      <c r="I113" s="53"/>
      <c r="J113" s="1328"/>
      <c r="K113" s="53"/>
    </row>
    <row r="114" spans="1:11" ht="15">
      <c r="A114" s="71"/>
      <c r="B114" s="71"/>
      <c r="C114" s="46"/>
      <c r="D114" s="19"/>
      <c r="E114" s="60"/>
      <c r="F114" s="60"/>
      <c r="G114" s="862"/>
      <c r="I114" s="53"/>
      <c r="J114" s="53"/>
      <c r="K114" s="53"/>
    </row>
    <row r="115" spans="1:11" ht="15">
      <c r="A115" s="71"/>
      <c r="B115" s="21" t="s">
        <v>332</v>
      </c>
      <c r="C115" s="53"/>
      <c r="D115" s="19"/>
      <c r="E115" s="60"/>
      <c r="F115" s="60"/>
      <c r="G115" s="862"/>
      <c r="I115" s="53"/>
      <c r="J115" s="53"/>
      <c r="K115" s="53"/>
    </row>
    <row r="116" spans="1:11" ht="15">
      <c r="A116" s="71">
        <f>+A113+1</f>
        <v>67</v>
      </c>
      <c r="B116" s="50"/>
      <c r="C116" s="51" t="s">
        <v>511</v>
      </c>
      <c r="D116" s="175" t="str">
        <f>"(Note "&amp;B$286&amp;")"</f>
        <v>(Note G)</v>
      </c>
      <c r="E116" s="9" t="s">
        <v>8</v>
      </c>
      <c r="F116" s="53"/>
      <c r="G116" s="729">
        <f>'5 - Cost Support 1'!H197</f>
        <v>0</v>
      </c>
      <c r="J116" s="53"/>
      <c r="K116" s="53"/>
    </row>
    <row r="117" spans="1:11" ht="15">
      <c r="A117" s="28">
        <f>+A116+1</f>
        <v>68</v>
      </c>
      <c r="B117" s="50"/>
      <c r="C117" s="137" t="s">
        <v>512</v>
      </c>
      <c r="D117" s="181" t="str">
        <f>"(Note "&amp;B$295&amp;")"</f>
        <v>(Note K)</v>
      </c>
      <c r="E117" s="137" t="s">
        <v>8</v>
      </c>
      <c r="F117" s="241"/>
      <c r="G117" s="730">
        <f>'5 - Cost Support 1'!H202</f>
        <v>0</v>
      </c>
      <c r="J117" s="53"/>
      <c r="K117" s="53"/>
    </row>
    <row r="118" spans="1:11" ht="15">
      <c r="A118" s="28">
        <f>+A117+1</f>
        <v>69</v>
      </c>
      <c r="B118" s="50"/>
      <c r="C118" s="51" t="s">
        <v>501</v>
      </c>
      <c r="D118" s="146"/>
      <c r="E118" s="22" t="str">
        <f>"(Line "&amp;A116&amp;" + Line "&amp;A117&amp;")"</f>
        <v>(Line 67 + Line 68)</v>
      </c>
      <c r="F118" s="53"/>
      <c r="G118" s="732">
        <f>+G117+G116</f>
        <v>0</v>
      </c>
      <c r="I118" s="53"/>
      <c r="J118" s="53"/>
      <c r="K118" s="53"/>
    </row>
    <row r="119" spans="1:11" ht="15">
      <c r="A119" s="71"/>
      <c r="B119" s="50"/>
      <c r="C119" s="51"/>
      <c r="D119" s="146"/>
      <c r="E119" s="51"/>
      <c r="F119" s="53"/>
      <c r="G119" s="735"/>
      <c r="I119" s="53"/>
      <c r="J119" s="53"/>
      <c r="K119" s="53"/>
    </row>
    <row r="120" spans="1:11" ht="15">
      <c r="A120" s="28">
        <f>+A118+1</f>
        <v>70</v>
      </c>
      <c r="B120" s="50"/>
      <c r="C120" s="51" t="s">
        <v>513</v>
      </c>
      <c r="E120" s="51" t="str">
        <f>"Line "&amp;A107&amp;""</f>
        <v>Line 60</v>
      </c>
      <c r="F120" s="53"/>
      <c r="G120" s="741">
        <f>G107</f>
        <v>5596934</v>
      </c>
      <c r="I120" s="53"/>
      <c r="J120" s="53"/>
      <c r="K120" s="53"/>
    </row>
    <row r="121" spans="1:11" ht="15">
      <c r="A121" s="28">
        <f>+A120+1</f>
        <v>71</v>
      </c>
      <c r="B121" s="50"/>
      <c r="C121" s="51" t="s">
        <v>512</v>
      </c>
      <c r="D121" s="175" t="str">
        <f>"(Note "&amp;B$285&amp;")"</f>
        <v>(Note F)</v>
      </c>
      <c r="E121" s="137" t="s">
        <v>8</v>
      </c>
      <c r="F121" s="241"/>
      <c r="G121" s="730">
        <f>G117</f>
        <v>0</v>
      </c>
      <c r="J121" s="53"/>
      <c r="K121" s="53"/>
    </row>
    <row r="122" spans="1:11" ht="15">
      <c r="A122" s="71">
        <f>+A121+1</f>
        <v>72</v>
      </c>
      <c r="B122" s="50"/>
      <c r="C122" s="54" t="s">
        <v>449</v>
      </c>
      <c r="D122" s="153"/>
      <c r="E122" s="22" t="str">
        <f>"(Line "&amp;A120&amp;" + Line "&amp;A121&amp;")"</f>
        <v>(Line 70 + Line 71)</v>
      </c>
      <c r="F122" s="98"/>
      <c r="G122" s="1305">
        <f>+G120+G121</f>
        <v>5596934</v>
      </c>
      <c r="I122" s="53"/>
      <c r="J122" s="53"/>
      <c r="K122" s="53"/>
    </row>
    <row r="123" spans="1:11" ht="15">
      <c r="A123" s="28">
        <f>+A122+1</f>
        <v>73</v>
      </c>
      <c r="B123" s="71"/>
      <c r="C123" s="358" t="s">
        <v>399</v>
      </c>
      <c r="D123" s="28"/>
      <c r="E123" s="101" t="str">
        <f>"(Line "&amp;A$23&amp;")"</f>
        <v>(Line 12)</v>
      </c>
      <c r="F123" s="59"/>
      <c r="G123" s="61">
        <f>+G23</f>
        <v>0.243716562484718</v>
      </c>
      <c r="I123" s="53"/>
      <c r="J123" s="53"/>
      <c r="K123" s="53"/>
    </row>
    <row r="124" spans="1:11" ht="15">
      <c r="A124" s="71">
        <f>+A123+1</f>
        <v>74</v>
      </c>
      <c r="B124" s="71"/>
      <c r="C124" s="38" t="s">
        <v>334</v>
      </c>
      <c r="D124" s="150"/>
      <c r="E124" s="22" t="str">
        <f>"(Line "&amp;A122&amp;" * Line "&amp;A123&amp;")"</f>
        <v>(Line 72 * Line 73)</v>
      </c>
      <c r="F124" s="57"/>
      <c r="G124" s="739">
        <f>+G123*G122</f>
        <v>1364065.5149338427</v>
      </c>
      <c r="I124" s="53"/>
      <c r="J124" s="1328"/>
      <c r="K124" s="1328"/>
    </row>
    <row r="125" spans="1:11" ht="15">
      <c r="A125" s="28"/>
      <c r="B125" s="28"/>
      <c r="C125" s="21"/>
      <c r="D125" s="18"/>
      <c r="E125" s="29"/>
      <c r="F125" s="29"/>
      <c r="G125" s="862"/>
      <c r="I125" s="53"/>
      <c r="J125" s="1328"/>
      <c r="K125" s="53"/>
    </row>
    <row r="126" spans="1:11" ht="15.75" thickBot="1">
      <c r="A126" s="28">
        <f>+A124+1</f>
        <v>75</v>
      </c>
      <c r="B126" s="28"/>
      <c r="C126" s="39" t="s">
        <v>427</v>
      </c>
      <c r="D126" s="164"/>
      <c r="E126" s="41" t="str">
        <f>"(Lines "&amp;A101&amp;" + "&amp;A113&amp;" + "&amp;A118&amp;" + "&amp;A124&amp;")"</f>
        <v>(Lines 56 + 66 + 69 + 74)</v>
      </c>
      <c r="F126" s="109"/>
      <c r="G126" s="722">
        <f>+G101+G113+G118+G124</f>
        <v>33271368.59442833</v>
      </c>
      <c r="I126" s="53"/>
      <c r="J126" s="53"/>
      <c r="K126" s="53"/>
    </row>
    <row r="127" spans="1:11" ht="15.75" thickTop="1">
      <c r="A127" s="49"/>
      <c r="B127" s="28"/>
      <c r="C127" s="21"/>
      <c r="D127" s="18"/>
      <c r="E127" s="29"/>
      <c r="F127" s="29"/>
      <c r="G127" s="37"/>
      <c r="I127" s="53"/>
      <c r="J127" s="53"/>
      <c r="K127" s="53"/>
    </row>
    <row r="128" spans="1:11" ht="15">
      <c r="A128" s="1053" t="s">
        <v>421</v>
      </c>
      <c r="B128" s="1044"/>
      <c r="C128" s="1054"/>
      <c r="D128" s="161"/>
      <c r="E128" s="115"/>
      <c r="F128" s="115"/>
      <c r="G128" s="116"/>
      <c r="I128" s="53"/>
      <c r="J128" s="53"/>
      <c r="K128" s="53"/>
    </row>
    <row r="129" spans="1:11" ht="15">
      <c r="A129" s="21"/>
      <c r="B129" s="28"/>
      <c r="C129" s="21"/>
      <c r="D129" s="18"/>
      <c r="E129" s="29"/>
      <c r="F129" s="29"/>
      <c r="G129" s="786"/>
      <c r="I129" s="53"/>
      <c r="J129" s="53"/>
      <c r="K129" s="53"/>
    </row>
    <row r="130" spans="1:11" ht="15">
      <c r="A130" s="84"/>
      <c r="B130" s="95" t="s">
        <v>311</v>
      </c>
      <c r="C130" s="47"/>
      <c r="E130" s="68"/>
      <c r="F130" s="68"/>
      <c r="G130" s="69"/>
      <c r="I130" s="53"/>
      <c r="J130" s="53"/>
      <c r="K130" s="53"/>
    </row>
    <row r="131" spans="1:11" ht="15">
      <c r="A131" s="28">
        <f>+A126+1</f>
        <v>76</v>
      </c>
      <c r="B131" s="48"/>
      <c r="C131" s="358" t="s">
        <v>312</v>
      </c>
      <c r="D131" s="72"/>
      <c r="E131" s="143" t="s">
        <v>354</v>
      </c>
      <c r="F131" s="76"/>
      <c r="G131" s="864">
        <f>+'8 - Depreciation Exp'!D14</f>
        <v>25769369.665394</v>
      </c>
      <c r="I131" s="53"/>
      <c r="J131" s="53"/>
      <c r="K131" s="53"/>
    </row>
    <row r="132" spans="1:11" ht="15">
      <c r="A132" s="28">
        <f>A131+1</f>
        <v>77</v>
      </c>
      <c r="B132" s="48"/>
      <c r="C132" s="137" t="s">
        <v>370</v>
      </c>
      <c r="D132" s="181" t="str">
        <f>"(Note "&amp;B$281&amp;")"</f>
        <v>(Note B)</v>
      </c>
      <c r="E132" s="137" t="s">
        <v>113</v>
      </c>
      <c r="F132" s="241"/>
      <c r="G132" s="730">
        <f>IF(I1=1,0,'6- Est &amp; Reconcile WS'!H221)</f>
        <v>672570.06971759</v>
      </c>
      <c r="I132" s="1368"/>
      <c r="J132" s="53"/>
      <c r="K132" s="53"/>
    </row>
    <row r="133" spans="1:11" ht="15">
      <c r="A133" s="28">
        <f>A132+1</f>
        <v>78</v>
      </c>
      <c r="B133" s="48"/>
      <c r="C133" s="12" t="s">
        <v>125</v>
      </c>
      <c r="D133" s="28"/>
      <c r="E133" s="237" t="str">
        <f>"(Line "&amp;A131&amp;" + Line "&amp;A132&amp;")"</f>
        <v>(Line 76 + Line 77)</v>
      </c>
      <c r="G133" s="1306">
        <f>G131+G132</f>
        <v>26441939.73511159</v>
      </c>
      <c r="I133" s="53"/>
      <c r="J133" s="53"/>
      <c r="K133" s="53"/>
    </row>
    <row r="134" spans="1:11" ht="15">
      <c r="A134" s="28"/>
      <c r="B134" s="48"/>
      <c r="C134" s="49"/>
      <c r="D134" s="28"/>
      <c r="E134" s="49"/>
      <c r="F134" s="59"/>
      <c r="G134" s="725"/>
      <c r="I134" s="53"/>
      <c r="J134" s="53"/>
      <c r="K134" s="53"/>
    </row>
    <row r="135" spans="1:11" ht="15">
      <c r="A135" s="28">
        <f>+A133+1</f>
        <v>79</v>
      </c>
      <c r="B135" s="48"/>
      <c r="C135" s="358" t="s">
        <v>448</v>
      </c>
      <c r="D135" s="72"/>
      <c r="E135" s="73" t="str">
        <f>+E131</f>
        <v>Attachment 8, Col. (D)</v>
      </c>
      <c r="G135" s="1307">
        <f>+'8 - Depreciation Exp'!D27</f>
        <v>23424596.348452006</v>
      </c>
      <c r="I135" s="53"/>
      <c r="J135" s="53"/>
      <c r="K135" s="53"/>
    </row>
    <row r="136" spans="1:11" ht="15">
      <c r="A136" s="28">
        <f>+A135+1</f>
        <v>80</v>
      </c>
      <c r="B136" s="48"/>
      <c r="C136" s="137" t="s">
        <v>400</v>
      </c>
      <c r="D136" s="181" t="str">
        <f>"(Note "&amp;B$280&amp;")"</f>
        <v>(Note A)</v>
      </c>
      <c r="E136" s="137" t="s">
        <v>724</v>
      </c>
      <c r="F136" s="220"/>
      <c r="G136" s="1081">
        <v>52421018</v>
      </c>
      <c r="H136" s="53"/>
      <c r="I136" s="53"/>
      <c r="J136" s="1133"/>
      <c r="K136" s="53"/>
    </row>
    <row r="137" spans="1:11" ht="15">
      <c r="A137" s="28">
        <f>+A136+1</f>
        <v>81</v>
      </c>
      <c r="B137" s="48"/>
      <c r="C137" s="73" t="s">
        <v>449</v>
      </c>
      <c r="D137" s="72"/>
      <c r="E137" s="22" t="str">
        <f>"(Line "&amp;A135&amp;" + Line "&amp;A136&amp;")"</f>
        <v>(Line 79 + Line 80)</v>
      </c>
      <c r="G137" s="741">
        <f>SUM(G135:G136)</f>
        <v>75845614.348452</v>
      </c>
      <c r="H137" s="53"/>
      <c r="I137" s="53"/>
      <c r="J137" s="53"/>
      <c r="K137" s="53"/>
    </row>
    <row r="138" spans="1:11" ht="15">
      <c r="A138" s="28">
        <f>+A137+1</f>
        <v>82</v>
      </c>
      <c r="B138" s="48"/>
      <c r="C138" s="137" t="s">
        <v>439</v>
      </c>
      <c r="D138" s="165"/>
      <c r="E138" s="174" t="str">
        <f>"(Line "&amp;A$12&amp;")"</f>
        <v>(Line 5)</v>
      </c>
      <c r="F138" s="89"/>
      <c r="G138" s="93">
        <f>+G12</f>
        <v>0.1717635714936654</v>
      </c>
      <c r="H138" s="53"/>
      <c r="I138" s="53"/>
      <c r="J138" s="53"/>
      <c r="K138" s="53"/>
    </row>
    <row r="139" spans="1:11" ht="15">
      <c r="A139" s="28">
        <f>+A138+1</f>
        <v>83</v>
      </c>
      <c r="B139" s="48"/>
      <c r="C139" s="95" t="s">
        <v>403</v>
      </c>
      <c r="D139" s="28"/>
      <c r="E139" s="22" t="str">
        <f>"(Line "&amp;A137&amp;" * Line "&amp;A138&amp;")"</f>
        <v>(Line 81 * Line 82)</v>
      </c>
      <c r="F139" s="59"/>
      <c r="G139" s="1308">
        <f>+G137*G138</f>
        <v>13027513.60262131</v>
      </c>
      <c r="H139" s="53"/>
      <c r="I139" s="53"/>
      <c r="J139" s="53"/>
      <c r="K139" s="53"/>
    </row>
    <row r="140" spans="1:11" ht="15">
      <c r="A140" s="71"/>
      <c r="B140" s="50"/>
      <c r="C140" s="51"/>
      <c r="D140" s="71"/>
      <c r="E140" s="51"/>
      <c r="F140" s="59"/>
      <c r="G140" s="728"/>
      <c r="H140" s="53"/>
      <c r="I140" s="53"/>
      <c r="J140" s="53"/>
      <c r="K140" s="53"/>
    </row>
    <row r="141" spans="1:11" ht="15">
      <c r="A141" s="28">
        <f>+A139+1</f>
        <v>84</v>
      </c>
      <c r="B141" s="50"/>
      <c r="C141" s="51" t="s">
        <v>300</v>
      </c>
      <c r="D141" s="175" t="str">
        <f>"(Note "&amp;B$280&amp;")"</f>
        <v>(Note A)</v>
      </c>
      <c r="E141" s="51" t="s">
        <v>468</v>
      </c>
      <c r="G141" s="1080">
        <v>0</v>
      </c>
      <c r="H141" s="190"/>
      <c r="I141" s="190"/>
      <c r="J141" s="53"/>
      <c r="K141" s="53"/>
    </row>
    <row r="142" spans="1:11" ht="15">
      <c r="A142" s="71">
        <f>+A141+1</f>
        <v>85</v>
      </c>
      <c r="B142" s="50"/>
      <c r="C142" s="137" t="s">
        <v>402</v>
      </c>
      <c r="D142" s="181" t="str">
        <f>"(Note "&amp;B$280&amp;")"</f>
        <v>(Note A)</v>
      </c>
      <c r="E142" s="137" t="s">
        <v>467</v>
      </c>
      <c r="F142" s="220"/>
      <c r="G142" s="1081">
        <v>0</v>
      </c>
      <c r="H142" s="190"/>
      <c r="I142" s="190"/>
      <c r="J142" s="53"/>
      <c r="K142" s="53"/>
    </row>
    <row r="143" spans="1:11" ht="15">
      <c r="A143" s="71">
        <f>+A142+1</f>
        <v>86</v>
      </c>
      <c r="B143" s="50"/>
      <c r="C143" s="51" t="s">
        <v>449</v>
      </c>
      <c r="D143" s="71"/>
      <c r="E143" s="22" t="str">
        <f>"(Line "&amp;A141&amp;" + Line "&amp;A142&amp;")"</f>
        <v>(Line 84 + Line 85)</v>
      </c>
      <c r="G143" s="731">
        <f>+G142+G141</f>
        <v>0</v>
      </c>
      <c r="H143" s="53"/>
      <c r="I143" s="53"/>
      <c r="J143" s="53"/>
      <c r="K143" s="53"/>
    </row>
    <row r="144" spans="1:11" ht="15">
      <c r="A144" s="28">
        <f>+A143+1</f>
        <v>87</v>
      </c>
      <c r="B144" s="50"/>
      <c r="C144" s="137" t="s">
        <v>439</v>
      </c>
      <c r="D144" s="165"/>
      <c r="E144" s="174" t="str">
        <f>"(Line "&amp;A$12&amp;")"</f>
        <v>(Line 5)</v>
      </c>
      <c r="F144" s="89"/>
      <c r="G144" s="93">
        <f>+G12</f>
        <v>0.1717635714936654</v>
      </c>
      <c r="H144" s="53"/>
      <c r="I144" s="53"/>
      <c r="J144" s="53"/>
      <c r="K144" s="53"/>
    </row>
    <row r="145" spans="1:11" ht="15">
      <c r="A145" s="28">
        <f>+A144+1</f>
        <v>88</v>
      </c>
      <c r="B145" s="50"/>
      <c r="C145" s="95" t="s">
        <v>404</v>
      </c>
      <c r="D145" s="71"/>
      <c r="E145" s="22" t="str">
        <f>"(Line "&amp;A143&amp;" * Line "&amp;A144&amp;")"</f>
        <v>(Line 86 * Line 87)</v>
      </c>
      <c r="F145" s="59"/>
      <c r="G145" s="712">
        <f>+G144*G143</f>
        <v>0</v>
      </c>
      <c r="H145" s="53"/>
      <c r="I145" s="53"/>
      <c r="J145" s="53"/>
      <c r="K145" s="53"/>
    </row>
    <row r="146" spans="1:11" ht="15">
      <c r="A146" s="71"/>
      <c r="B146" s="50"/>
      <c r="C146" s="47"/>
      <c r="D146" s="71"/>
      <c r="E146" s="51"/>
      <c r="F146" s="59"/>
      <c r="G146" s="724"/>
      <c r="H146" s="53"/>
      <c r="I146" s="53"/>
      <c r="J146" s="53"/>
      <c r="K146" s="53"/>
    </row>
    <row r="147" spans="1:11" ht="15">
      <c r="A147" s="96"/>
      <c r="B147" s="31"/>
      <c r="C147" s="51"/>
      <c r="D147" s="71"/>
      <c r="E147" s="51"/>
      <c r="F147" s="59"/>
      <c r="G147" s="725"/>
      <c r="H147" s="53"/>
      <c r="I147" s="53"/>
      <c r="J147" s="53"/>
      <c r="K147" s="53"/>
    </row>
    <row r="148" spans="1:11" s="67" customFormat="1" ht="15.75" thickBot="1">
      <c r="A148" s="28">
        <f>+A145+1</f>
        <v>89</v>
      </c>
      <c r="B148" s="1045" t="s">
        <v>422</v>
      </c>
      <c r="C148" s="1045"/>
      <c r="D148" s="166"/>
      <c r="E148" s="41" t="str">
        <f>"(Lines "&amp;A133&amp;" + "&amp;A139&amp;" + "&amp;A145&amp;")"</f>
        <v>(Lines 78 + 83 + 88)</v>
      </c>
      <c r="F148" s="94"/>
      <c r="G148" s="868">
        <f>+G133+G139+G145</f>
        <v>39469453.337732896</v>
      </c>
      <c r="H148" s="53"/>
      <c r="I148" s="219"/>
      <c r="J148" s="1329"/>
      <c r="K148" s="219"/>
    </row>
    <row r="149" spans="7:11" ht="15" thickTop="1">
      <c r="G149" s="135"/>
      <c r="H149" s="53"/>
      <c r="I149" s="53"/>
      <c r="J149" s="53"/>
      <c r="K149" s="53"/>
    </row>
    <row r="150" spans="1:11" ht="15">
      <c r="A150" s="1053" t="s">
        <v>734</v>
      </c>
      <c r="B150" s="1044"/>
      <c r="C150" s="1054"/>
      <c r="D150" s="235"/>
      <c r="E150" s="115"/>
      <c r="F150" s="115"/>
      <c r="G150" s="726"/>
      <c r="H150" s="53"/>
      <c r="I150" s="53"/>
      <c r="J150" s="53"/>
      <c r="K150" s="53"/>
    </row>
    <row r="151" spans="1:11" ht="15">
      <c r="A151" s="204"/>
      <c r="B151" s="28"/>
      <c r="C151" s="21"/>
      <c r="D151" s="18"/>
      <c r="E151" s="29"/>
      <c r="F151" s="29"/>
      <c r="G151" s="214"/>
      <c r="H151" s="53"/>
      <c r="I151" s="53"/>
      <c r="J151" s="53"/>
      <c r="K151" s="53"/>
    </row>
    <row r="152" spans="1:11" ht="15">
      <c r="A152" s="71">
        <f>+A148+1</f>
        <v>90</v>
      </c>
      <c r="B152" s="1041" t="s">
        <v>296</v>
      </c>
      <c r="C152" s="1042"/>
      <c r="D152" s="175"/>
      <c r="E152" s="53" t="s">
        <v>691</v>
      </c>
      <c r="F152" s="53"/>
      <c r="G152" s="316">
        <f>+'2 - Other Tax'!G39</f>
        <v>1556805.4028851963</v>
      </c>
      <c r="H152" s="53"/>
      <c r="I152" s="53"/>
      <c r="J152" s="53"/>
      <c r="K152" s="53"/>
    </row>
    <row r="153" spans="1:11" ht="15">
      <c r="A153" s="86"/>
      <c r="B153" s="52"/>
      <c r="D153" s="28"/>
      <c r="E153" s="49"/>
      <c r="F153" s="53"/>
      <c r="G153" s="135"/>
      <c r="H153" s="53"/>
      <c r="I153" s="53"/>
      <c r="J153" s="53"/>
      <c r="K153" s="53"/>
    </row>
    <row r="154" spans="1:11" ht="15.75" thickBot="1">
      <c r="A154" s="71">
        <f>+A152+1</f>
        <v>91</v>
      </c>
      <c r="B154" s="39" t="s">
        <v>307</v>
      </c>
      <c r="C154" s="39"/>
      <c r="D154" s="156"/>
      <c r="E154" s="41" t="str">
        <f>"(Line "&amp;A152&amp;")"</f>
        <v>(Line 90)</v>
      </c>
      <c r="F154" s="43"/>
      <c r="G154" s="727">
        <f>+G152</f>
        <v>1556805.4028851963</v>
      </c>
      <c r="H154" s="53"/>
      <c r="I154" s="53"/>
      <c r="J154" s="1329"/>
      <c r="K154" s="53"/>
    </row>
    <row r="155" spans="1:10" ht="15" thickTop="1">
      <c r="A155" s="84"/>
      <c r="H155" s="53"/>
      <c r="I155" s="98"/>
      <c r="J155" s="98"/>
    </row>
    <row r="156" spans="1:10" ht="15">
      <c r="A156" s="1053" t="s">
        <v>405</v>
      </c>
      <c r="B156" s="1044"/>
      <c r="C156" s="1054"/>
      <c r="D156" s="161"/>
      <c r="E156" s="115"/>
      <c r="F156" s="115"/>
      <c r="G156" s="116"/>
      <c r="H156" s="53"/>
      <c r="I156" s="98"/>
      <c r="J156" s="98"/>
    </row>
    <row r="157" spans="1:10" ht="15">
      <c r="A157" s="49"/>
      <c r="B157" s="28"/>
      <c r="C157" s="21"/>
      <c r="D157" s="18"/>
      <c r="E157" s="29"/>
      <c r="F157" s="29"/>
      <c r="G157" s="37"/>
      <c r="H157" s="53"/>
      <c r="I157" s="98"/>
      <c r="J157" s="98"/>
    </row>
    <row r="158" spans="1:10" ht="15">
      <c r="A158" s="71"/>
      <c r="B158" s="79" t="s">
        <v>309</v>
      </c>
      <c r="D158" s="19"/>
      <c r="F158" s="22"/>
      <c r="H158" s="53"/>
      <c r="I158" s="98"/>
      <c r="J158" s="98"/>
    </row>
    <row r="159" spans="1:14" ht="15">
      <c r="A159" s="71">
        <f>+A154+1</f>
        <v>92</v>
      </c>
      <c r="B159" s="79"/>
      <c r="C159" s="29" t="s">
        <v>309</v>
      </c>
      <c r="D159" s="175" t="str">
        <f>"(Note "&amp;B302&amp;")"</f>
        <v>(Note Q)</v>
      </c>
      <c r="E159" s="47" t="s">
        <v>8</v>
      </c>
      <c r="F159" s="22"/>
      <c r="G159" s="777">
        <f>+'5 - Cost Support 1'!F309</f>
        <v>55794612</v>
      </c>
      <c r="H159" s="190"/>
      <c r="I159" s="53"/>
      <c r="J159" s="1371"/>
      <c r="K159" s="1371"/>
      <c r="L159" s="86"/>
      <c r="M159" s="53"/>
      <c r="N159" s="53"/>
    </row>
    <row r="160" spans="1:14" ht="15">
      <c r="A160" s="71">
        <f aca="true" t="shared" si="2" ref="A160:A165">A159+1</f>
        <v>93</v>
      </c>
      <c r="B160" s="79"/>
      <c r="C160" s="29" t="s">
        <v>471</v>
      </c>
      <c r="D160" s="47"/>
      <c r="E160" s="76" t="s">
        <v>715</v>
      </c>
      <c r="F160" s="22"/>
      <c r="G160" s="1080">
        <v>445930</v>
      </c>
      <c r="H160" s="53"/>
      <c r="I160" s="98"/>
      <c r="J160" s="1133"/>
      <c r="K160" s="53"/>
      <c r="L160" s="53"/>
      <c r="M160" s="53"/>
      <c r="N160" s="53"/>
    </row>
    <row r="161" spans="1:14" ht="15">
      <c r="A161" s="71">
        <f t="shared" si="2"/>
        <v>94</v>
      </c>
      <c r="B161" s="79"/>
      <c r="C161" s="29" t="s">
        <v>472</v>
      </c>
      <c r="D161" s="19"/>
      <c r="E161" s="76" t="s">
        <v>716</v>
      </c>
      <c r="F161" s="22"/>
      <c r="G161" s="1080">
        <v>2033557</v>
      </c>
      <c r="H161" s="53"/>
      <c r="I161" s="98"/>
      <c r="J161" s="1133"/>
      <c r="K161" s="53"/>
      <c r="L161" s="63"/>
      <c r="M161" s="53"/>
      <c r="N161" s="53"/>
    </row>
    <row r="162" spans="1:15" ht="15">
      <c r="A162" s="71">
        <f t="shared" si="2"/>
        <v>95</v>
      </c>
      <c r="B162" s="79"/>
      <c r="C162" s="60" t="s">
        <v>473</v>
      </c>
      <c r="D162" s="19"/>
      <c r="E162" s="76" t="s">
        <v>717</v>
      </c>
      <c r="F162" s="22"/>
      <c r="G162" s="1080">
        <v>0</v>
      </c>
      <c r="H162" s="53"/>
      <c r="I162" s="98"/>
      <c r="J162" s="53"/>
      <c r="K162" s="53"/>
      <c r="L162" s="42"/>
      <c r="M162" s="53"/>
      <c r="N162" s="53"/>
      <c r="O162" s="53"/>
    </row>
    <row r="163" spans="1:15" ht="15">
      <c r="A163" s="71">
        <f t="shared" si="2"/>
        <v>96</v>
      </c>
      <c r="B163" s="79"/>
      <c r="C163" s="29" t="s">
        <v>469</v>
      </c>
      <c r="D163" s="19"/>
      <c r="E163" s="76" t="s">
        <v>718</v>
      </c>
      <c r="F163" s="22"/>
      <c r="G163" s="1080">
        <v>0</v>
      </c>
      <c r="H163" s="53"/>
      <c r="I163" s="98"/>
      <c r="J163" s="53"/>
      <c r="K163" s="939"/>
      <c r="L163" s="42"/>
      <c r="M163" s="886"/>
      <c r="N163" s="53"/>
      <c r="O163" s="53"/>
    </row>
    <row r="164" spans="1:15" ht="15">
      <c r="A164" s="71">
        <f t="shared" si="2"/>
        <v>97</v>
      </c>
      <c r="B164" s="449"/>
      <c r="C164" s="220" t="s">
        <v>470</v>
      </c>
      <c r="D164" s="181"/>
      <c r="E164" s="137" t="s">
        <v>289</v>
      </c>
      <c r="F164" s="220"/>
      <c r="G164" s="1081">
        <v>1379086</v>
      </c>
      <c r="H164" s="53"/>
      <c r="I164" s="98"/>
      <c r="J164" s="1133"/>
      <c r="K164" s="298"/>
      <c r="L164" s="978"/>
      <c r="M164" s="53"/>
      <c r="N164" s="53"/>
      <c r="O164" s="53"/>
    </row>
    <row r="165" spans="1:13" ht="15">
      <c r="A165" s="71">
        <f t="shared" si="2"/>
        <v>98</v>
      </c>
      <c r="B165" s="47"/>
      <c r="C165" s="1" t="s">
        <v>151</v>
      </c>
      <c r="D165" s="19"/>
      <c r="E165" s="19" t="str">
        <f>"(Sum lines "&amp;A159&amp;" to "&amp;A161&amp;") - Line "&amp;A162&amp;" - Line "&amp;A163&amp;" + Line "&amp;A164&amp;""</f>
        <v>(Sum lines 92 to 94) - Line 95 - Line 96 + Line 97</v>
      </c>
      <c r="F165" s="22"/>
      <c r="G165" s="860">
        <f>SUM(G159:G161)-G163-G162+G164</f>
        <v>59653185</v>
      </c>
      <c r="H165" s="316"/>
      <c r="I165" s="827"/>
      <c r="J165" s="42"/>
      <c r="K165" s="939"/>
      <c r="L165" s="53"/>
      <c r="M165" s="53"/>
    </row>
    <row r="166" spans="1:13" ht="15">
      <c r="A166" s="28"/>
      <c r="B166" s="28"/>
      <c r="C166" s="854"/>
      <c r="D166" s="85"/>
      <c r="E166" s="8"/>
      <c r="F166" s="5"/>
      <c r="G166" s="862"/>
      <c r="H166" s="53"/>
      <c r="I166" s="34"/>
      <c r="J166" s="42"/>
      <c r="K166" s="448"/>
      <c r="L166" s="53"/>
      <c r="M166" s="53"/>
    </row>
    <row r="167" spans="1:13" ht="15">
      <c r="A167" s="28">
        <f>A165+1</f>
        <v>99</v>
      </c>
      <c r="B167" s="11" t="s">
        <v>415</v>
      </c>
      <c r="D167" s="783" t="s">
        <v>712</v>
      </c>
      <c r="E167" s="5" t="s">
        <v>719</v>
      </c>
      <c r="F167" s="5"/>
      <c r="G167" s="1080">
        <v>0</v>
      </c>
      <c r="H167" s="53"/>
      <c r="I167" s="42"/>
      <c r="J167" s="1133"/>
      <c r="K167" s="53"/>
      <c r="L167" s="53"/>
      <c r="M167" s="53"/>
    </row>
    <row r="168" spans="1:17" ht="15">
      <c r="A168" s="28"/>
      <c r="B168" s="28"/>
      <c r="C168" s="1048"/>
      <c r="D168" s="18"/>
      <c r="E168" s="5"/>
      <c r="F168" s="5"/>
      <c r="G168" s="869"/>
      <c r="H168" s="53"/>
      <c r="I168" s="984"/>
      <c r="J168" s="886"/>
      <c r="K168" s="985"/>
      <c r="L168" s="986"/>
      <c r="M168" s="986"/>
      <c r="N168" s="987"/>
      <c r="O168" s="987"/>
      <c r="P168" s="987"/>
      <c r="Q168" s="987"/>
    </row>
    <row r="169" spans="1:13" ht="15">
      <c r="A169" s="28"/>
      <c r="B169" s="12" t="s">
        <v>297</v>
      </c>
      <c r="D169" s="18"/>
      <c r="E169" s="9"/>
      <c r="F169" s="5"/>
      <c r="G169" s="869"/>
      <c r="H169" s="53"/>
      <c r="I169" s="885"/>
      <c r="K169" s="886"/>
      <c r="L169" s="53"/>
      <c r="M169" s="53"/>
    </row>
    <row r="170" spans="1:14" ht="17.25">
      <c r="A170" s="28">
        <f>+A167+1</f>
        <v>100</v>
      </c>
      <c r="B170" s="28"/>
      <c r="C170" s="854" t="s">
        <v>451</v>
      </c>
      <c r="D170" s="18"/>
      <c r="E170" s="5" t="s">
        <v>720</v>
      </c>
      <c r="F170" s="53"/>
      <c r="G170" s="777">
        <v>1507946982</v>
      </c>
      <c r="H170" s="53"/>
      <c r="I170" s="1168"/>
      <c r="J170" s="1017">
        <v>1507946982</v>
      </c>
      <c r="K170" s="886"/>
      <c r="L170" s="448"/>
      <c r="M170" s="1133"/>
      <c r="N170" s="53"/>
    </row>
    <row r="171" spans="1:14" ht="15">
      <c r="A171" s="28">
        <f>+A170+1</f>
        <v>101</v>
      </c>
      <c r="B171" s="71"/>
      <c r="C171" s="854" t="s">
        <v>681</v>
      </c>
      <c r="D171" s="18"/>
      <c r="E171" s="5" t="s">
        <v>721</v>
      </c>
      <c r="F171" s="5"/>
      <c r="G171" s="1079">
        <v>-2748013</v>
      </c>
      <c r="H171" s="53"/>
      <c r="I171" s="1169"/>
      <c r="J171" s="316">
        <f>G171</f>
        <v>-2748013</v>
      </c>
      <c r="K171" s="886"/>
      <c r="L171" s="53"/>
      <c r="M171" s="1133"/>
      <c r="N171" s="53"/>
    </row>
    <row r="172" spans="1:14" ht="15">
      <c r="A172" s="28">
        <f>+A171+1</f>
        <v>102</v>
      </c>
      <c r="B172" s="71"/>
      <c r="C172" s="861" t="s">
        <v>407</v>
      </c>
      <c r="D172" s="25"/>
      <c r="E172" s="74" t="str">
        <f>"(Line "&amp;A182&amp;")"</f>
        <v>(Line 110)</v>
      </c>
      <c r="F172" s="5"/>
      <c r="G172" s="744">
        <f>G182</f>
        <v>0</v>
      </c>
      <c r="H172" s="53"/>
      <c r="I172" s="74"/>
      <c r="J172" s="744">
        <f>G172</f>
        <v>0</v>
      </c>
      <c r="K172" s="886"/>
      <c r="L172" s="720"/>
      <c r="M172" s="53"/>
      <c r="N172" s="53"/>
    </row>
    <row r="173" spans="1:14" ht="15">
      <c r="A173" s="28">
        <f>+A172+1</f>
        <v>103</v>
      </c>
      <c r="B173" s="71"/>
      <c r="C173" s="1055" t="s">
        <v>406</v>
      </c>
      <c r="D173" s="182"/>
      <c r="E173" s="137" t="s">
        <v>722</v>
      </c>
      <c r="F173" s="101"/>
      <c r="G173" s="1082">
        <v>0</v>
      </c>
      <c r="H173" s="53"/>
      <c r="I173" s="885"/>
      <c r="J173" s="1022">
        <f>G173</f>
        <v>0</v>
      </c>
      <c r="K173" s="886"/>
      <c r="L173" s="448"/>
      <c r="M173" s="1133"/>
      <c r="N173" s="53"/>
    </row>
    <row r="174" spans="1:12" ht="15">
      <c r="A174" s="28">
        <f>+A173+1</f>
        <v>104</v>
      </c>
      <c r="B174" s="71"/>
      <c r="C174" s="119" t="s">
        <v>297</v>
      </c>
      <c r="D174" s="152"/>
      <c r="E174" s="22" t="str">
        <f>"(Line "&amp;A170&amp;"  -  (Sum Lines "&amp;A171&amp;"  to "&amp;A173&amp;"))"</f>
        <v>(Line 100  -  (Sum Lines 101  to 103))</v>
      </c>
      <c r="F174" s="117"/>
      <c r="G174" s="869">
        <f>G170-G171-G172-G173</f>
        <v>1510694995</v>
      </c>
      <c r="H174" s="887"/>
      <c r="I174" s="42"/>
      <c r="J174" s="869">
        <f>J170-J171-J172-J173</f>
        <v>1510694995</v>
      </c>
      <c r="K174" s="886"/>
      <c r="L174" s="720"/>
    </row>
    <row r="175" spans="1:12" ht="15">
      <c r="A175" s="28"/>
      <c r="B175" s="28"/>
      <c r="C175" s="1048"/>
      <c r="D175" s="18"/>
      <c r="E175" s="5"/>
      <c r="F175" s="29"/>
      <c r="G175" s="869"/>
      <c r="H175" s="53"/>
      <c r="I175" s="42"/>
      <c r="J175" s="74"/>
      <c r="K175" s="448"/>
      <c r="L175" s="448"/>
    </row>
    <row r="176" spans="1:15" ht="15">
      <c r="A176" s="28"/>
      <c r="B176" s="12" t="s">
        <v>408</v>
      </c>
      <c r="D176" s="18"/>
      <c r="E176" s="5"/>
      <c r="F176" s="29"/>
      <c r="G176" s="869"/>
      <c r="H176" s="53"/>
      <c r="I176" s="42"/>
      <c r="J176" s="74"/>
      <c r="K176" s="448"/>
      <c r="L176" s="1097"/>
      <c r="M176" s="1097"/>
      <c r="N176" s="98"/>
      <c r="O176" s="98"/>
    </row>
    <row r="177" spans="1:15" ht="15">
      <c r="A177" s="28">
        <f>+A174+1</f>
        <v>105</v>
      </c>
      <c r="B177" s="28"/>
      <c r="C177" s="1048" t="s">
        <v>310</v>
      </c>
      <c r="D177" s="6"/>
      <c r="E177" s="3"/>
      <c r="F177" s="29"/>
      <c r="G177" s="744"/>
      <c r="H177" s="53"/>
      <c r="I177" s="45"/>
      <c r="J177" s="74"/>
      <c r="L177" s="1097"/>
      <c r="M177" s="1097"/>
      <c r="N177" s="98"/>
      <c r="O177" s="98"/>
    </row>
    <row r="178" spans="1:15" ht="15">
      <c r="A178" s="71">
        <f>A177+1</f>
        <v>106</v>
      </c>
      <c r="B178" s="71"/>
      <c r="C178" s="1049" t="s">
        <v>141</v>
      </c>
      <c r="D178" s="26"/>
      <c r="E178" s="23" t="s">
        <v>8</v>
      </c>
      <c r="F178" s="52"/>
      <c r="G178" s="856">
        <f>'5 - Cost Support 1'!F310</f>
        <v>1328333333.3333333</v>
      </c>
      <c r="H178" s="190"/>
      <c r="I178" s="45"/>
      <c r="J178" s="74"/>
      <c r="K178" s="298"/>
      <c r="L178" s="1097"/>
      <c r="M178" s="1097"/>
      <c r="N178" s="98"/>
      <c r="O178" s="98"/>
    </row>
    <row r="179" spans="1:15" ht="15">
      <c r="A179" s="28">
        <f>+A178+1</f>
        <v>107</v>
      </c>
      <c r="B179" s="28"/>
      <c r="C179" s="1048" t="s">
        <v>474</v>
      </c>
      <c r="D179" s="784" t="s">
        <v>28</v>
      </c>
      <c r="E179" s="74" t="s">
        <v>290</v>
      </c>
      <c r="F179" s="60"/>
      <c r="G179" s="1078">
        <v>-17228393</v>
      </c>
      <c r="H179" s="53"/>
      <c r="I179" s="45"/>
      <c r="J179" s="964"/>
      <c r="K179" s="886"/>
      <c r="L179" s="1097"/>
      <c r="M179" s="1133"/>
      <c r="N179" s="53"/>
      <c r="O179" s="98"/>
    </row>
    <row r="180" spans="1:15" ht="15">
      <c r="A180" s="28">
        <f>A179+1</f>
        <v>108</v>
      </c>
      <c r="B180" s="28"/>
      <c r="C180" s="1051" t="s">
        <v>572</v>
      </c>
      <c r="D180" s="561"/>
      <c r="E180" s="137" t="s">
        <v>291</v>
      </c>
      <c r="F180" s="92"/>
      <c r="G180" s="1082">
        <v>0</v>
      </c>
      <c r="H180" s="53"/>
      <c r="I180" s="45"/>
      <c r="J180" s="886"/>
      <c r="K180" s="886"/>
      <c r="L180" s="1109"/>
      <c r="M180" s="1097"/>
      <c r="N180" s="98"/>
      <c r="O180" s="98"/>
    </row>
    <row r="181" spans="1:14" ht="15">
      <c r="A181" s="28">
        <f>A180+1</f>
        <v>109</v>
      </c>
      <c r="B181" s="71"/>
      <c r="C181" s="1056" t="s">
        <v>303</v>
      </c>
      <c r="D181" s="152"/>
      <c r="E181" s="22" t="str">
        <f>"Sum (Lines "&amp;A177&amp;" to Line "&amp;A180&amp;")"</f>
        <v>Sum (Lines 105 to Line 108)</v>
      </c>
      <c r="F181" s="74"/>
      <c r="G181" s="860">
        <f>SUM(G178:G180)</f>
        <v>1311104940.3333333</v>
      </c>
      <c r="H181" s="53"/>
      <c r="I181" s="42"/>
      <c r="J181" s="1021">
        <f>G181</f>
        <v>1311104940.3333333</v>
      </c>
      <c r="M181" s="53"/>
      <c r="N181" s="53"/>
    </row>
    <row r="182" spans="1:14" ht="15">
      <c r="A182" s="28">
        <f>+A181+1</f>
        <v>110</v>
      </c>
      <c r="B182" s="28"/>
      <c r="C182" s="1048" t="s">
        <v>321</v>
      </c>
      <c r="D182" s="6"/>
      <c r="E182" s="74" t="s">
        <v>723</v>
      </c>
      <c r="F182" s="29"/>
      <c r="G182" s="1078">
        <v>0</v>
      </c>
      <c r="H182" s="53"/>
      <c r="I182" s="45"/>
      <c r="J182" s="886">
        <f>G182</f>
        <v>0</v>
      </c>
      <c r="K182" s="298"/>
      <c r="M182" s="1133"/>
      <c r="N182" s="53"/>
    </row>
    <row r="183" spans="1:10" ht="15">
      <c r="A183" s="28">
        <f>+A182+1</f>
        <v>111</v>
      </c>
      <c r="B183" s="28"/>
      <c r="C183" s="1048" t="s">
        <v>297</v>
      </c>
      <c r="E183" s="101" t="str">
        <f>"(Line "&amp;A174&amp;")"</f>
        <v>(Line 104)</v>
      </c>
      <c r="F183" s="29"/>
      <c r="G183" s="862">
        <f>G174</f>
        <v>1510694995</v>
      </c>
      <c r="H183" s="53"/>
      <c r="I183" s="42"/>
      <c r="J183" s="1021">
        <f>J174</f>
        <v>1510694995</v>
      </c>
    </row>
    <row r="184" spans="1:17" ht="15">
      <c r="A184" s="28">
        <f>+A183+1</f>
        <v>112</v>
      </c>
      <c r="B184" s="28"/>
      <c r="C184" s="38" t="s">
        <v>302</v>
      </c>
      <c r="D184" s="153"/>
      <c r="E184" s="22" t="str">
        <f>"(Sum Lines "&amp;A181&amp;" to "&amp;A183&amp;")"</f>
        <v>(Sum Lines 109 to 111)</v>
      </c>
      <c r="F184" s="32"/>
      <c r="G184" s="853">
        <f>G183+G182+G181</f>
        <v>2821799935.333333</v>
      </c>
      <c r="H184" s="53"/>
      <c r="I184" s="42"/>
      <c r="J184" s="853">
        <f>SUM(J181:J183)</f>
        <v>2821799935.333333</v>
      </c>
      <c r="K184" s="985"/>
      <c r="L184" s="986"/>
      <c r="M184" s="986"/>
      <c r="N184" s="987"/>
      <c r="O184" s="987"/>
      <c r="P184" s="987"/>
      <c r="Q184" s="987"/>
    </row>
    <row r="185" spans="1:10" ht="15">
      <c r="A185" s="28"/>
      <c r="B185" s="28"/>
      <c r="C185" s="1048"/>
      <c r="F185" s="5"/>
      <c r="G185" s="269"/>
      <c r="H185" s="53"/>
      <c r="I185" s="98"/>
      <c r="J185" s="42"/>
    </row>
    <row r="186" spans="1:12" ht="15">
      <c r="A186" s="71">
        <f>+A184+1</f>
        <v>113</v>
      </c>
      <c r="B186" s="28"/>
      <c r="C186" s="73" t="s">
        <v>515</v>
      </c>
      <c r="D186" s="86"/>
      <c r="E186" s="22" t="str">
        <f>"(Line "&amp;A181&amp;" / Line "&amp;A184&amp;")"</f>
        <v>(Line 109 / Line 112)</v>
      </c>
      <c r="F186" s="5"/>
      <c r="G186" s="925">
        <f>IF(G184=0,0,G181/G184)</f>
        <v>0.46463426549708786</v>
      </c>
      <c r="H186" s="190"/>
      <c r="I186" s="42"/>
      <c r="J186" s="925">
        <f>J181/J184</f>
        <v>0.46463426549708786</v>
      </c>
      <c r="K186" s="1013"/>
      <c r="L186" s="925"/>
    </row>
    <row r="187" spans="1:12" ht="15">
      <c r="A187" s="71">
        <f>+A186+1</f>
        <v>114</v>
      </c>
      <c r="B187" s="28"/>
      <c r="C187" s="73" t="s">
        <v>522</v>
      </c>
      <c r="D187" s="86"/>
      <c r="E187" s="22" t="str">
        <f>"(Line "&amp;A182&amp;" / Line "&amp;A184&amp;")"</f>
        <v>(Line 110 / Line 112)</v>
      </c>
      <c r="F187" s="5"/>
      <c r="G187" s="926">
        <f>IF(G184=0,0,G182/G184)</f>
        <v>0</v>
      </c>
      <c r="H187" s="190"/>
      <c r="I187" s="42"/>
      <c r="J187" s="925">
        <f>J182/J184</f>
        <v>0</v>
      </c>
      <c r="L187" s="925"/>
    </row>
    <row r="188" spans="1:12" ht="15">
      <c r="A188" s="71">
        <f>+A187+1</f>
        <v>115</v>
      </c>
      <c r="B188" s="28"/>
      <c r="C188" s="73" t="s">
        <v>516</v>
      </c>
      <c r="D188" s="636" t="str">
        <f>"(Note "&amp;B299&amp;")"</f>
        <v>(Note O)</v>
      </c>
      <c r="E188" s="22" t="str">
        <f>"(Line "&amp;A183&amp;" / Line "&amp;A184&amp;")"</f>
        <v>(Line 111 / Line 112)</v>
      </c>
      <c r="F188" s="5"/>
      <c r="G188" s="925">
        <f>(IF(G183/G184&gt;0.59,0.59,IF(G184=0,0,G183/G184)))*0+G183/G184</f>
        <v>0.5353657345029122</v>
      </c>
      <c r="H188" s="190"/>
      <c r="I188" s="898"/>
      <c r="J188" s="965">
        <f>J183/J184</f>
        <v>0.5353657345029122</v>
      </c>
      <c r="L188" s="925"/>
    </row>
    <row r="189" spans="1:10" ht="15">
      <c r="A189" s="71"/>
      <c r="B189" s="28"/>
      <c r="C189" s="1057"/>
      <c r="E189" s="5"/>
      <c r="F189" s="5"/>
      <c r="G189" s="870"/>
      <c r="H189" s="190"/>
      <c r="I189" s="190"/>
      <c r="J189" s="925">
        <f>SUM(J186:J188)</f>
        <v>1</v>
      </c>
    </row>
    <row r="190" spans="1:9" ht="15.75" thickBot="1">
      <c r="A190" s="71">
        <f>+A188+1</f>
        <v>116</v>
      </c>
      <c r="B190" s="71"/>
      <c r="C190" s="1087" t="s">
        <v>517</v>
      </c>
      <c r="D190" s="86"/>
      <c r="E190" s="42" t="str">
        <f>"(Line "&amp;A165&amp;" / Line "&amp;A181&amp;")"</f>
        <v>(Line 98 / Line 109)</v>
      </c>
      <c r="F190" s="9"/>
      <c r="G190" s="1088">
        <f>IF(G181&gt;0,G165/G181,0)</f>
        <v>0.04549840608855754</v>
      </c>
      <c r="H190" s="190"/>
      <c r="I190" s="190"/>
    </row>
    <row r="191" spans="1:11" ht="15.75" thickBot="1">
      <c r="A191" s="71">
        <f>+A190+1</f>
        <v>117</v>
      </c>
      <c r="B191" s="28"/>
      <c r="C191" s="1057" t="s">
        <v>523</v>
      </c>
      <c r="E191" s="22" t="str">
        <f>"(Line "&amp;A167&amp;" / Line "&amp;A182&amp;")"</f>
        <v>(Line 99 / Line 110)</v>
      </c>
      <c r="F191" s="5"/>
      <c r="G191" s="720">
        <f>IF(G182&gt;0,G167/G182,0)</f>
        <v>0</v>
      </c>
      <c r="H191" s="53"/>
      <c r="I191" s="190"/>
      <c r="J191" s="962">
        <f>G186+G187+G188</f>
        <v>1</v>
      </c>
      <c r="K191" s="953"/>
    </row>
    <row r="192" spans="1:9" ht="15">
      <c r="A192" s="71">
        <f>+A191+1</f>
        <v>118</v>
      </c>
      <c r="B192" s="28"/>
      <c r="C192" s="1057" t="s">
        <v>518</v>
      </c>
      <c r="D192" s="175" t="str">
        <f>"(Note "&amp;B$294&amp;")"</f>
        <v>(Note J)</v>
      </c>
      <c r="E192" s="22" t="s">
        <v>117</v>
      </c>
      <c r="F192" s="5"/>
      <c r="G192" s="928">
        <v>0.114</v>
      </c>
      <c r="H192" s="53"/>
      <c r="I192" s="190"/>
    </row>
    <row r="193" spans="1:11" ht="15">
      <c r="A193" s="71"/>
      <c r="B193" s="28"/>
      <c r="C193" s="1057"/>
      <c r="E193" s="5"/>
      <c r="F193" s="5"/>
      <c r="G193" s="720"/>
      <c r="H193" s="53"/>
      <c r="I193" s="190"/>
      <c r="K193" s="298"/>
    </row>
    <row r="194" spans="1:11" ht="15">
      <c r="A194" s="71">
        <f>+A192+1</f>
        <v>119</v>
      </c>
      <c r="B194" s="28"/>
      <c r="C194" s="73" t="s">
        <v>519</v>
      </c>
      <c r="E194" s="22" t="str">
        <f>"(Line "&amp;A186&amp;" * Line "&amp;A190&amp;")"</f>
        <v>(Line 113 * Line 116)</v>
      </c>
      <c r="F194" s="27"/>
      <c r="G194" s="720">
        <f>G190*G186</f>
        <v>0.021140118494245165</v>
      </c>
      <c r="H194" s="53"/>
      <c r="I194" s="190"/>
      <c r="K194" s="298"/>
    </row>
    <row r="195" spans="1:9" ht="15">
      <c r="A195" s="71">
        <f>+A194+1</f>
        <v>120</v>
      </c>
      <c r="B195" s="28"/>
      <c r="C195" s="73" t="s">
        <v>524</v>
      </c>
      <c r="E195" s="22" t="str">
        <f>"(Line "&amp;A187&amp;" * Line "&amp;A191&amp;")"</f>
        <v>(Line 114 * Line 117)</v>
      </c>
      <c r="F195" s="68"/>
      <c r="G195" s="720">
        <f>G191*G187</f>
        <v>0</v>
      </c>
      <c r="H195" s="53"/>
      <c r="I195" s="53"/>
    </row>
    <row r="196" spans="1:11" ht="15">
      <c r="A196" s="71">
        <f>+A195+1</f>
        <v>121</v>
      </c>
      <c r="B196" s="145"/>
      <c r="C196" s="88" t="s">
        <v>520</v>
      </c>
      <c r="D196" s="165"/>
      <c r="E196" s="101" t="str">
        <f>"(Line "&amp;A188&amp;" * Line "&amp;A192&amp;")"</f>
        <v>(Line 115 * Line 118)</v>
      </c>
      <c r="F196" s="102"/>
      <c r="G196" s="871">
        <f>G192*G188</f>
        <v>0.061031693733332</v>
      </c>
      <c r="H196" s="53"/>
      <c r="I196" s="53"/>
      <c r="K196" s="939"/>
    </row>
    <row r="197" spans="1:11" ht="15">
      <c r="A197" s="28">
        <f>+A196+1</f>
        <v>122</v>
      </c>
      <c r="B197" s="78" t="s">
        <v>304</v>
      </c>
      <c r="C197" s="78"/>
      <c r="D197" s="167"/>
      <c r="E197" s="22" t="str">
        <f>"(Sum Lines "&amp;A194&amp;" to "&amp;A196&amp;")"</f>
        <v>(Sum Lines 119 to 121)</v>
      </c>
      <c r="F197" s="80"/>
      <c r="G197" s="721">
        <f>SUM(G194:G196)</f>
        <v>0.08217181222757716</v>
      </c>
      <c r="H197" s="53"/>
      <c r="I197" s="1170"/>
      <c r="K197" s="53"/>
    </row>
    <row r="198" spans="1:11" ht="15">
      <c r="A198" s="10"/>
      <c r="B198" s="10"/>
      <c r="C198" s="78"/>
      <c r="D198" s="167"/>
      <c r="E198" s="79"/>
      <c r="F198" s="80"/>
      <c r="G198" s="70"/>
      <c r="H198" s="53"/>
      <c r="I198" s="53"/>
      <c r="K198" s="53"/>
    </row>
    <row r="199" spans="1:11" ht="15.75" thickBot="1">
      <c r="A199" s="28">
        <f>+A197+1</f>
        <v>123</v>
      </c>
      <c r="B199" s="104" t="s">
        <v>413</v>
      </c>
      <c r="C199" s="100"/>
      <c r="D199" s="168"/>
      <c r="E199" s="41" t="str">
        <f>"(Line "&amp;A92&amp;" * Line "&amp;A197&amp;")"</f>
        <v>(Line 51 * Line 122)</v>
      </c>
      <c r="F199" s="105"/>
      <c r="G199" s="722">
        <f>+G92*G197</f>
        <v>53520919.6105144</v>
      </c>
      <c r="H199" s="316"/>
      <c r="I199" s="53"/>
      <c r="K199" s="316"/>
    </row>
    <row r="200" spans="1:9" ht="15" thickTop="1">
      <c r="A200" s="28"/>
      <c r="B200" s="28"/>
      <c r="C200" s="1048"/>
      <c r="E200" s="5"/>
      <c r="F200" s="5"/>
      <c r="G200" s="872"/>
      <c r="H200" s="53"/>
      <c r="I200" s="53"/>
    </row>
    <row r="201" spans="1:9" ht="15">
      <c r="A201" s="1053" t="s">
        <v>608</v>
      </c>
      <c r="B201" s="1044"/>
      <c r="C201" s="1054"/>
      <c r="D201" s="235"/>
      <c r="E201" s="115"/>
      <c r="F201" s="115"/>
      <c r="G201" s="116"/>
      <c r="H201" s="53"/>
      <c r="I201" s="53"/>
    </row>
    <row r="202" spans="1:9" ht="15">
      <c r="A202" s="51"/>
      <c r="B202" s="28"/>
      <c r="C202" s="21"/>
      <c r="D202" s="18"/>
      <c r="E202" s="29"/>
      <c r="F202" s="29"/>
      <c r="G202" s="37"/>
      <c r="H202" s="53"/>
      <c r="I202" s="53"/>
    </row>
    <row r="203" spans="1:9" ht="15">
      <c r="A203" s="28" t="s">
        <v>316</v>
      </c>
      <c r="B203" s="121" t="s">
        <v>414</v>
      </c>
      <c r="D203" s="18"/>
      <c r="E203" s="5"/>
      <c r="F203" s="15"/>
      <c r="G203" s="29"/>
      <c r="H203" s="53"/>
      <c r="I203" s="53"/>
    </row>
    <row r="204" spans="1:9" ht="15">
      <c r="A204" s="28">
        <f>+A199+1</f>
        <v>124</v>
      </c>
      <c r="B204" s="28"/>
      <c r="C204" s="29" t="s">
        <v>412</v>
      </c>
      <c r="D204" s="175" t="str">
        <f>"(Note "&amp;B$288&amp;")"</f>
        <v>(Note I)</v>
      </c>
      <c r="E204" s="29"/>
      <c r="F204" s="30"/>
      <c r="G204" s="927">
        <v>0.21</v>
      </c>
      <c r="H204" s="53"/>
      <c r="I204" s="53"/>
    </row>
    <row r="205" spans="1:7" ht="15">
      <c r="A205" s="28">
        <f>+A204+1</f>
        <v>125</v>
      </c>
      <c r="B205" s="28"/>
      <c r="C205" s="1058" t="s">
        <v>411</v>
      </c>
      <c r="D205" s="175"/>
      <c r="E205" s="29"/>
      <c r="F205" s="30"/>
      <c r="G205" s="927">
        <v>0.0999</v>
      </c>
    </row>
    <row r="206" spans="1:7" ht="15">
      <c r="A206" s="28">
        <f>+A205+1</f>
        <v>126</v>
      </c>
      <c r="B206" s="28"/>
      <c r="C206" s="1058" t="s">
        <v>184</v>
      </c>
      <c r="E206" s="29" t="s">
        <v>583</v>
      </c>
      <c r="F206" s="30"/>
      <c r="G206" s="927">
        <v>0</v>
      </c>
    </row>
    <row r="207" spans="1:11" ht="15">
      <c r="A207" s="28">
        <f>+A206+1</f>
        <v>127</v>
      </c>
      <c r="B207" s="28"/>
      <c r="C207" s="1058" t="s">
        <v>185</v>
      </c>
      <c r="E207" s="29"/>
      <c r="F207" s="30"/>
      <c r="G207" s="865">
        <f>IF(G204&gt;0,1-(((1-G205)*(1-G204))/(1-G205*G204*G206)),0)</f>
        <v>0.288921</v>
      </c>
      <c r="K207" s="859"/>
    </row>
    <row r="208" spans="1:11" ht="15">
      <c r="A208" s="28">
        <f>+A207+1</f>
        <v>128</v>
      </c>
      <c r="B208" s="28"/>
      <c r="C208" s="1058" t="s">
        <v>502</v>
      </c>
      <c r="E208" s="29"/>
      <c r="F208" s="30"/>
      <c r="G208" s="791">
        <f>+G207/(1-G207)</f>
        <v>0.40631350384415793</v>
      </c>
      <c r="K208" s="1229"/>
    </row>
    <row r="209" spans="1:11" ht="15">
      <c r="A209" s="28"/>
      <c r="B209" s="28"/>
      <c r="D209" s="13"/>
      <c r="E209" s="14"/>
      <c r="F209" s="15"/>
      <c r="G209" s="873"/>
      <c r="H209" s="53"/>
      <c r="I209" s="53"/>
      <c r="J209" s="53"/>
      <c r="K209" s="53"/>
    </row>
    <row r="210" spans="1:11" ht="15">
      <c r="A210" s="28"/>
      <c r="B210" s="121" t="s">
        <v>409</v>
      </c>
      <c r="C210" s="1048"/>
      <c r="D210" s="175" t="str">
        <f>"(Note "&amp;B$288&amp;")"</f>
        <v>(Note I)</v>
      </c>
      <c r="E210" s="5"/>
      <c r="F210" s="15"/>
      <c r="G210" s="874"/>
      <c r="H210" s="53"/>
      <c r="I210" s="53"/>
      <c r="J210" s="53"/>
      <c r="K210" s="53"/>
    </row>
    <row r="211" spans="1:11" ht="15">
      <c r="A211" s="28">
        <f>+A208+1</f>
        <v>129</v>
      </c>
      <c r="B211" s="28"/>
      <c r="C211" s="1049" t="s">
        <v>453</v>
      </c>
      <c r="D211" s="785" t="s">
        <v>28</v>
      </c>
      <c r="E211" s="4" t="s">
        <v>7</v>
      </c>
      <c r="F211" s="15"/>
      <c r="G211" s="856">
        <f>-'1 - ADIT'!D111</f>
        <v>0</v>
      </c>
      <c r="H211" s="53"/>
      <c r="I211" s="53"/>
      <c r="J211" s="53"/>
      <c r="K211" s="53"/>
    </row>
    <row r="212" spans="1:11" ht="15">
      <c r="A212" s="28">
        <f>+A211+1</f>
        <v>130</v>
      </c>
      <c r="B212" s="28"/>
      <c r="C212" s="1048" t="s">
        <v>777</v>
      </c>
      <c r="D212" s="6"/>
      <c r="E212" s="22" t="str">
        <f>"1 / (1 - Line "&amp;A207&amp;")"</f>
        <v>1 / (1 - Line 127)</v>
      </c>
      <c r="F212" s="15"/>
      <c r="G212" s="859">
        <f>1/(1-G207)</f>
        <v>1.4063135038441579</v>
      </c>
      <c r="H212" s="887"/>
      <c r="I212" s="53"/>
      <c r="J212" s="1302"/>
      <c r="K212" s="956"/>
    </row>
    <row r="213" spans="1:7" s="76" customFormat="1" ht="15">
      <c r="A213" s="28">
        <f>+A212+1</f>
        <v>131</v>
      </c>
      <c r="B213" s="72"/>
      <c r="C213" s="137" t="s">
        <v>399</v>
      </c>
      <c r="D213" s="145"/>
      <c r="E213" s="101" t="str">
        <f>"(Line "&amp;A$23&amp;")"</f>
        <v>(Line 12)</v>
      </c>
      <c r="F213" s="75"/>
      <c r="G213" s="118">
        <f>+G23</f>
        <v>0.243716562484718</v>
      </c>
    </row>
    <row r="214" spans="1:13" ht="15">
      <c r="A214" s="28">
        <f>+A213+1</f>
        <v>132</v>
      </c>
      <c r="B214" s="28"/>
      <c r="C214" s="125" t="s">
        <v>410</v>
      </c>
      <c r="D214" s="175"/>
      <c r="E214" s="22" t="str">
        <f>"(Line "&amp;A211&amp;" * (1 + Line "&amp;A212&amp;") * Line "&amp;A213&amp;")"</f>
        <v>(Line 129 * (1 + Line 130) * Line 131)</v>
      </c>
      <c r="F214" s="77"/>
      <c r="G214" s="718">
        <f>+G211*(1+G212)*G213</f>
        <v>0</v>
      </c>
      <c r="H214" s="190"/>
      <c r="I214" s="1"/>
      <c r="J214" s="1"/>
      <c r="K214" s="64"/>
      <c r="M214" s="1186"/>
    </row>
    <row r="215" spans="1:11" ht="15">
      <c r="A215" s="28"/>
      <c r="B215" s="28"/>
      <c r="C215" s="141"/>
      <c r="D215" s="196"/>
      <c r="E215" s="193"/>
      <c r="F215" s="75"/>
      <c r="G215" s="194"/>
      <c r="H215" s="1"/>
      <c r="I215" s="1"/>
      <c r="J215" s="1"/>
      <c r="K215" s="1"/>
    </row>
    <row r="216" spans="1:11" ht="15">
      <c r="A216" s="63"/>
      <c r="B216" s="121" t="s">
        <v>881</v>
      </c>
      <c r="C216" s="121"/>
      <c r="D216" s="1187"/>
      <c r="E216" s="193"/>
      <c r="F216" s="75"/>
      <c r="G216" s="195"/>
      <c r="H216" s="1"/>
      <c r="I216" s="1"/>
      <c r="J216" s="1"/>
      <c r="K216" s="1"/>
    </row>
    <row r="217" spans="1:11" ht="15">
      <c r="A217" s="86" t="s">
        <v>882</v>
      </c>
      <c r="B217" s="84"/>
      <c r="C217" s="29" t="s">
        <v>881</v>
      </c>
      <c r="D217" s="175" t="str">
        <f>"(Note "&amp;B$304&amp;")"</f>
        <v>(Note S)</v>
      </c>
      <c r="E217" s="1188" t="s">
        <v>8</v>
      </c>
      <c r="F217" s="18"/>
      <c r="G217" s="1228">
        <f>'5 - Cost Support 1'!G304</f>
        <v>-3146608</v>
      </c>
      <c r="H217" s="190"/>
      <c r="I217" s="190"/>
      <c r="J217" s="1327"/>
      <c r="K217" s="190"/>
    </row>
    <row r="218" spans="1:11" ht="15">
      <c r="A218" s="84"/>
      <c r="B218" s="84"/>
      <c r="C218" s="1189"/>
      <c r="D218" s="183"/>
      <c r="E218" s="75"/>
      <c r="F218" s="75"/>
      <c r="G218" s="1190"/>
      <c r="H218" s="1"/>
      <c r="I218" s="1"/>
      <c r="J218" s="1"/>
      <c r="K218" s="1"/>
    </row>
    <row r="219" spans="1:11" ht="15">
      <c r="A219" s="28">
        <f>+A214+1</f>
        <v>133</v>
      </c>
      <c r="B219" s="1" t="s">
        <v>818</v>
      </c>
      <c r="C219" s="47"/>
      <c r="D219" s="183"/>
      <c r="E219" s="1191" t="str">
        <f>"[Line "&amp;A208&amp;" * Line "&amp;+A199&amp;" * (1 - (Line "&amp;A194&amp;" / Line "&amp;A197&amp;"))]"</f>
        <v>[Line 128 * Line 123 * (1 - (Line 119 / Line 122))]</v>
      </c>
      <c r="F219" s="75"/>
      <c r="G219" s="135">
        <f>IF(G197=0,0,G208*G199*(1-(G194/G197)))</f>
        <v>16151668.066080648</v>
      </c>
      <c r="H219" s="190"/>
      <c r="I219" s="1327"/>
      <c r="J219" s="1329"/>
      <c r="K219" s="1"/>
    </row>
    <row r="220" spans="1:11" ht="15">
      <c r="A220" s="84"/>
      <c r="B220" s="84"/>
      <c r="C220" s="1189"/>
      <c r="D220" s="183"/>
      <c r="E220" s="75"/>
      <c r="F220" s="75"/>
      <c r="G220" s="1190"/>
      <c r="H220" s="1"/>
      <c r="I220" s="1"/>
      <c r="J220" s="1"/>
      <c r="K220" s="1"/>
    </row>
    <row r="221" spans="1:11" ht="15.75" thickBot="1">
      <c r="A221" s="84">
        <f>A219+1</f>
        <v>134</v>
      </c>
      <c r="B221" s="104" t="s">
        <v>293</v>
      </c>
      <c r="C221" s="104"/>
      <c r="D221" s="156"/>
      <c r="E221" s="348" t="s">
        <v>1041</v>
      </c>
      <c r="F221" s="120"/>
      <c r="G221" s="144">
        <f>+G219+G217+G214</f>
        <v>13005060.066080648</v>
      </c>
      <c r="H221" s="135"/>
      <c r="J221" s="939"/>
      <c r="K221" s="956"/>
    </row>
    <row r="222" spans="1:7" ht="15" thickTop="1">
      <c r="A222" s="28"/>
      <c r="B222" s="28"/>
      <c r="C222" s="1059"/>
      <c r="E222" s="17"/>
      <c r="F222" s="7"/>
      <c r="G222" s="875"/>
    </row>
    <row r="223" spans="1:7" ht="15">
      <c r="A223" s="1053" t="s">
        <v>305</v>
      </c>
      <c r="B223" s="1044"/>
      <c r="C223" s="1054"/>
      <c r="D223" s="161"/>
      <c r="E223" s="115"/>
      <c r="F223" s="115"/>
      <c r="G223" s="116"/>
    </row>
    <row r="224" spans="1:3" ht="15">
      <c r="A224" s="84"/>
      <c r="B224" s="47"/>
      <c r="C224" s="47"/>
    </row>
    <row r="225" spans="1:10" ht="15">
      <c r="A225" s="84"/>
      <c r="B225" s="1" t="s">
        <v>294</v>
      </c>
      <c r="C225" s="76"/>
      <c r="J225" s="1230"/>
    </row>
    <row r="226" spans="1:7" ht="15">
      <c r="A226" s="84">
        <f>+A221+1</f>
        <v>135</v>
      </c>
      <c r="B226" s="47"/>
      <c r="C226" s="76" t="s">
        <v>295</v>
      </c>
      <c r="E226" s="22" t="str">
        <f>"(Line "&amp;A56&amp;")"</f>
        <v>(Line 33)</v>
      </c>
      <c r="G226" s="135">
        <f>+G56</f>
        <v>786463153.6929591</v>
      </c>
    </row>
    <row r="227" spans="1:11" ht="15">
      <c r="A227" s="28">
        <f>+A226+1</f>
        <v>136</v>
      </c>
      <c r="B227" s="47"/>
      <c r="C227" s="76" t="s">
        <v>432</v>
      </c>
      <c r="E227" s="101" t="str">
        <f>"(Line "&amp;A90&amp;")"</f>
        <v>(Line 50)</v>
      </c>
      <c r="G227" s="135">
        <f>+G90</f>
        <v>-135133723.81149688</v>
      </c>
      <c r="K227" s="53"/>
    </row>
    <row r="228" spans="1:11" ht="15">
      <c r="A228" s="28">
        <f>+A227+1</f>
        <v>137</v>
      </c>
      <c r="B228" s="28"/>
      <c r="C228" s="35" t="s">
        <v>436</v>
      </c>
      <c r="D228" s="170"/>
      <c r="E228" s="22" t="str">
        <f>"(Line "&amp;A92&amp;")"</f>
        <v>(Line 51)</v>
      </c>
      <c r="F228" s="126"/>
      <c r="G228" s="717">
        <f>+G92</f>
        <v>651329429.8814622</v>
      </c>
      <c r="K228" s="316"/>
    </row>
    <row r="229" spans="1:11" ht="15">
      <c r="A229" s="28"/>
      <c r="B229" s="28"/>
      <c r="C229" s="1056"/>
      <c r="D229" s="18"/>
      <c r="E229" s="29"/>
      <c r="F229" s="29"/>
      <c r="G229" s="135"/>
      <c r="K229" s="53"/>
    </row>
    <row r="230" spans="1:11" ht="15">
      <c r="A230" s="28">
        <f>+A228+1</f>
        <v>138</v>
      </c>
      <c r="C230" s="1056" t="s">
        <v>507</v>
      </c>
      <c r="E230" s="22" t="str">
        <f>"(Line "&amp;A126&amp;")"</f>
        <v>(Line 75)</v>
      </c>
      <c r="G230" s="135">
        <f>+G126</f>
        <v>33271368.59442833</v>
      </c>
      <c r="K230" s="316"/>
    </row>
    <row r="231" spans="1:11" ht="15">
      <c r="A231" s="28">
        <f>+A230+1</f>
        <v>139</v>
      </c>
      <c r="C231" s="73" t="s">
        <v>416</v>
      </c>
      <c r="E231" s="22" t="str">
        <f>"(Line "&amp;A148&amp;")"</f>
        <v>(Line 89)</v>
      </c>
      <c r="G231" s="135">
        <f>+G148</f>
        <v>39469453.337732896</v>
      </c>
      <c r="K231" s="316"/>
    </row>
    <row r="232" spans="1:11" ht="15">
      <c r="A232" s="28">
        <f>+A231+1</f>
        <v>140</v>
      </c>
      <c r="B232" s="28"/>
      <c r="C232" s="1056" t="s">
        <v>296</v>
      </c>
      <c r="D232" s="18"/>
      <c r="E232" s="22" t="str">
        <f>"(Line "&amp;A154&amp;")"</f>
        <v>(Line 91)</v>
      </c>
      <c r="F232" s="29"/>
      <c r="G232" s="135">
        <f>+G154</f>
        <v>1556805.4028851963</v>
      </c>
      <c r="K232" s="316"/>
    </row>
    <row r="233" spans="1:13" ht="15">
      <c r="A233" s="28">
        <f>+A232+1</f>
        <v>141</v>
      </c>
      <c r="B233" s="28"/>
      <c r="C233" s="1060" t="s">
        <v>497</v>
      </c>
      <c r="D233" s="18"/>
      <c r="E233" s="22" t="str">
        <f>"(Line "&amp;A199&amp;")"</f>
        <v>(Line 123)</v>
      </c>
      <c r="F233" s="29"/>
      <c r="G233" s="135">
        <f>+G199</f>
        <v>53520919.6105144</v>
      </c>
      <c r="K233" s="316"/>
      <c r="M233" s="135"/>
    </row>
    <row r="234" spans="1:13" ht="15">
      <c r="A234" s="28">
        <f>+A233+1</f>
        <v>142</v>
      </c>
      <c r="B234" s="28"/>
      <c r="C234" s="1060" t="s">
        <v>498</v>
      </c>
      <c r="D234" s="18"/>
      <c r="E234" s="22" t="str">
        <f>"(Line "&amp;A219&amp;")"</f>
        <v>(Line 133)</v>
      </c>
      <c r="F234" s="29"/>
      <c r="G234" s="135">
        <f>+G221</f>
        <v>13005060.066080648</v>
      </c>
      <c r="K234" s="316"/>
      <c r="M234" s="135"/>
    </row>
    <row r="235" spans="1:11" ht="15" thickBot="1">
      <c r="A235" s="28"/>
      <c r="B235" s="28"/>
      <c r="C235" s="1060"/>
      <c r="D235" s="18"/>
      <c r="E235" s="29"/>
      <c r="F235" s="29"/>
      <c r="G235" s="135"/>
      <c r="K235" s="53"/>
    </row>
    <row r="236" spans="1:11" ht="18" thickBot="1">
      <c r="A236" s="133">
        <f>+A234+1</f>
        <v>143</v>
      </c>
      <c r="B236" s="131"/>
      <c r="C236" s="1061" t="s">
        <v>499</v>
      </c>
      <c r="D236" s="171"/>
      <c r="E236" s="224" t="str">
        <f>"(Sum Lines "&amp;A230&amp;" to "&amp;A234&amp;")"</f>
        <v>(Sum Lines 138 to 142)</v>
      </c>
      <c r="F236" s="132"/>
      <c r="G236" s="716">
        <f>SUM(G234,G233,G232,G231,G230)</f>
        <v>140823607.01164147</v>
      </c>
      <c r="H236" s="298"/>
      <c r="K236" s="316"/>
    </row>
    <row r="237" spans="1:11" ht="17.25">
      <c r="A237" s="139"/>
      <c r="B237" s="185"/>
      <c r="C237" s="1062"/>
      <c r="D237" s="186"/>
      <c r="E237" s="79"/>
      <c r="F237" s="187"/>
      <c r="G237" s="876"/>
      <c r="K237" s="135"/>
    </row>
    <row r="238" spans="1:11" ht="17.25">
      <c r="A238" s="139"/>
      <c r="B238" s="141" t="s">
        <v>335</v>
      </c>
      <c r="C238" s="1062"/>
      <c r="D238" s="186"/>
      <c r="E238" s="79"/>
      <c r="F238" s="187"/>
      <c r="G238" s="876"/>
      <c r="K238" s="135"/>
    </row>
    <row r="239" spans="1:11" ht="17.25">
      <c r="A239" s="169">
        <f>+A236+1</f>
        <v>144</v>
      </c>
      <c r="B239" s="169"/>
      <c r="C239" s="1056" t="str">
        <f>+C28</f>
        <v>Transmission Plant In Service</v>
      </c>
      <c r="D239" s="186"/>
      <c r="E239" s="22" t="str">
        <f>"(Line "&amp;A28&amp;")"</f>
        <v>(Line 13)</v>
      </c>
      <c r="F239" s="187"/>
      <c r="G239" s="826">
        <f>+G28</f>
        <v>996230126</v>
      </c>
      <c r="K239" s="135"/>
    </row>
    <row r="240" spans="1:11" ht="17.25">
      <c r="A240" s="169">
        <f>+A239+1</f>
        <v>145</v>
      </c>
      <c r="B240" s="169"/>
      <c r="C240" s="1050" t="s">
        <v>336</v>
      </c>
      <c r="D240" s="181" t="str">
        <f>"(Note "&amp;B$297&amp;")"</f>
        <v>(Note M)</v>
      </c>
      <c r="E240" s="103" t="s">
        <v>8</v>
      </c>
      <c r="F240" s="828"/>
      <c r="G240" s="778">
        <f>'5 - Cost Support 1'!G218</f>
        <v>0</v>
      </c>
      <c r="K240" s="298"/>
    </row>
    <row r="241" spans="1:7" ht="17.25">
      <c r="A241" s="169">
        <f>+A240+1</f>
        <v>146</v>
      </c>
      <c r="B241" s="169"/>
      <c r="C241" s="1056" t="s">
        <v>337</v>
      </c>
      <c r="D241" s="189"/>
      <c r="E241" s="42" t="str">
        <f>"(Line "&amp;A239&amp;" - Line "&amp;A240&amp;")"</f>
        <v>(Line 144 - Line 145)</v>
      </c>
      <c r="F241" s="187"/>
      <c r="G241" s="826">
        <f>+G239-G240</f>
        <v>996230126</v>
      </c>
    </row>
    <row r="242" spans="1:7" ht="17.25">
      <c r="A242" s="169">
        <f>+A241+1</f>
        <v>147</v>
      </c>
      <c r="B242" s="169"/>
      <c r="C242" s="1056" t="s">
        <v>338</v>
      </c>
      <c r="D242" s="186"/>
      <c r="E242" s="42" t="str">
        <f>"(Line "&amp;A241&amp;" / Line "&amp;A239&amp;")"</f>
        <v>(Line 146 / Line 144)</v>
      </c>
      <c r="F242" s="187"/>
      <c r="G242" s="877">
        <f>IF(G239=0,0,G241/G239)</f>
        <v>1</v>
      </c>
    </row>
    <row r="243" spans="1:7" ht="17.25">
      <c r="A243" s="169">
        <f>+A242+1</f>
        <v>148</v>
      </c>
      <c r="B243" s="169"/>
      <c r="C243" s="1050" t="s">
        <v>499</v>
      </c>
      <c r="D243" s="188"/>
      <c r="E243" s="103" t="str">
        <f>"(Line "&amp;A236&amp;")"</f>
        <v>(Line 143)</v>
      </c>
      <c r="F243" s="828"/>
      <c r="G243" s="878">
        <f>+G236</f>
        <v>140823607.01164147</v>
      </c>
    </row>
    <row r="244" spans="1:7" ht="17.25">
      <c r="A244" s="169">
        <f>+A243+1</f>
        <v>149</v>
      </c>
      <c r="B244" s="169"/>
      <c r="C244" s="46" t="s">
        <v>339</v>
      </c>
      <c r="D244" s="186"/>
      <c r="E244" s="42" t="str">
        <f>"(Line "&amp;A242&amp;" * Line "&amp;A243&amp;")"</f>
        <v>(Line 147 * Line 148)</v>
      </c>
      <c r="F244" s="187"/>
      <c r="G244" s="715">
        <f>+G243*G242</f>
        <v>140823607.01164147</v>
      </c>
    </row>
    <row r="245" spans="1:7" ht="15">
      <c r="A245" s="71"/>
      <c r="B245" s="71"/>
      <c r="C245" s="98"/>
      <c r="D245" s="86"/>
      <c r="E245" s="52"/>
      <c r="F245" s="52"/>
      <c r="G245" s="223"/>
    </row>
    <row r="246" spans="1:10" ht="15">
      <c r="A246" s="71">
        <f>A244+1</f>
        <v>150</v>
      </c>
      <c r="B246" s="71"/>
      <c r="C246" s="191" t="s">
        <v>271</v>
      </c>
      <c r="D246" s="91"/>
      <c r="E246" s="24" t="s">
        <v>272</v>
      </c>
      <c r="F246" s="24"/>
      <c r="G246" s="223">
        <f>'3 - Revenue Credits'!D21</f>
        <v>2890129.37</v>
      </c>
      <c r="J246" s="122"/>
    </row>
    <row r="247" spans="1:7" ht="15.75" thickBot="1">
      <c r="A247" s="71"/>
      <c r="B247" s="71"/>
      <c r="C247" s="98"/>
      <c r="D247" s="86"/>
      <c r="E247" s="52"/>
      <c r="F247" s="52"/>
      <c r="G247" s="223"/>
    </row>
    <row r="248" spans="1:8" s="1" customFormat="1" ht="18" thickBot="1">
      <c r="A248" s="338">
        <f>+A246+1</f>
        <v>151</v>
      </c>
      <c r="B248" s="1089"/>
      <c r="C248" s="1090" t="s">
        <v>506</v>
      </c>
      <c r="D248" s="1091"/>
      <c r="E248" s="1092" t="str">
        <f>"(Line "&amp;A244&amp;" - Line "&amp;A246&amp;")"</f>
        <v>(Line 149 - Line 150)</v>
      </c>
      <c r="F248" s="1093"/>
      <c r="G248" s="1094">
        <f>+G244-G246</f>
        <v>137933477.64164147</v>
      </c>
      <c r="H248" s="295"/>
    </row>
    <row r="249" spans="1:7" ht="15">
      <c r="A249" s="364"/>
      <c r="B249" s="71"/>
      <c r="C249" s="98"/>
      <c r="D249" s="86"/>
      <c r="E249" s="52"/>
      <c r="F249" s="52"/>
      <c r="G249" s="1095"/>
    </row>
    <row r="250" spans="1:7" ht="15">
      <c r="A250" s="71"/>
      <c r="B250" s="191" t="s">
        <v>441</v>
      </c>
      <c r="C250" s="53"/>
      <c r="D250" s="86"/>
      <c r="E250" s="52"/>
      <c r="F250" s="52"/>
      <c r="G250" s="1095"/>
    </row>
    <row r="251" spans="1:7" ht="15">
      <c r="A251" s="71">
        <f>+A248+1</f>
        <v>152</v>
      </c>
      <c r="B251" s="71"/>
      <c r="C251" s="98" t="str">
        <f>+C236</f>
        <v>Gross Revenue Requirement</v>
      </c>
      <c r="D251" s="86"/>
      <c r="E251" s="52" t="str">
        <f>"(Line "&amp;A236&amp;")"</f>
        <v>(Line 143)</v>
      </c>
      <c r="F251" s="52"/>
      <c r="G251" s="223">
        <f>+G236</f>
        <v>140823607.01164147</v>
      </c>
    </row>
    <row r="252" spans="1:7" ht="15">
      <c r="A252" s="71">
        <f>+A251+1</f>
        <v>153</v>
      </c>
      <c r="B252" s="71"/>
      <c r="C252" s="98" t="s">
        <v>562</v>
      </c>
      <c r="D252" s="86"/>
      <c r="E252" s="52" t="str">
        <f>"(Line "&amp;A28&amp;" - Line "&amp;A42&amp;")"</f>
        <v>(Line 13 - Line 22)</v>
      </c>
      <c r="F252" s="52"/>
      <c r="G252" s="223">
        <f>+G28-G42</f>
        <v>702259586</v>
      </c>
    </row>
    <row r="253" spans="1:7" ht="15">
      <c r="A253" s="71">
        <f>+A252+1</f>
        <v>154</v>
      </c>
      <c r="B253" s="71"/>
      <c r="C253" s="98" t="s">
        <v>443</v>
      </c>
      <c r="D253" s="86"/>
      <c r="E253" s="52" t="str">
        <f>"(Line "&amp;A251&amp;" / Line "&amp;A252&amp;")"</f>
        <v>(Line 152 / Line 153)</v>
      </c>
      <c r="F253" s="52"/>
      <c r="G253" s="1095">
        <f>IF(G252=0,0,G251/G252)</f>
        <v>0.20052927694979372</v>
      </c>
    </row>
    <row r="254" spans="1:7" ht="15">
      <c r="A254" s="71">
        <f>+A253+1</f>
        <v>155</v>
      </c>
      <c r="B254" s="71"/>
      <c r="C254" s="98" t="s">
        <v>444</v>
      </c>
      <c r="D254" s="86"/>
      <c r="E254" s="52" t="str">
        <f>"(Line "&amp;A251&amp;" - Line "&amp;A131&amp;") / Line "&amp;A252</f>
        <v>(Line 152 - Line 76) / Line 153</v>
      </c>
      <c r="F254" s="52"/>
      <c r="G254" s="1095">
        <f>IF(G252=0,0,(G251-G131)/G252)</f>
        <v>0.16383434222889692</v>
      </c>
    </row>
    <row r="255" spans="1:7" ht="15">
      <c r="A255" s="71">
        <f>+A254+1</f>
        <v>156</v>
      </c>
      <c r="B255" s="71"/>
      <c r="C255" s="98" t="s">
        <v>40</v>
      </c>
      <c r="D255" s="86"/>
      <c r="E255" s="63" t="str">
        <f>"(Line "&amp;A251&amp;" - Line "&amp;A131&amp;" - Line "&amp;A199&amp;" - Line "&amp;A219&amp;") / Line "&amp;A252</f>
        <v>(Line 152 - Line 76 - Line 123 - Line 133) / Line 153</v>
      </c>
      <c r="F255" s="52"/>
      <c r="G255" s="1095">
        <f>IF(G252=0,0,(G251-G131-G199-G221)/G252)</f>
        <v>0.06910301922123199</v>
      </c>
    </row>
    <row r="256" spans="1:7" ht="15">
      <c r="A256" s="71"/>
      <c r="B256" s="71"/>
      <c r="C256" s="98"/>
      <c r="D256" s="86"/>
      <c r="E256" s="52"/>
      <c r="F256" s="52"/>
      <c r="G256" s="1095"/>
    </row>
    <row r="257" spans="1:7" ht="15">
      <c r="A257" s="71"/>
      <c r="B257" s="71"/>
      <c r="C257" s="98"/>
      <c r="D257" s="86"/>
      <c r="E257" s="52"/>
      <c r="F257" s="52"/>
      <c r="G257" s="1095"/>
    </row>
    <row r="258" spans="1:7" ht="15">
      <c r="A258" s="71"/>
      <c r="B258" s="191" t="s">
        <v>442</v>
      </c>
      <c r="C258" s="98"/>
      <c r="D258" s="86"/>
      <c r="E258" s="52"/>
      <c r="F258" s="52"/>
      <c r="G258" s="1095"/>
    </row>
    <row r="259" spans="1:7" ht="15">
      <c r="A259" s="71">
        <f>+A255+1</f>
        <v>157</v>
      </c>
      <c r="B259" s="71"/>
      <c r="C259" s="98" t="s">
        <v>573</v>
      </c>
      <c r="D259" s="86"/>
      <c r="E259" s="52" t="str">
        <f>"(Line "&amp;A236&amp;" - Line "&amp;A233&amp;" - Line "&amp;A234&amp;")"</f>
        <v>(Line 143 - Line 141 - Line 142)</v>
      </c>
      <c r="F259" s="52"/>
      <c r="G259" s="223">
        <f>+G236-G233-G234</f>
        <v>74297627.33504643</v>
      </c>
    </row>
    <row r="260" spans="1:13" ht="15">
      <c r="A260" s="71">
        <f>+A259+1</f>
        <v>158</v>
      </c>
      <c r="B260" s="28"/>
      <c r="C260" s="98" t="s">
        <v>664</v>
      </c>
      <c r="E260" s="52" t="s">
        <v>41</v>
      </c>
      <c r="F260" s="29"/>
      <c r="G260" s="929">
        <f>+'4 - 100 Basis Pt ROE'!G1</f>
        <v>71429787.25116625</v>
      </c>
      <c r="L260" s="53"/>
      <c r="M260" s="53"/>
    </row>
    <row r="261" spans="1:13" ht="15">
      <c r="A261" s="71">
        <f>+A260+1</f>
        <v>159</v>
      </c>
      <c r="B261" s="28"/>
      <c r="C261" s="98" t="s">
        <v>42</v>
      </c>
      <c r="E261" s="52" t="str">
        <f>"(Line "&amp;A259&amp;" + Line "&amp;A260&amp;")"</f>
        <v>(Line 157 + Line 158)</v>
      </c>
      <c r="F261" s="29"/>
      <c r="G261" s="214">
        <f>+G260+G259</f>
        <v>145727414.5862127</v>
      </c>
      <c r="L261" s="53"/>
      <c r="M261" s="53"/>
    </row>
    <row r="262" spans="1:13" ht="15">
      <c r="A262" s="71">
        <f>+A261+1</f>
        <v>160</v>
      </c>
      <c r="B262" s="28"/>
      <c r="C262" s="98" t="str">
        <f>+C252</f>
        <v>Net Transmission Plant</v>
      </c>
      <c r="E262" s="29" t="str">
        <f>"(Line "&amp;A28&amp;" - Line "&amp;A42&amp;")"</f>
        <v>(Line 13 - Line 22)</v>
      </c>
      <c r="F262" s="29"/>
      <c r="G262" s="214">
        <f>+G252</f>
        <v>702259586</v>
      </c>
      <c r="L262" s="53"/>
      <c r="M262" s="53"/>
    </row>
    <row r="263" spans="1:13" ht="15">
      <c r="A263" s="71">
        <f>+A262+1</f>
        <v>161</v>
      </c>
      <c r="B263" s="28"/>
      <c r="C263" s="98" t="s">
        <v>445</v>
      </c>
      <c r="E263" s="29" t="str">
        <f>"(Line "&amp;A261&amp;" / Line "&amp;A262&amp;")"</f>
        <v>(Line 159 / Line 160)</v>
      </c>
      <c r="F263" s="29"/>
      <c r="G263" s="37">
        <f>IF(G262=0,0,G261/G262)</f>
        <v>0.20751217568458039</v>
      </c>
      <c r="H263" s="559"/>
      <c r="L263" s="53"/>
      <c r="M263" s="53"/>
    </row>
    <row r="264" spans="1:13" ht="15">
      <c r="A264" s="71">
        <f>+A263+1</f>
        <v>162</v>
      </c>
      <c r="B264" s="71"/>
      <c r="C264" s="98" t="s">
        <v>446</v>
      </c>
      <c r="D264" s="86"/>
      <c r="E264" s="52" t="str">
        <f>"(Line "&amp;A261&amp;" - Line "&amp;A131&amp;") / Line "&amp;A262</f>
        <v>(Line 159 - Line 76) / Line 160</v>
      </c>
      <c r="F264" s="52"/>
      <c r="G264" s="1095">
        <f>IF(G262=0,0,(G261-G131)/G262)</f>
        <v>0.17081724096368361</v>
      </c>
      <c r="H264" s="559"/>
      <c r="L264" s="53"/>
      <c r="M264" s="53"/>
    </row>
    <row r="265" spans="1:13" ht="15">
      <c r="A265" s="71"/>
      <c r="B265" s="28"/>
      <c r="C265" s="98"/>
      <c r="E265" s="29"/>
      <c r="F265" s="29"/>
      <c r="G265" s="37"/>
      <c r="L265" s="53"/>
      <c r="M265" s="53"/>
    </row>
    <row r="266" spans="1:13" ht="15">
      <c r="A266" s="71">
        <f>+A264+1</f>
        <v>163</v>
      </c>
      <c r="B266" s="28"/>
      <c r="C266" s="191" t="s">
        <v>506</v>
      </c>
      <c r="D266" s="86"/>
      <c r="E266" s="29" t="str">
        <f>"(Line "&amp;A248&amp;")"</f>
        <v>(Line 151)</v>
      </c>
      <c r="F266" s="29"/>
      <c r="G266" s="223">
        <f>+G248</f>
        <v>137933477.64164147</v>
      </c>
      <c r="K266" s="416"/>
      <c r="L266" s="53"/>
      <c r="M266" s="53"/>
    </row>
    <row r="267" spans="1:13" ht="15">
      <c r="A267" s="71">
        <f>+A266+1</f>
        <v>164</v>
      </c>
      <c r="B267" s="28"/>
      <c r="C267" s="98" t="s">
        <v>43</v>
      </c>
      <c r="D267" s="86"/>
      <c r="E267" s="52" t="s">
        <v>6</v>
      </c>
      <c r="F267" s="29"/>
      <c r="G267" s="879">
        <f>IF(I1=1,0,K267)</f>
        <v>-4946996.6870672265</v>
      </c>
      <c r="I267" s="659" t="s">
        <v>227</v>
      </c>
      <c r="K267" s="1040">
        <v>-4946996.6870672265</v>
      </c>
      <c r="M267" s="1040"/>
    </row>
    <row r="268" spans="1:9" ht="15">
      <c r="A268" s="71">
        <f>+A267+1</f>
        <v>165</v>
      </c>
      <c r="B268" s="28"/>
      <c r="C268" s="98" t="s">
        <v>665</v>
      </c>
      <c r="D268" s="269"/>
      <c r="E268" s="283" t="s">
        <v>25</v>
      </c>
      <c r="F268" s="29"/>
      <c r="G268" s="879">
        <f>'7 - Cap Add WS'!K2</f>
        <v>3032906.2750277743</v>
      </c>
      <c r="I268" s="298"/>
    </row>
    <row r="269" spans="1:10" ht="15">
      <c r="A269" s="71">
        <f>+A268+1</f>
        <v>166</v>
      </c>
      <c r="B269" s="28"/>
      <c r="C269" s="74" t="s">
        <v>284</v>
      </c>
      <c r="D269" s="175"/>
      <c r="E269" s="74" t="s">
        <v>48</v>
      </c>
      <c r="F269" s="29"/>
      <c r="G269" s="879">
        <f>+'5 - Cost Support 1'!G293</f>
        <v>0</v>
      </c>
      <c r="J269" s="122"/>
    </row>
    <row r="270" spans="1:11" ht="15">
      <c r="A270" s="71"/>
      <c r="B270" s="71"/>
      <c r="H270" s="298"/>
      <c r="J270" s="122"/>
      <c r="K270" s="298"/>
    </row>
    <row r="271" spans="1:10" ht="15">
      <c r="A271" s="71">
        <f>+A269+1</f>
        <v>167</v>
      </c>
      <c r="B271" s="28"/>
      <c r="C271" s="191" t="s">
        <v>586</v>
      </c>
      <c r="D271" s="86"/>
      <c r="E271" s="337" t="str">
        <f>"Sum (Lines "&amp;A266&amp;" to "&amp;A269&amp;")"</f>
        <v>Sum (Lines 163 to 166)</v>
      </c>
      <c r="F271" s="29"/>
      <c r="G271" s="223">
        <f>+SUM(G266:G269)</f>
        <v>136019387.229602</v>
      </c>
      <c r="H271" s="223"/>
      <c r="J271" s="298"/>
    </row>
    <row r="272" spans="1:7" ht="15">
      <c r="A272" s="71"/>
      <c r="B272" s="28"/>
      <c r="C272" s="98"/>
      <c r="E272" s="29"/>
      <c r="F272" s="29"/>
      <c r="G272" s="37"/>
    </row>
    <row r="273" spans="1:7" ht="15">
      <c r="A273" s="71"/>
      <c r="B273" s="95" t="s">
        <v>585</v>
      </c>
      <c r="C273" s="98"/>
      <c r="E273" s="29"/>
      <c r="F273" s="29"/>
      <c r="G273" s="37"/>
    </row>
    <row r="274" spans="1:10" ht="15">
      <c r="A274" s="71">
        <f>+A271+1</f>
        <v>168</v>
      </c>
      <c r="B274" s="28"/>
      <c r="C274" s="29" t="s">
        <v>418</v>
      </c>
      <c r="D274" s="175" t="str">
        <f>"(Note "&amp;B$296&amp;")"</f>
        <v>(Note L)</v>
      </c>
      <c r="E274" s="58" t="s">
        <v>8</v>
      </c>
      <c r="F274" s="58"/>
      <c r="G274" s="1309">
        <f>+'5 - Cost Support 1'!G298</f>
        <v>2667</v>
      </c>
      <c r="J274" s="122"/>
    </row>
    <row r="275" spans="1:10" ht="15">
      <c r="A275" s="71">
        <f>+A274+1</f>
        <v>169</v>
      </c>
      <c r="B275" s="28"/>
      <c r="C275" s="29" t="s">
        <v>417</v>
      </c>
      <c r="D275" s="240"/>
      <c r="E275" s="42" t="str">
        <f>"(Line "&amp;A271&amp;" / Line "&amp;A274&amp;")"</f>
        <v>(Line 167 / Line 168)</v>
      </c>
      <c r="F275" s="127"/>
      <c r="G275" s="1310">
        <f>IF(G274=0,0,G271/G274)</f>
        <v>51000.895099213354</v>
      </c>
      <c r="J275" s="298"/>
    </row>
    <row r="276" spans="1:7" ht="15.75" thickBot="1">
      <c r="A276" s="71"/>
      <c r="B276" s="28"/>
      <c r="D276" s="172"/>
      <c r="E276" s="127"/>
      <c r="F276" s="127"/>
      <c r="G276" s="713"/>
    </row>
    <row r="277" spans="1:8" s="76" customFormat="1" ht="18" thickBot="1">
      <c r="A277" s="338">
        <f>+A275+1</f>
        <v>170</v>
      </c>
      <c r="B277" s="140"/>
      <c r="C277" s="134" t="s">
        <v>514</v>
      </c>
      <c r="D277" s="140"/>
      <c r="E277" s="140" t="str">
        <f>"(Line "&amp;A275&amp;")"</f>
        <v>(Line 169)</v>
      </c>
      <c r="F277" s="140"/>
      <c r="G277" s="714">
        <f>+G275</f>
        <v>51000.895099213354</v>
      </c>
      <c r="H277" s="299"/>
    </row>
    <row r="278" spans="1:8" s="76" customFormat="1" ht="15">
      <c r="A278" s="364"/>
      <c r="B278" s="72"/>
      <c r="C278" s="138"/>
      <c r="D278" s="172"/>
      <c r="E278" s="844"/>
      <c r="F278" s="844"/>
      <c r="G278" s="845"/>
      <c r="H278" s="300"/>
    </row>
    <row r="279" spans="1:8" s="76" customFormat="1" ht="17.25">
      <c r="A279" s="365"/>
      <c r="B279" s="141" t="s">
        <v>503</v>
      </c>
      <c r="C279" s="138"/>
      <c r="D279" s="172"/>
      <c r="E279" s="844"/>
      <c r="F279" s="844"/>
      <c r="G279" s="846"/>
      <c r="H279" s="299"/>
    </row>
    <row r="280" spans="1:8" s="76" customFormat="1" ht="15">
      <c r="A280" s="326"/>
      <c r="B280" s="665" t="s">
        <v>318</v>
      </c>
      <c r="C280" s="229" t="s">
        <v>460</v>
      </c>
      <c r="D280" s="176"/>
      <c r="E280" s="177"/>
      <c r="F280" s="177"/>
      <c r="G280" s="849"/>
      <c r="H280" s="301"/>
    </row>
    <row r="281" spans="1:7" s="76" customFormat="1" ht="114" customHeight="1">
      <c r="A281" s="326"/>
      <c r="B281" s="665" t="s">
        <v>450</v>
      </c>
      <c r="C281" s="1372" t="s">
        <v>228</v>
      </c>
      <c r="D281" s="1372"/>
      <c r="E281" s="1372"/>
      <c r="F281" s="177"/>
      <c r="G281" s="748"/>
    </row>
    <row r="282" spans="1:8" s="76" customFormat="1" ht="15">
      <c r="A282" s="326"/>
      <c r="B282" s="665" t="s">
        <v>299</v>
      </c>
      <c r="C282" s="178" t="s">
        <v>461</v>
      </c>
      <c r="D282" s="238"/>
      <c r="E282" s="239"/>
      <c r="F282" s="239"/>
      <c r="G282" s="749"/>
      <c r="H282" s="300"/>
    </row>
    <row r="283" spans="1:8" s="76" customFormat="1" ht="15">
      <c r="A283" s="326"/>
      <c r="B283" s="665" t="s">
        <v>319</v>
      </c>
      <c r="C283" s="179" t="s">
        <v>345</v>
      </c>
      <c r="D283" s="238"/>
      <c r="E283" s="239"/>
      <c r="F283" s="239"/>
      <c r="G283" s="749"/>
      <c r="H283" s="300"/>
    </row>
    <row r="284" spans="1:8" s="76" customFormat="1" ht="15">
      <c r="A284" s="326"/>
      <c r="B284" s="665" t="s">
        <v>317</v>
      </c>
      <c r="C284" s="180" t="s">
        <v>346</v>
      </c>
      <c r="D284" s="238"/>
      <c r="E284" s="239"/>
      <c r="F284" s="239"/>
      <c r="G284" s="749"/>
      <c r="H284" s="300"/>
    </row>
    <row r="285" spans="1:8" s="76" customFormat="1" ht="15">
      <c r="A285" s="326"/>
      <c r="B285" s="665" t="s">
        <v>606</v>
      </c>
      <c r="C285" s="179" t="s">
        <v>347</v>
      </c>
      <c r="D285" s="238"/>
      <c r="E285" s="239"/>
      <c r="F285" s="239"/>
      <c r="G285" s="749"/>
      <c r="H285" s="300"/>
    </row>
    <row r="286" spans="1:8" s="76" customFormat="1" ht="15">
      <c r="A286" s="326"/>
      <c r="B286" s="665" t="s">
        <v>320</v>
      </c>
      <c r="C286" s="179" t="s">
        <v>459</v>
      </c>
      <c r="D286" s="238"/>
      <c r="E286" s="239"/>
      <c r="F286" s="239"/>
      <c r="G286" s="749"/>
      <c r="H286" s="300"/>
    </row>
    <row r="287" spans="1:8" s="76" customFormat="1" ht="15">
      <c r="A287" s="326"/>
      <c r="B287" s="665" t="s">
        <v>84</v>
      </c>
      <c r="C287" s="179" t="s">
        <v>348</v>
      </c>
      <c r="D287" s="238"/>
      <c r="E287" s="239"/>
      <c r="F287" s="239"/>
      <c r="G287" s="749"/>
      <c r="H287" s="300"/>
    </row>
    <row r="288" spans="1:8" s="76" customFormat="1" ht="15">
      <c r="A288" s="326"/>
      <c r="B288" s="665" t="s">
        <v>306</v>
      </c>
      <c r="C288" s="179" t="s">
        <v>323</v>
      </c>
      <c r="D288" s="238"/>
      <c r="E288" s="239"/>
      <c r="F288" s="239"/>
      <c r="G288" s="749"/>
      <c r="H288" s="300"/>
    </row>
    <row r="289" spans="1:8" s="76" customFormat="1" ht="15">
      <c r="A289" s="326"/>
      <c r="B289" s="665"/>
      <c r="C289" s="179" t="s">
        <v>86</v>
      </c>
      <c r="D289" s="238"/>
      <c r="E289" s="239"/>
      <c r="F289" s="239"/>
      <c r="G289" s="749"/>
      <c r="H289" s="300"/>
    </row>
    <row r="290" spans="1:8" s="76" customFormat="1" ht="15">
      <c r="A290" s="326"/>
      <c r="B290" s="665"/>
      <c r="C290" s="179" t="s">
        <v>699</v>
      </c>
      <c r="D290" s="238"/>
      <c r="E290" s="239"/>
      <c r="F290" s="239"/>
      <c r="G290" s="749"/>
      <c r="H290" s="300"/>
    </row>
    <row r="291" spans="1:8" s="76" customFormat="1" ht="15">
      <c r="A291" s="326"/>
      <c r="B291" s="665"/>
      <c r="C291" s="179" t="s">
        <v>700</v>
      </c>
      <c r="D291" s="238"/>
      <c r="E291" s="239"/>
      <c r="F291" s="239"/>
      <c r="G291" s="749"/>
      <c r="H291" s="300"/>
    </row>
    <row r="292" spans="1:9" s="76" customFormat="1" ht="15">
      <c r="A292" s="326"/>
      <c r="B292" s="665"/>
      <c r="C292" s="179" t="s">
        <v>701</v>
      </c>
      <c r="D292" s="238"/>
      <c r="E292" s="239"/>
      <c r="F292" s="239"/>
      <c r="G292" s="749"/>
      <c r="H292" s="300"/>
      <c r="I292" s="98"/>
    </row>
    <row r="293" spans="1:8" s="76" customFormat="1" ht="15">
      <c r="A293" s="326"/>
      <c r="B293" s="665"/>
      <c r="C293" s="179" t="s">
        <v>702</v>
      </c>
      <c r="D293" s="238"/>
      <c r="E293" s="239"/>
      <c r="F293" s="239"/>
      <c r="G293" s="749"/>
      <c r="H293" s="300"/>
    </row>
    <row r="294" spans="1:8" s="76" customFormat="1" ht="15">
      <c r="A294" s="326"/>
      <c r="B294" s="665" t="s">
        <v>308</v>
      </c>
      <c r="C294" s="179" t="s">
        <v>458</v>
      </c>
      <c r="D294" s="238"/>
      <c r="E294" s="239"/>
      <c r="F294" s="239"/>
      <c r="G294" s="749"/>
      <c r="H294" s="300"/>
    </row>
    <row r="295" spans="1:8" s="76" customFormat="1" ht="15">
      <c r="A295" s="326"/>
      <c r="B295" s="665" t="s">
        <v>322</v>
      </c>
      <c r="C295" s="229" t="s">
        <v>457</v>
      </c>
      <c r="D295" s="238"/>
      <c r="E295" s="239"/>
      <c r="F295" s="239"/>
      <c r="G295" s="749"/>
      <c r="H295" s="300"/>
    </row>
    <row r="296" spans="1:8" s="76" customFormat="1" ht="15">
      <c r="A296" s="326"/>
      <c r="B296" s="665" t="s">
        <v>423</v>
      </c>
      <c r="C296" s="229" t="s">
        <v>349</v>
      </c>
      <c r="D296" s="238"/>
      <c r="E296" s="239"/>
      <c r="F296" s="239"/>
      <c r="G296" s="749"/>
      <c r="H296" s="300"/>
    </row>
    <row r="297" spans="1:8" ht="15">
      <c r="A297" s="327"/>
      <c r="B297" s="638" t="s">
        <v>424</v>
      </c>
      <c r="C297" s="180" t="s">
        <v>570</v>
      </c>
      <c r="D297" s="238"/>
      <c r="E297" s="239"/>
      <c r="F297" s="239"/>
      <c r="G297" s="749"/>
      <c r="H297" s="300"/>
    </row>
    <row r="298" spans="1:8" ht="30.75" customHeight="1">
      <c r="A298" s="327"/>
      <c r="B298" s="638" t="s">
        <v>607</v>
      </c>
      <c r="C298" s="1373"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8" s="1376"/>
      <c r="E298" s="1376"/>
      <c r="F298" s="1373"/>
      <c r="G298" s="1376"/>
      <c r="H298" s="300"/>
    </row>
    <row r="299" spans="1:8" ht="30.75" customHeight="1">
      <c r="A299" s="327"/>
      <c r="B299" s="638" t="s">
        <v>662</v>
      </c>
      <c r="C299" s="1373" t="s">
        <v>371</v>
      </c>
      <c r="D299" s="1374"/>
      <c r="E299" s="1374"/>
      <c r="F299" s="1374"/>
      <c r="G299" s="646"/>
      <c r="H299" s="300"/>
    </row>
    <row r="300" spans="1:7" s="76" customFormat="1" ht="30.75" customHeight="1">
      <c r="A300" s="327"/>
      <c r="C300" s="1373" t="str">
        <f>"The input value on line "&amp;A170&amp;" -- Proprietary Capital -- shall be adjusted so that the equity percentage shown on line "&amp;A188&amp;"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300" s="1375"/>
      <c r="E300" s="1375"/>
      <c r="F300" s="326"/>
      <c r="G300" s="326"/>
    </row>
    <row r="301" spans="1:7" s="76" customFormat="1" ht="18.75" customHeight="1">
      <c r="A301" s="327"/>
      <c r="B301" s="638" t="s">
        <v>343</v>
      </c>
      <c r="C301" s="1377" t="s">
        <v>480</v>
      </c>
      <c r="D301" s="1377"/>
      <c r="E301" s="1377"/>
      <c r="F301" s="1378"/>
      <c r="G301" s="1378"/>
    </row>
    <row r="302" spans="1:14" s="76" customFormat="1" ht="30.75" customHeight="1">
      <c r="A302" s="327"/>
      <c r="B302" s="638" t="s">
        <v>292</v>
      </c>
      <c r="C302" s="1373" t="s">
        <v>372</v>
      </c>
      <c r="D302" s="1375"/>
      <c r="E302" s="1375"/>
      <c r="F302" s="326"/>
      <c r="G302" s="326"/>
      <c r="K302" s="1192"/>
      <c r="L302" s="1193"/>
      <c r="M302" s="1192"/>
      <c r="N302" s="1194"/>
    </row>
    <row r="303" spans="1:13" s="76" customFormat="1" ht="63" customHeight="1">
      <c r="A303" s="327"/>
      <c r="B303" s="1338" t="s">
        <v>883</v>
      </c>
      <c r="C303" s="1370" t="s">
        <v>1040</v>
      </c>
      <c r="D303" s="1370"/>
      <c r="E303" s="1370"/>
      <c r="F303" s="326"/>
      <c r="H303" s="1311"/>
      <c r="I303" s="1311"/>
      <c r="J303" s="1312"/>
      <c r="K303" s="1313"/>
      <c r="L303" s="1314"/>
      <c r="M303" s="98"/>
    </row>
    <row r="304" spans="1:14" s="76" customFormat="1" ht="48" customHeight="1">
      <c r="A304" s="327"/>
      <c r="B304" s="1338" t="s">
        <v>1038</v>
      </c>
      <c r="C304" s="1370" t="s">
        <v>1039</v>
      </c>
      <c r="D304" s="1370"/>
      <c r="E304" s="1370"/>
      <c r="F304" s="326"/>
      <c r="G304" s="326"/>
      <c r="K304" s="1185"/>
      <c r="L304" s="1194"/>
      <c r="M304" s="1192"/>
      <c r="N304" s="1194"/>
    </row>
    <row r="305" spans="1:7" ht="15">
      <c r="A305" s="129" t="s">
        <v>298</v>
      </c>
      <c r="B305" s="128"/>
      <c r="C305" s="115"/>
      <c r="D305" s="173"/>
      <c r="E305" s="114"/>
      <c r="F305" s="52"/>
      <c r="G305" s="53"/>
    </row>
    <row r="306" spans="2:4" ht="49.5" customHeight="1">
      <c r="B306" s="47"/>
      <c r="C306" s="47"/>
      <c r="D306" s="47"/>
    </row>
    <row r="307" spans="1:3" ht="15">
      <c r="A307" s="49"/>
      <c r="B307" s="28"/>
      <c r="C307" s="47"/>
    </row>
    <row r="308" ht="15">
      <c r="G308" s="124"/>
    </row>
    <row r="309" spans="3:7" ht="16.5">
      <c r="C309" s="672"/>
      <c r="G309" s="123"/>
    </row>
    <row r="310" ht="15">
      <c r="G310" s="122"/>
    </row>
  </sheetData>
  <sheetProtection/>
  <mergeCells count="10">
    <mergeCell ref="C304:E304"/>
    <mergeCell ref="C303:E303"/>
    <mergeCell ref="J159:K159"/>
    <mergeCell ref="C281:E281"/>
    <mergeCell ref="C299:F299"/>
    <mergeCell ref="C302:E302"/>
    <mergeCell ref="C300:E300"/>
    <mergeCell ref="C298:E298"/>
    <mergeCell ref="F298:G298"/>
    <mergeCell ref="C301:G301"/>
  </mergeCells>
  <printOptions/>
  <pageMargins left="0.5" right="0.25" top="1" bottom="0.75" header="0.5" footer="0.5"/>
  <pageSetup fitToHeight="0" fitToWidth="1" horizontalDpi="600" verticalDpi="600" orientation="portrait" scale="51" r:id="rId1"/>
  <headerFooter alignWithMargins="0">
    <oddHeader>&amp;CDuquesne Light Company
Attachment H -17A&amp;RPage &amp;P of &amp;N</oddHeader>
  </headerFooter>
  <rowBreaks count="5" manualBreakCount="5">
    <brk id="57" max="6" man="1"/>
    <brk id="93" max="6" man="1"/>
    <brk id="154" max="6" man="1"/>
    <brk id="221" max="6" man="1"/>
    <brk id="277" max="6" man="1"/>
  </rowBreaks>
</worksheet>
</file>

<file path=xl/worksheets/sheet10.xml><?xml version="1.0" encoding="utf-8"?>
<worksheet xmlns="http://schemas.openxmlformats.org/spreadsheetml/2006/main" xmlns:r="http://schemas.openxmlformats.org/officeDocument/2006/relationships">
  <sheetPr>
    <pageSetUpPr fitToPage="1"/>
  </sheetPr>
  <dimension ref="A1:K304"/>
  <sheetViews>
    <sheetView workbookViewId="0" topLeftCell="A1">
      <selection activeCell="G271" sqref="G271"/>
    </sheetView>
  </sheetViews>
  <sheetFormatPr defaultColWidth="8.7109375" defaultRowHeight="12.75"/>
  <cols>
    <col min="1" max="1" width="3.421875" style="1233" customWidth="1"/>
    <col min="2" max="2" width="76.57421875" style="1233" bestFit="1" customWidth="1"/>
    <col min="3" max="3" width="3.57421875" style="1233" customWidth="1"/>
    <col min="4" max="4" width="19.421875" style="1233" customWidth="1"/>
    <col min="5" max="5" width="3.57421875" style="1233" customWidth="1"/>
    <col min="6" max="6" width="19.421875" style="1233" customWidth="1"/>
    <col min="7" max="7" width="3.57421875" style="1233" customWidth="1"/>
    <col min="8" max="8" width="17.140625" style="1233" customWidth="1"/>
    <col min="9" max="9" width="3.57421875" style="1233" customWidth="1"/>
    <col min="10" max="10" width="17.140625" style="1233" customWidth="1"/>
    <col min="11" max="16384" width="8.7109375" style="1233" customWidth="1"/>
  </cols>
  <sheetData>
    <row r="1" spans="1:10" ht="12.75">
      <c r="A1" s="1237"/>
      <c r="B1" s="1275"/>
      <c r="C1" s="1275"/>
      <c r="D1" s="1275"/>
      <c r="E1" s="1275"/>
      <c r="F1" s="1275"/>
      <c r="G1" s="1275"/>
      <c r="H1" s="1275"/>
      <c r="I1" s="1275"/>
      <c r="J1" s="1275"/>
    </row>
    <row r="2" spans="1:10" ht="12.75">
      <c r="A2" s="1237"/>
      <c r="B2" s="1275"/>
      <c r="C2" s="1275"/>
      <c r="D2" s="1275"/>
      <c r="E2" s="1275"/>
      <c r="F2" s="1275"/>
      <c r="G2" s="1275"/>
      <c r="H2" s="1275"/>
      <c r="I2" s="1275"/>
      <c r="J2" s="1275"/>
    </row>
    <row r="3" spans="1:10" ht="12.75">
      <c r="A3" s="1237"/>
      <c r="B3" s="1275"/>
      <c r="C3" s="1275"/>
      <c r="D3" s="1275"/>
      <c r="E3" s="1275"/>
      <c r="F3" s="1275"/>
      <c r="G3" s="1275"/>
      <c r="H3" s="1275"/>
      <c r="I3" s="1275"/>
      <c r="J3" s="1275"/>
    </row>
    <row r="4" spans="1:10" ht="12.75">
      <c r="A4" s="1237"/>
      <c r="B4" s="1276" t="s">
        <v>318</v>
      </c>
      <c r="C4" s="1276"/>
      <c r="D4" s="1276" t="s">
        <v>450</v>
      </c>
      <c r="E4" s="1276"/>
      <c r="F4" s="1276" t="s">
        <v>299</v>
      </c>
      <c r="G4" s="1276"/>
      <c r="H4" s="1276" t="s">
        <v>319</v>
      </c>
      <c r="I4" s="1276"/>
      <c r="J4" s="1276" t="s">
        <v>317</v>
      </c>
    </row>
    <row r="5" spans="1:10" ht="12.75">
      <c r="A5" s="1237"/>
      <c r="B5" s="1277"/>
      <c r="C5" s="1277"/>
      <c r="D5" s="1277"/>
      <c r="E5" s="1277"/>
      <c r="F5" s="1277"/>
      <c r="G5" s="1277"/>
      <c r="H5" s="1277"/>
      <c r="I5" s="1277"/>
      <c r="J5" s="1277"/>
    </row>
    <row r="6" spans="1:10" ht="12.75">
      <c r="A6" s="1237"/>
      <c r="B6" s="1278"/>
      <c r="C6" s="1277"/>
      <c r="D6" s="1277"/>
      <c r="E6" s="1277"/>
      <c r="F6" s="1276" t="s">
        <v>1025</v>
      </c>
      <c r="G6" s="1277"/>
      <c r="H6" s="1276" t="s">
        <v>885</v>
      </c>
      <c r="I6" s="1277"/>
      <c r="J6" s="1276" t="s">
        <v>886</v>
      </c>
    </row>
    <row r="7" spans="1:10" ht="12.75">
      <c r="A7" s="1279"/>
      <c r="B7" s="1292" t="s">
        <v>1026</v>
      </c>
      <c r="C7" s="1280"/>
      <c r="D7" s="1200" t="s">
        <v>748</v>
      </c>
      <c r="E7" s="1276"/>
      <c r="F7" s="1200" t="s">
        <v>1027</v>
      </c>
      <c r="G7" s="1277"/>
      <c r="H7" s="1200" t="s">
        <v>887</v>
      </c>
      <c r="I7" s="1277"/>
      <c r="J7" s="1200" t="s">
        <v>888</v>
      </c>
    </row>
    <row r="8" spans="1:10" ht="12.75">
      <c r="A8" s="1237">
        <v>1</v>
      </c>
      <c r="B8" s="1281" t="s">
        <v>1028</v>
      </c>
      <c r="C8" s="1277"/>
      <c r="D8" s="1282" t="s">
        <v>984</v>
      </c>
      <c r="E8" s="1277"/>
      <c r="F8" s="1201">
        <f>-'9.1 - EDIT Classification'!G12</f>
        <v>-2237486.8300000024</v>
      </c>
      <c r="G8" s="1282" t="s">
        <v>889</v>
      </c>
      <c r="H8" s="1283">
        <f>D24</f>
        <v>1.4063135038441579</v>
      </c>
      <c r="I8" s="1282" t="s">
        <v>890</v>
      </c>
      <c r="J8" s="1284">
        <f>ROUND(F8*H8,0)</f>
        <v>-3146608</v>
      </c>
    </row>
    <row r="9" spans="1:10" ht="12.75">
      <c r="A9" s="1237">
        <v>2</v>
      </c>
      <c r="B9" s="1285" t="s">
        <v>1029</v>
      </c>
      <c r="C9" s="1277"/>
      <c r="D9" s="1282"/>
      <c r="E9" s="1277"/>
      <c r="F9" s="1296"/>
      <c r="G9" s="1282"/>
      <c r="H9" s="1283"/>
      <c r="I9" s="1282"/>
      <c r="J9" s="1284"/>
    </row>
    <row r="10" spans="1:10" ht="13.5" thickBot="1">
      <c r="A10" s="1237">
        <v>3</v>
      </c>
      <c r="B10" s="1277" t="s">
        <v>1030</v>
      </c>
      <c r="C10" s="1277"/>
      <c r="D10" s="1277"/>
      <c r="E10" s="1277"/>
      <c r="F10" s="1297">
        <f>SUM(F8:F9)</f>
        <v>-2237486.8300000024</v>
      </c>
      <c r="G10" s="1277"/>
      <c r="H10" s="1277"/>
      <c r="I10" s="1277"/>
      <c r="J10" s="1284"/>
    </row>
    <row r="11" spans="1:10" ht="13.5" thickTop="1">
      <c r="A11" s="1237"/>
      <c r="B11" s="1277"/>
      <c r="C11" s="1277"/>
      <c r="D11" s="1277"/>
      <c r="E11" s="1277"/>
      <c r="F11" s="1278"/>
      <c r="G11" s="1277"/>
      <c r="H11" s="1277"/>
      <c r="I11" s="1277"/>
      <c r="J11" s="1294"/>
    </row>
    <row r="12" spans="1:10" ht="13.5" thickBot="1">
      <c r="A12" s="1237">
        <f>A10+1</f>
        <v>4</v>
      </c>
      <c r="B12" s="1286" t="s">
        <v>1031</v>
      </c>
      <c r="C12" s="1277"/>
      <c r="D12" s="1277"/>
      <c r="E12" s="1277"/>
      <c r="F12" s="1277"/>
      <c r="G12" s="1277"/>
      <c r="H12" s="1277"/>
      <c r="I12" s="1277"/>
      <c r="J12" s="1297">
        <f>SUM(J8:J9)</f>
        <v>-3146608</v>
      </c>
    </row>
    <row r="13" spans="1:10" ht="13.5" thickTop="1">
      <c r="A13" s="1237"/>
      <c r="B13" s="1277"/>
      <c r="C13" s="1277"/>
      <c r="D13" s="1277"/>
      <c r="E13" s="1277"/>
      <c r="F13" s="1277"/>
      <c r="G13" s="1277"/>
      <c r="H13" s="1277"/>
      <c r="I13" s="1277"/>
      <c r="J13" s="1284"/>
    </row>
    <row r="14" spans="1:10" ht="12.75">
      <c r="A14" s="1237"/>
      <c r="B14" s="1278"/>
      <c r="C14" s="1278"/>
      <c r="D14" s="1278"/>
      <c r="E14" s="1278"/>
      <c r="F14" s="1278"/>
      <c r="G14" s="1278"/>
      <c r="H14" s="1278"/>
      <c r="I14" s="1278"/>
      <c r="J14" s="1287"/>
    </row>
    <row r="15" spans="1:11" ht="12.75">
      <c r="A15" s="1279"/>
      <c r="B15" s="1292" t="s">
        <v>503</v>
      </c>
      <c r="C15" s="1293"/>
      <c r="D15" s="1293"/>
      <c r="E15" s="1293"/>
      <c r="F15" s="1293"/>
      <c r="G15" s="1293"/>
      <c r="H15" s="1293"/>
      <c r="I15" s="1293"/>
      <c r="J15" s="1294"/>
      <c r="K15" s="1295"/>
    </row>
    <row r="16" spans="1:10" ht="24.75" customHeight="1">
      <c r="A16" s="1237"/>
      <c r="B16" s="1451" t="s">
        <v>1032</v>
      </c>
      <c r="C16" s="1451"/>
      <c r="D16" s="1451"/>
      <c r="E16" s="1451"/>
      <c r="F16" s="1451"/>
      <c r="G16" s="1451"/>
      <c r="H16" s="1451"/>
      <c r="I16" s="1451"/>
      <c r="J16" s="1451"/>
    </row>
    <row r="17" spans="1:10" ht="12.75">
      <c r="A17" s="1237"/>
      <c r="B17" s="1277"/>
      <c r="C17" s="1277"/>
      <c r="D17" s="1277"/>
      <c r="E17" s="1277"/>
      <c r="F17" s="1277"/>
      <c r="G17" s="1277"/>
      <c r="H17" s="1277"/>
      <c r="I17" s="1277"/>
      <c r="J17" s="1277"/>
    </row>
    <row r="18" spans="1:10" ht="12.75">
      <c r="A18" s="1237"/>
      <c r="B18" s="1288" t="s">
        <v>1033</v>
      </c>
      <c r="C18" s="1288"/>
      <c r="D18" s="1288"/>
      <c r="E18" s="1288"/>
      <c r="F18" s="1278"/>
      <c r="G18" s="1277"/>
      <c r="H18" s="1277"/>
      <c r="I18" s="1277"/>
      <c r="J18" s="1277"/>
    </row>
    <row r="19" spans="1:10" ht="12.75">
      <c r="A19" s="1237"/>
      <c r="B19" s="1289" t="s">
        <v>891</v>
      </c>
      <c r="C19" s="1288"/>
      <c r="D19" s="1203">
        <v>0.21</v>
      </c>
      <c r="E19" s="1288"/>
      <c r="F19" s="1278"/>
      <c r="G19" s="1277"/>
      <c r="H19" s="1277"/>
      <c r="I19" s="1277"/>
      <c r="J19" s="1277"/>
    </row>
    <row r="20" spans="1:10" ht="12.75">
      <c r="A20" s="1237"/>
      <c r="B20" s="1289" t="s">
        <v>892</v>
      </c>
      <c r="C20" s="1288"/>
      <c r="D20" s="1203">
        <v>0.0999</v>
      </c>
      <c r="E20" s="1288"/>
      <c r="F20" s="1278"/>
      <c r="G20" s="1277"/>
      <c r="H20" s="1277"/>
      <c r="I20" s="1277"/>
      <c r="J20" s="1277"/>
    </row>
    <row r="21" spans="1:10" ht="12.75">
      <c r="A21" s="1237"/>
      <c r="B21" s="1289" t="s">
        <v>893</v>
      </c>
      <c r="C21" s="1288"/>
      <c r="D21" s="1203">
        <v>0</v>
      </c>
      <c r="E21" s="1288"/>
      <c r="F21" s="1278"/>
      <c r="G21" s="1277"/>
      <c r="H21" s="1277"/>
      <c r="I21" s="1277"/>
      <c r="J21" s="1277"/>
    </row>
    <row r="22" spans="1:10" ht="12.75">
      <c r="A22" s="1237"/>
      <c r="B22" s="1289" t="s">
        <v>894</v>
      </c>
      <c r="C22" s="1288"/>
      <c r="D22" s="1203">
        <f>1-(((1-D20)*(1-D19))/(1-D20*D19*D21))</f>
        <v>0.288921</v>
      </c>
      <c r="E22" s="1288"/>
      <c r="F22" s="1278"/>
      <c r="G22" s="1277"/>
      <c r="H22" s="1277"/>
      <c r="I22" s="1277"/>
      <c r="J22" s="1277"/>
    </row>
    <row r="23" spans="1:10" ht="12.75">
      <c r="A23" s="1237"/>
      <c r="B23" s="1289" t="s">
        <v>895</v>
      </c>
      <c r="C23" s="1288"/>
      <c r="D23" s="1203">
        <f>D22/(1-D22)</f>
        <v>0.40631350384415793</v>
      </c>
      <c r="E23" s="1288"/>
      <c r="F23" s="1278"/>
      <c r="G23" s="1277"/>
      <c r="H23" s="1277"/>
      <c r="I23" s="1277"/>
      <c r="J23" s="1277"/>
    </row>
    <row r="24" spans="1:10" ht="12.75">
      <c r="A24" s="1237"/>
      <c r="B24" s="1290" t="s">
        <v>896</v>
      </c>
      <c r="C24" s="1291"/>
      <c r="D24" s="1204">
        <f>1/(1-D22)</f>
        <v>1.4063135038441579</v>
      </c>
      <c r="E24" s="1288"/>
      <c r="F24" s="1278"/>
      <c r="G24" s="1277"/>
      <c r="H24" s="1277"/>
      <c r="I24" s="1277"/>
      <c r="J24" s="1277"/>
    </row>
    <row r="25" spans="1:10" ht="12.75">
      <c r="A25" s="1199"/>
      <c r="B25" s="1274"/>
      <c r="C25" s="1274"/>
      <c r="D25" s="1274"/>
      <c r="E25" s="1274"/>
      <c r="F25" s="1199"/>
      <c r="G25" s="1199"/>
      <c r="H25" s="1199"/>
      <c r="I25" s="1199"/>
      <c r="J25" s="1199"/>
    </row>
    <row r="26" spans="2:5" ht="12.75">
      <c r="B26" s="1273"/>
      <c r="C26" s="1273"/>
      <c r="D26" s="1273"/>
      <c r="E26" s="1273"/>
    </row>
    <row r="27" spans="2:5" ht="12.75">
      <c r="B27" s="1273"/>
      <c r="C27" s="1273"/>
      <c r="D27" s="1273"/>
      <c r="E27" s="1273"/>
    </row>
    <row r="30" ht="12.75">
      <c r="D30" s="1273"/>
    </row>
    <row r="34" ht="12.75">
      <c r="A34" s="1236"/>
    </row>
    <row r="303" ht="12.75">
      <c r="B303" s="1339"/>
    </row>
    <row r="304" ht="12.75">
      <c r="B304" s="1339"/>
    </row>
  </sheetData>
  <sheetProtection/>
  <mergeCells count="1">
    <mergeCell ref="B16:J16"/>
  </mergeCells>
  <printOptions/>
  <pageMargins left="0.7" right="0.7" top="0.75" bottom="0.75" header="0.3" footer="0.3"/>
  <pageSetup fitToHeight="1" fitToWidth="1" horizontalDpi="600" verticalDpi="600" orientation="landscape" scale="74" r:id="rId1"/>
  <headerFooter>
    <oddHeader>&amp;CDuquesne Light Company
Attachment H -17A
Attachment 9 - Excess Deferred Income Tax (EDIT) Worksheet
Summary of Forecasted Revenue Requirement Impacts&amp;RPage &amp;P of &amp;N</oddHeader>
    <oddFooter>&amp;LATRR = Annual Transmission Revenue Requirement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4"/>
  <sheetViews>
    <sheetView workbookViewId="0" topLeftCell="A1">
      <selection activeCell="G271" sqref="G271"/>
    </sheetView>
  </sheetViews>
  <sheetFormatPr defaultColWidth="8.7109375" defaultRowHeight="12.75"/>
  <cols>
    <col min="1" max="1" width="4.8515625" style="1233" customWidth="1"/>
    <col min="2" max="2" width="56.140625" style="1233" customWidth="1"/>
    <col min="3" max="3" width="14.28125" style="1233" customWidth="1"/>
    <col min="4" max="6" width="15.57421875" style="1233" customWidth="1"/>
    <col min="7" max="7" width="16.00390625" style="1233" customWidth="1"/>
    <col min="8" max="8" width="15.57421875" style="1233" customWidth="1"/>
    <col min="9" max="9" width="12.421875" style="1233" bestFit="1" customWidth="1"/>
    <col min="10" max="16384" width="8.7109375" style="1233" customWidth="1"/>
  </cols>
  <sheetData>
    <row r="1" spans="1:9" ht="12.75">
      <c r="A1" s="1237"/>
      <c r="B1" s="1236"/>
      <c r="C1" s="1236"/>
      <c r="D1" s="1236"/>
      <c r="E1" s="1236"/>
      <c r="F1" s="1236"/>
      <c r="G1" s="1237"/>
      <c r="H1" s="1237"/>
      <c r="I1" s="1205"/>
    </row>
    <row r="2" spans="1:9" ht="12.75">
      <c r="A2" s="1237"/>
      <c r="B2" s="1257"/>
      <c r="C2" s="1257"/>
      <c r="D2" s="1238"/>
      <c r="E2" s="1238"/>
      <c r="F2" s="1238"/>
      <c r="G2" s="1238"/>
      <c r="H2" s="1238"/>
      <c r="I2" s="1202"/>
    </row>
    <row r="3" spans="1:9" ht="12.75">
      <c r="A3" s="1237"/>
      <c r="B3" s="1239" t="s">
        <v>318</v>
      </c>
      <c r="C3" s="1239" t="s">
        <v>450</v>
      </c>
      <c r="D3" s="1239" t="s">
        <v>299</v>
      </c>
      <c r="E3" s="1239" t="s">
        <v>319</v>
      </c>
      <c r="F3" s="1239" t="s">
        <v>317</v>
      </c>
      <c r="G3" s="1239" t="s">
        <v>606</v>
      </c>
      <c r="H3" s="1239" t="s">
        <v>320</v>
      </c>
      <c r="I3" s="1226"/>
    </row>
    <row r="4" spans="1:9" ht="12.75">
      <c r="A4" s="1237"/>
      <c r="B4" s="1240"/>
      <c r="C4" s="1240"/>
      <c r="D4" s="1239"/>
      <c r="E4" s="1239"/>
      <c r="F4" s="1239"/>
      <c r="G4" s="1243"/>
      <c r="H4" s="1243"/>
      <c r="I4" s="1206"/>
    </row>
    <row r="5" spans="1:9" ht="93" thickBot="1">
      <c r="A5" s="1237"/>
      <c r="B5" s="1212" t="s">
        <v>1004</v>
      </c>
      <c r="C5" s="1212" t="s">
        <v>1005</v>
      </c>
      <c r="D5" s="1212" t="s">
        <v>1006</v>
      </c>
      <c r="E5" s="1212" t="s">
        <v>1007</v>
      </c>
      <c r="F5" s="1212" t="s">
        <v>1008</v>
      </c>
      <c r="G5" s="1212" t="s">
        <v>1009</v>
      </c>
      <c r="H5" s="1212" t="s">
        <v>1010</v>
      </c>
      <c r="I5" s="1226"/>
    </row>
    <row r="6" spans="1:9" ht="45" customHeight="1">
      <c r="A6" s="1237"/>
      <c r="B6" s="1242" t="s">
        <v>993</v>
      </c>
      <c r="C6" s="1242" t="s">
        <v>994</v>
      </c>
      <c r="D6" s="1242" t="s">
        <v>995</v>
      </c>
      <c r="E6" s="1242" t="s">
        <v>996</v>
      </c>
      <c r="F6" s="1242" t="s">
        <v>997</v>
      </c>
      <c r="G6" s="1242" t="s">
        <v>1011</v>
      </c>
      <c r="H6" s="1242" t="s">
        <v>1012</v>
      </c>
      <c r="I6" s="1258"/>
    </row>
    <row r="7" spans="1:9" ht="12.75">
      <c r="A7" s="1237"/>
      <c r="B7" s="1240"/>
      <c r="C7" s="1240"/>
      <c r="D7" s="1242"/>
      <c r="E7" s="1242"/>
      <c r="F7" s="1242"/>
      <c r="G7" s="1242"/>
      <c r="H7" s="1242"/>
      <c r="I7" s="1207"/>
    </row>
    <row r="8" spans="1:9" ht="12.75">
      <c r="A8" s="1243">
        <f>A6+1</f>
        <v>1</v>
      </c>
      <c r="B8" s="1240" t="s">
        <v>1013</v>
      </c>
      <c r="C8" s="1267" t="s">
        <v>897</v>
      </c>
      <c r="D8" s="1246">
        <v>-62306925.68246183</v>
      </c>
      <c r="E8" s="1268">
        <v>976505.709999997</v>
      </c>
      <c r="F8" s="1246">
        <f>D8+E8</f>
        <v>-61330419.972461835</v>
      </c>
      <c r="G8" s="1268">
        <v>1236563.7200000016</v>
      </c>
      <c r="H8" s="1246">
        <f>F8+G8</f>
        <v>-60093856.252461836</v>
      </c>
      <c r="I8" s="1207"/>
    </row>
    <row r="9" spans="1:9" ht="12.75">
      <c r="A9" s="1243">
        <f>A8+1</f>
        <v>2</v>
      </c>
      <c r="B9" s="1240" t="s">
        <v>1014</v>
      </c>
      <c r="C9" s="1267" t="s">
        <v>897</v>
      </c>
      <c r="D9" s="1268">
        <v>874046.9354176722</v>
      </c>
      <c r="E9" s="1268">
        <v>108672.66</v>
      </c>
      <c r="F9" s="1334">
        <f>D9+E9</f>
        <v>982719.5954176722</v>
      </c>
      <c r="G9" s="1333">
        <v>124969.11000000074</v>
      </c>
      <c r="H9" s="1334">
        <f>F9+G9</f>
        <v>1107688.7054176729</v>
      </c>
      <c r="I9" s="1208"/>
    </row>
    <row r="10" spans="1:9" s="2" customFormat="1" ht="12.75">
      <c r="A10" s="408">
        <f>A9+1</f>
        <v>3</v>
      </c>
      <c r="B10" s="200" t="s">
        <v>1068</v>
      </c>
      <c r="C10" s="1267"/>
      <c r="D10" s="1335">
        <f>SUM(D8:D9)</f>
        <v>-61432878.74704415</v>
      </c>
      <c r="E10" s="1335">
        <f>SUM(E8:E9)</f>
        <v>1085178.369999997</v>
      </c>
      <c r="F10" s="1268">
        <f>SUM(F8:F9)</f>
        <v>-60347700.37704416</v>
      </c>
      <c r="G10" s="1268">
        <f>SUM(G8:G9)</f>
        <v>1361532.8300000024</v>
      </c>
      <c r="H10" s="1268">
        <f>SUM(H8:H9)</f>
        <v>-58986167.547044165</v>
      </c>
      <c r="I10" s="1208"/>
    </row>
    <row r="11" spans="1:9" ht="12.75">
      <c r="A11" s="1243">
        <f>A10+1</f>
        <v>4</v>
      </c>
      <c r="B11" s="1240" t="s">
        <v>1015</v>
      </c>
      <c r="C11" s="1209" t="s">
        <v>898</v>
      </c>
      <c r="D11" s="1336">
        <v>-2627861</v>
      </c>
      <c r="E11" s="1268">
        <v>875954</v>
      </c>
      <c r="F11" s="1269">
        <f>D11+E11</f>
        <v>-1751907</v>
      </c>
      <c r="G11" s="1268">
        <v>875954</v>
      </c>
      <c r="H11" s="1269">
        <f>F11+G11</f>
        <v>-875953</v>
      </c>
      <c r="I11" s="1259"/>
    </row>
    <row r="12" spans="1:9" ht="13.5" thickBot="1">
      <c r="A12" s="1243">
        <f>A11+1</f>
        <v>5</v>
      </c>
      <c r="B12" s="1240" t="s">
        <v>1016</v>
      </c>
      <c r="C12" s="1240"/>
      <c r="D12" s="1337">
        <f>SUM(D10:D11)</f>
        <v>-64060739.74704415</v>
      </c>
      <c r="E12" s="1337">
        <f>SUM(E10:E11)</f>
        <v>1961132.369999997</v>
      </c>
      <c r="F12" s="1337">
        <f>SUM(F10:F11)</f>
        <v>-62099607.37704416</v>
      </c>
      <c r="G12" s="1337">
        <f>SUM(G10:G11)</f>
        <v>2237486.8300000024</v>
      </c>
      <c r="H12" s="1337">
        <f>SUM(H10:H11)</f>
        <v>-59862120.547044165</v>
      </c>
      <c r="I12" s="1208"/>
    </row>
    <row r="13" spans="1:9" ht="13.5" thickTop="1">
      <c r="A13" s="1237"/>
      <c r="B13" s="1240"/>
      <c r="C13" s="1240"/>
      <c r="D13" s="1240"/>
      <c r="E13" s="1240"/>
      <c r="F13" s="1240"/>
      <c r="G13" s="1270" t="s">
        <v>1017</v>
      </c>
      <c r="H13" s="1243"/>
      <c r="I13" s="1260"/>
    </row>
    <row r="14" spans="1:9" ht="12.75">
      <c r="A14" s="1237"/>
      <c r="B14" s="1236"/>
      <c r="C14" s="1236"/>
      <c r="D14" s="1236"/>
      <c r="E14" s="1236"/>
      <c r="F14" s="1236"/>
      <c r="G14" s="1236"/>
      <c r="H14" s="1236"/>
      <c r="I14" s="1260"/>
    </row>
    <row r="15" spans="1:9" ht="13.5" thickBot="1">
      <c r="A15" s="1237"/>
      <c r="B15" s="1272" t="s">
        <v>503</v>
      </c>
      <c r="C15" s="1272"/>
      <c r="D15" s="1272"/>
      <c r="E15" s="1272"/>
      <c r="F15" s="1272"/>
      <c r="G15" s="1272"/>
      <c r="H15" s="1272"/>
      <c r="I15" s="1260"/>
    </row>
    <row r="16" spans="1:9" ht="13.5" customHeight="1">
      <c r="A16" s="1271"/>
      <c r="B16" s="1452" t="s">
        <v>1018</v>
      </c>
      <c r="C16" s="1452"/>
      <c r="D16" s="1452"/>
      <c r="E16" s="1452"/>
      <c r="F16" s="1452"/>
      <c r="G16" s="1452"/>
      <c r="H16" s="1452"/>
      <c r="I16" s="1261"/>
    </row>
    <row r="17" spans="1:9" ht="39" customHeight="1">
      <c r="A17" s="1271"/>
      <c r="B17" s="1452" t="s">
        <v>1019</v>
      </c>
      <c r="C17" s="1452"/>
      <c r="D17" s="1452"/>
      <c r="E17" s="1452"/>
      <c r="F17" s="1452"/>
      <c r="G17" s="1452"/>
      <c r="H17" s="1452"/>
      <c r="I17" s="1261"/>
    </row>
    <row r="18" spans="1:9" ht="39" customHeight="1">
      <c r="A18" s="1271"/>
      <c r="B18" s="1452" t="s">
        <v>1020</v>
      </c>
      <c r="C18" s="1452"/>
      <c r="D18" s="1452"/>
      <c r="E18" s="1452"/>
      <c r="F18" s="1452"/>
      <c r="G18" s="1452"/>
      <c r="H18" s="1452"/>
      <c r="I18" s="1261"/>
    </row>
    <row r="19" spans="1:9" ht="13.5" customHeight="1">
      <c r="A19" s="1271"/>
      <c r="B19" s="1452" t="s">
        <v>1021</v>
      </c>
      <c r="C19" s="1452"/>
      <c r="D19" s="1452"/>
      <c r="E19" s="1452"/>
      <c r="F19" s="1452"/>
      <c r="G19" s="1452"/>
      <c r="H19" s="1452"/>
      <c r="I19" s="1261"/>
    </row>
    <row r="20" spans="1:9" ht="25.5" customHeight="1">
      <c r="A20" s="1271"/>
      <c r="B20" s="1452" t="s">
        <v>1022</v>
      </c>
      <c r="C20" s="1452"/>
      <c r="D20" s="1452"/>
      <c r="E20" s="1452"/>
      <c r="F20" s="1452"/>
      <c r="G20" s="1452"/>
      <c r="H20" s="1452"/>
      <c r="I20" s="1262"/>
    </row>
    <row r="21" spans="1:9" ht="39" customHeight="1">
      <c r="A21" s="1271"/>
      <c r="B21" s="1452" t="s">
        <v>1023</v>
      </c>
      <c r="C21" s="1452"/>
      <c r="D21" s="1452"/>
      <c r="E21" s="1452"/>
      <c r="F21" s="1452"/>
      <c r="G21" s="1452"/>
      <c r="H21" s="1452"/>
      <c r="I21" s="1262"/>
    </row>
    <row r="22" spans="1:9" ht="25.5" customHeight="1">
      <c r="A22" s="1271"/>
      <c r="B22" s="1452" t="s">
        <v>1024</v>
      </c>
      <c r="C22" s="1452"/>
      <c r="D22" s="1452"/>
      <c r="E22" s="1452"/>
      <c r="F22" s="1452"/>
      <c r="G22" s="1452"/>
      <c r="H22" s="1452"/>
      <c r="I22" s="1263"/>
    </row>
    <row r="23" spans="1:9" ht="14.25">
      <c r="A23" s="1235"/>
      <c r="B23" s="1234"/>
      <c r="C23" s="1234"/>
      <c r="D23" s="1234"/>
      <c r="E23" s="1234"/>
      <c r="F23" s="1234"/>
      <c r="G23" s="1234"/>
      <c r="H23" s="1234"/>
      <c r="I23" s="1263"/>
    </row>
    <row r="24" spans="1:9" ht="14.25">
      <c r="A24" s="1264"/>
      <c r="B24" s="1265"/>
      <c r="C24" s="1265"/>
      <c r="D24" s="1265"/>
      <c r="E24" s="1265"/>
      <c r="F24" s="1265"/>
      <c r="G24" s="1265"/>
      <c r="H24" s="1265"/>
      <c r="I24" s="1263"/>
    </row>
    <row r="25" spans="1:9" ht="14.25">
      <c r="A25" s="1264"/>
      <c r="B25" s="1210"/>
      <c r="C25" s="1210"/>
      <c r="D25" s="1210"/>
      <c r="E25" s="1266"/>
      <c r="F25" s="1266"/>
      <c r="G25" s="1266"/>
      <c r="H25" s="1266"/>
      <c r="I25" s="1262"/>
    </row>
    <row r="26" spans="1:9" ht="14.25">
      <c r="A26" s="1202"/>
      <c r="B26" s="1210"/>
      <c r="C26" s="1210"/>
      <c r="D26" s="1210"/>
      <c r="E26" s="1210"/>
      <c r="F26" s="1210"/>
      <c r="G26" s="1210"/>
      <c r="H26" s="1210"/>
      <c r="I26" s="1211"/>
    </row>
    <row r="303" ht="12.75">
      <c r="B303" s="1339"/>
    </row>
    <row r="304" ht="12.75">
      <c r="B304" s="1339"/>
    </row>
  </sheetData>
  <sheetProtection/>
  <mergeCells count="7">
    <mergeCell ref="B22:H22"/>
    <mergeCell ref="B16:H16"/>
    <mergeCell ref="B17:H17"/>
    <mergeCell ref="B18:H18"/>
    <mergeCell ref="B19:H19"/>
    <mergeCell ref="B20:H20"/>
    <mergeCell ref="B21:H21"/>
  </mergeCells>
  <printOptions/>
  <pageMargins left="0.7" right="0.7" top="0.75" bottom="0.75" header="0.3" footer="0.3"/>
  <pageSetup fitToHeight="1" fitToWidth="1" horizontalDpi="600" verticalDpi="600" orientation="landscape" scale="81" r:id="rId1"/>
  <headerFooter>
    <oddHeader>&amp;CDuquesne Light Company
Attachment H -17A
Attachment 9.1 - Excess Deferred Income Tax (EDIT) Classification Worksheet
Summary of Estimated Excess Deferred Income Tax Amortizations&amp;RPage &amp;P of &amp;N</oddHeader>
    <oddFooter>&amp;LARAM = Average Rate Assumption Method</oddFooter>
  </headerFooter>
</worksheet>
</file>

<file path=xl/worksheets/sheet12.xml><?xml version="1.0" encoding="utf-8"?>
<worksheet xmlns="http://schemas.openxmlformats.org/spreadsheetml/2006/main" xmlns:r="http://schemas.openxmlformats.org/officeDocument/2006/relationships">
  <dimension ref="A1:H304"/>
  <sheetViews>
    <sheetView workbookViewId="0" topLeftCell="A1">
      <selection activeCell="G271" sqref="G271"/>
    </sheetView>
  </sheetViews>
  <sheetFormatPr defaultColWidth="8.7109375" defaultRowHeight="12.75"/>
  <cols>
    <col min="1" max="1" width="3.57421875" style="1233" customWidth="1"/>
    <col min="2" max="2" width="46.57421875" style="1233" customWidth="1"/>
    <col min="3" max="7" width="15.57421875" style="1233" customWidth="1"/>
    <col min="8" max="8" width="16.140625" style="1233" customWidth="1"/>
    <col min="9" max="16384" width="8.7109375" style="1233" customWidth="1"/>
  </cols>
  <sheetData>
    <row r="1" spans="1:8" ht="12.75">
      <c r="A1" s="1236"/>
      <c r="B1" s="1236"/>
      <c r="C1" s="1236"/>
      <c r="D1" s="1236"/>
      <c r="E1" s="1236"/>
      <c r="F1" s="1236"/>
      <c r="G1" s="1237"/>
      <c r="H1" s="1236"/>
    </row>
    <row r="2" spans="1:8" ht="12.75">
      <c r="A2" s="1236"/>
      <c r="B2" s="1238"/>
      <c r="C2" s="1238"/>
      <c r="D2" s="1238"/>
      <c r="E2" s="1238"/>
      <c r="F2" s="1238"/>
      <c r="G2" s="1238"/>
      <c r="H2" s="1236"/>
    </row>
    <row r="3" spans="1:8" ht="12.75">
      <c r="A3" s="1236"/>
      <c r="B3" s="1239" t="s">
        <v>318</v>
      </c>
      <c r="C3" s="1239" t="s">
        <v>450</v>
      </c>
      <c r="D3" s="1239" t="s">
        <v>299</v>
      </c>
      <c r="E3" s="1239" t="s">
        <v>319</v>
      </c>
      <c r="F3" s="1239" t="s">
        <v>317</v>
      </c>
      <c r="G3" s="1239" t="s">
        <v>606</v>
      </c>
      <c r="H3" s="1239" t="s">
        <v>320</v>
      </c>
    </row>
    <row r="4" spans="1:8" ht="12.75">
      <c r="A4" s="1236"/>
      <c r="B4" s="1238"/>
      <c r="C4" s="1238"/>
      <c r="D4" s="1238"/>
      <c r="E4" s="1238"/>
      <c r="F4" s="1238"/>
      <c r="G4" s="1238"/>
      <c r="H4" s="1236"/>
    </row>
    <row r="5" spans="1:8" ht="52.5">
      <c r="A5" s="1237"/>
      <c r="B5" s="1251" t="s">
        <v>986</v>
      </c>
      <c r="C5" s="1251" t="s">
        <v>987</v>
      </c>
      <c r="D5" s="1251" t="s">
        <v>988</v>
      </c>
      <c r="E5" s="1251" t="s">
        <v>989</v>
      </c>
      <c r="F5" s="1251" t="s">
        <v>990</v>
      </c>
      <c r="G5" s="1251" t="s">
        <v>991</v>
      </c>
      <c r="H5" s="1251" t="s">
        <v>992</v>
      </c>
    </row>
    <row r="6" spans="1:8" ht="12.75">
      <c r="A6" s="1237"/>
      <c r="B6" s="1240"/>
      <c r="C6" s="1241" t="s">
        <v>993</v>
      </c>
      <c r="D6" s="1242" t="s">
        <v>994</v>
      </c>
      <c r="E6" s="1242" t="s">
        <v>995</v>
      </c>
      <c r="F6" s="1242" t="s">
        <v>996</v>
      </c>
      <c r="G6" s="1242" t="s">
        <v>997</v>
      </c>
      <c r="H6" s="1236"/>
    </row>
    <row r="7" spans="1:8" ht="12.75">
      <c r="A7" s="1236"/>
      <c r="B7" s="1240"/>
      <c r="C7" s="1240"/>
      <c r="D7" s="1240"/>
      <c r="E7" s="1240"/>
      <c r="F7" s="1240"/>
      <c r="G7" s="1243"/>
      <c r="H7" s="1236"/>
    </row>
    <row r="8" spans="1:8" ht="12.75">
      <c r="A8" s="1237"/>
      <c r="B8" s="1244" t="s">
        <v>899</v>
      </c>
      <c r="C8" s="1240"/>
      <c r="D8" s="1245"/>
      <c r="E8" s="1245"/>
      <c r="F8" s="1245"/>
      <c r="G8" s="1245"/>
      <c r="H8" s="1236"/>
    </row>
    <row r="9" spans="1:8" ht="12.75">
      <c r="A9" s="1237">
        <v>1</v>
      </c>
      <c r="B9" s="1240" t="s">
        <v>900</v>
      </c>
      <c r="C9" s="1246">
        <v>20152577</v>
      </c>
      <c r="D9" s="1246">
        <v>7053402</v>
      </c>
      <c r="E9" s="1246">
        <f>D9-F9</f>
        <v>4232041</v>
      </c>
      <c r="F9" s="1246">
        <v>2821361</v>
      </c>
      <c r="G9" s="1243"/>
      <c r="H9" s="1246">
        <f>F9</f>
        <v>2821361</v>
      </c>
    </row>
    <row r="10" spans="1:8" ht="12.75">
      <c r="A10" s="1237">
        <f aca="true" t="shared" si="0" ref="A10:A40">A9+1</f>
        <v>2</v>
      </c>
      <c r="B10" s="1240" t="s">
        <v>901</v>
      </c>
      <c r="C10" s="1246">
        <v>7155143</v>
      </c>
      <c r="D10" s="1246">
        <v>2504300</v>
      </c>
      <c r="E10" s="1246">
        <f>D10-F10</f>
        <v>1502580</v>
      </c>
      <c r="F10" s="1246">
        <v>1001720</v>
      </c>
      <c r="G10" s="1243"/>
      <c r="H10" s="1246">
        <f aca="true" t="shared" si="1" ref="H10:H40">F10</f>
        <v>1001720</v>
      </c>
    </row>
    <row r="11" spans="1:8" ht="12.75">
      <c r="A11" s="1237">
        <f t="shared" si="0"/>
        <v>3</v>
      </c>
      <c r="B11" s="1240" t="s">
        <v>902</v>
      </c>
      <c r="C11" s="1246">
        <v>20928220</v>
      </c>
      <c r="D11" s="1246">
        <v>7324877</v>
      </c>
      <c r="E11" s="1246">
        <f>D11-F11</f>
        <v>4394926</v>
      </c>
      <c r="F11" s="1246">
        <v>2929951</v>
      </c>
      <c r="G11" s="1243"/>
      <c r="H11" s="1246">
        <f t="shared" si="1"/>
        <v>2929951</v>
      </c>
    </row>
    <row r="12" spans="1:8" ht="12.75">
      <c r="A12" s="1237">
        <f t="shared" si="0"/>
        <v>4</v>
      </c>
      <c r="B12" s="1240" t="s">
        <v>903</v>
      </c>
      <c r="C12" s="1246">
        <v>2176613</v>
      </c>
      <c r="D12" s="1246">
        <v>761815</v>
      </c>
      <c r="E12" s="1246">
        <f aca="true" t="shared" si="2" ref="E12:E40">D12-F12</f>
        <v>457089</v>
      </c>
      <c r="F12" s="1246">
        <v>304726</v>
      </c>
      <c r="G12" s="1243"/>
      <c r="H12" s="1246">
        <f t="shared" si="1"/>
        <v>304726</v>
      </c>
    </row>
    <row r="13" spans="1:8" ht="12.75">
      <c r="A13" s="1237">
        <f t="shared" si="0"/>
        <v>5</v>
      </c>
      <c r="B13" s="1240" t="s">
        <v>904</v>
      </c>
      <c r="C13" s="1246">
        <v>5138524</v>
      </c>
      <c r="D13" s="1246">
        <v>1798483</v>
      </c>
      <c r="E13" s="1246">
        <f t="shared" si="2"/>
        <v>1079090</v>
      </c>
      <c r="F13" s="1246">
        <v>719393</v>
      </c>
      <c r="G13" s="1243"/>
      <c r="H13" s="1246">
        <f t="shared" si="1"/>
        <v>719393</v>
      </c>
    </row>
    <row r="14" spans="1:8" ht="12.75">
      <c r="A14" s="1237">
        <f t="shared" si="0"/>
        <v>6</v>
      </c>
      <c r="B14" s="1240" t="s">
        <v>905</v>
      </c>
      <c r="C14" s="1246">
        <v>-5560822</v>
      </c>
      <c r="D14" s="1246">
        <v>-1946288</v>
      </c>
      <c r="E14" s="1246">
        <f t="shared" si="2"/>
        <v>-1167773</v>
      </c>
      <c r="F14" s="1246">
        <v>-778515</v>
      </c>
      <c r="G14" s="1243"/>
      <c r="H14" s="1246">
        <f t="shared" si="1"/>
        <v>-778515</v>
      </c>
    </row>
    <row r="15" spans="1:8" ht="12.75">
      <c r="A15" s="1237">
        <f t="shared" si="0"/>
        <v>7</v>
      </c>
      <c r="B15" s="1240" t="s">
        <v>906</v>
      </c>
      <c r="C15" s="1246">
        <v>27884126</v>
      </c>
      <c r="D15" s="1246">
        <v>9759444</v>
      </c>
      <c r="E15" s="1246">
        <f t="shared" si="2"/>
        <v>5855666</v>
      </c>
      <c r="F15" s="1246">
        <v>3903778</v>
      </c>
      <c r="G15" s="1243"/>
      <c r="H15" s="1246">
        <f t="shared" si="1"/>
        <v>3903778</v>
      </c>
    </row>
    <row r="16" spans="1:8" ht="12.75">
      <c r="A16" s="1237">
        <f t="shared" si="0"/>
        <v>8</v>
      </c>
      <c r="B16" s="1240" t="s">
        <v>907</v>
      </c>
      <c r="C16" s="1246">
        <v>-53730181</v>
      </c>
      <c r="D16" s="1246">
        <v>-18805563</v>
      </c>
      <c r="E16" s="1246">
        <f t="shared" si="2"/>
        <v>-11283338</v>
      </c>
      <c r="F16" s="1246">
        <v>-7522225</v>
      </c>
      <c r="G16" s="1243"/>
      <c r="H16" s="1246">
        <f t="shared" si="1"/>
        <v>-7522225</v>
      </c>
    </row>
    <row r="17" spans="1:8" ht="12.75">
      <c r="A17" s="1237">
        <f t="shared" si="0"/>
        <v>9</v>
      </c>
      <c r="B17" s="1240" t="s">
        <v>908</v>
      </c>
      <c r="C17" s="1246">
        <v>-8554256</v>
      </c>
      <c r="D17" s="1246">
        <v>-2993990</v>
      </c>
      <c r="E17" s="1246">
        <f t="shared" si="2"/>
        <v>-1796394</v>
      </c>
      <c r="F17" s="1246">
        <v>-1197596</v>
      </c>
      <c r="G17" s="1243"/>
      <c r="H17" s="1246">
        <f t="shared" si="1"/>
        <v>-1197596</v>
      </c>
    </row>
    <row r="18" spans="1:8" ht="12.75">
      <c r="A18" s="1237">
        <f t="shared" si="0"/>
        <v>10</v>
      </c>
      <c r="B18" s="1240" t="s">
        <v>909</v>
      </c>
      <c r="C18" s="1246">
        <v>-37002136</v>
      </c>
      <c r="D18" s="1246">
        <v>-12950748</v>
      </c>
      <c r="E18" s="1246">
        <f t="shared" si="2"/>
        <v>-7770449</v>
      </c>
      <c r="F18" s="1246">
        <v>-5180299</v>
      </c>
      <c r="G18" s="1243"/>
      <c r="H18" s="1246">
        <f t="shared" si="1"/>
        <v>-5180299</v>
      </c>
    </row>
    <row r="19" spans="1:8" ht="12.75">
      <c r="A19" s="1237">
        <f t="shared" si="0"/>
        <v>11</v>
      </c>
      <c r="B19" s="1240" t="s">
        <v>910</v>
      </c>
      <c r="C19" s="1246">
        <v>422603183</v>
      </c>
      <c r="D19" s="1246">
        <v>147911100</v>
      </c>
      <c r="E19" s="1246">
        <f t="shared" si="2"/>
        <v>88746659.60000004</v>
      </c>
      <c r="F19" s="1246">
        <v>59164440.39999996</v>
      </c>
      <c r="G19" s="1246">
        <f>F19</f>
        <v>59164440.39999996</v>
      </c>
      <c r="H19" s="1246">
        <v>0</v>
      </c>
    </row>
    <row r="20" spans="1:8" ht="12.75">
      <c r="A20" s="1237">
        <f t="shared" si="0"/>
        <v>12</v>
      </c>
      <c r="B20" s="1240" t="s">
        <v>911</v>
      </c>
      <c r="C20" s="1246">
        <v>6736292</v>
      </c>
      <c r="D20" s="1246">
        <v>2357702</v>
      </c>
      <c r="E20" s="1246">
        <f t="shared" si="2"/>
        <v>1414621</v>
      </c>
      <c r="F20" s="1246">
        <v>943081</v>
      </c>
      <c r="G20" s="1243"/>
      <c r="H20" s="1246">
        <f t="shared" si="1"/>
        <v>943081</v>
      </c>
    </row>
    <row r="21" spans="1:8" ht="12.75">
      <c r="A21" s="1237">
        <f t="shared" si="0"/>
        <v>13</v>
      </c>
      <c r="B21" s="1240" t="s">
        <v>912</v>
      </c>
      <c r="C21" s="1246">
        <v>0</v>
      </c>
      <c r="D21" s="1246">
        <v>0</v>
      </c>
      <c r="E21" s="1246">
        <f t="shared" si="2"/>
        <v>0</v>
      </c>
      <c r="F21" s="1246">
        <v>0</v>
      </c>
      <c r="G21" s="1243"/>
      <c r="H21" s="1246">
        <f t="shared" si="1"/>
        <v>0</v>
      </c>
    </row>
    <row r="22" spans="1:8" ht="12.75">
      <c r="A22" s="1237">
        <f t="shared" si="0"/>
        <v>14</v>
      </c>
      <c r="B22" s="1240" t="s">
        <v>913</v>
      </c>
      <c r="C22" s="1246">
        <v>8239276</v>
      </c>
      <c r="D22" s="1246">
        <v>2883747</v>
      </c>
      <c r="E22" s="1246">
        <f t="shared" si="2"/>
        <v>1730248</v>
      </c>
      <c r="F22" s="1246">
        <v>1153499</v>
      </c>
      <c r="G22" s="1243"/>
      <c r="H22" s="1246">
        <f t="shared" si="1"/>
        <v>1153499</v>
      </c>
    </row>
    <row r="23" spans="1:8" ht="12.75">
      <c r="A23" s="1237">
        <f t="shared" si="0"/>
        <v>15</v>
      </c>
      <c r="B23" s="1240" t="s">
        <v>914</v>
      </c>
      <c r="C23" s="1246">
        <v>40744</v>
      </c>
      <c r="D23" s="1246">
        <v>14261</v>
      </c>
      <c r="E23" s="1246">
        <f t="shared" si="2"/>
        <v>8557</v>
      </c>
      <c r="F23" s="1246">
        <v>5704</v>
      </c>
      <c r="G23" s="1243"/>
      <c r="H23" s="1246">
        <f t="shared" si="1"/>
        <v>5704</v>
      </c>
    </row>
    <row r="24" spans="1:8" ht="12.75">
      <c r="A24" s="1237">
        <f t="shared" si="0"/>
        <v>16</v>
      </c>
      <c r="B24" s="1240" t="s">
        <v>915</v>
      </c>
      <c r="C24" s="1246">
        <v>-782527</v>
      </c>
      <c r="D24" s="1246">
        <v>-273885</v>
      </c>
      <c r="E24" s="1246">
        <f t="shared" si="2"/>
        <v>-164331</v>
      </c>
      <c r="F24" s="1246">
        <v>-109554</v>
      </c>
      <c r="G24" s="1243"/>
      <c r="H24" s="1246">
        <f t="shared" si="1"/>
        <v>-109554</v>
      </c>
    </row>
    <row r="25" spans="1:8" ht="12.75">
      <c r="A25" s="1237">
        <f t="shared" si="0"/>
        <v>17</v>
      </c>
      <c r="B25" s="1240" t="s">
        <v>916</v>
      </c>
      <c r="C25" s="1246">
        <v>12248150</v>
      </c>
      <c r="D25" s="1246">
        <v>4286852</v>
      </c>
      <c r="E25" s="1246">
        <f t="shared" si="2"/>
        <v>2572111.3999999533</v>
      </c>
      <c r="F25" s="1246">
        <v>1714740.6000000467</v>
      </c>
      <c r="G25" s="1243"/>
      <c r="H25" s="1246">
        <f t="shared" si="1"/>
        <v>1714740.6000000467</v>
      </c>
    </row>
    <row r="26" spans="1:8" ht="12.75">
      <c r="A26" s="1237">
        <f t="shared" si="0"/>
        <v>18</v>
      </c>
      <c r="B26" s="1240" t="s">
        <v>917</v>
      </c>
      <c r="C26" s="1246">
        <v>16194041</v>
      </c>
      <c r="D26" s="1246">
        <v>5667914</v>
      </c>
      <c r="E26" s="1246">
        <f t="shared" si="2"/>
        <v>3400748</v>
      </c>
      <c r="F26" s="1246">
        <v>2267166</v>
      </c>
      <c r="G26" s="1243"/>
      <c r="H26" s="1246">
        <f t="shared" si="1"/>
        <v>2267166</v>
      </c>
    </row>
    <row r="27" spans="1:8" ht="12.75">
      <c r="A27" s="1237">
        <f t="shared" si="0"/>
        <v>19</v>
      </c>
      <c r="B27" s="1240" t="s">
        <v>900</v>
      </c>
      <c r="C27" s="1246">
        <v>0</v>
      </c>
      <c r="D27" s="1246">
        <v>0</v>
      </c>
      <c r="E27" s="1246">
        <f t="shared" si="2"/>
        <v>0</v>
      </c>
      <c r="F27" s="1246">
        <v>0</v>
      </c>
      <c r="G27" s="1243"/>
      <c r="H27" s="1246">
        <f t="shared" si="1"/>
        <v>0</v>
      </c>
    </row>
    <row r="28" spans="1:8" ht="12.75">
      <c r="A28" s="1237">
        <f t="shared" si="0"/>
        <v>20</v>
      </c>
      <c r="B28" s="1240" t="s">
        <v>918</v>
      </c>
      <c r="C28" s="1246">
        <v>53077.752545999996</v>
      </c>
      <c r="D28" s="1246">
        <v>18577</v>
      </c>
      <c r="E28" s="1246">
        <f t="shared" si="2"/>
        <v>11561</v>
      </c>
      <c r="F28" s="1246">
        <v>7016</v>
      </c>
      <c r="G28" s="1243"/>
      <c r="H28" s="1246">
        <f t="shared" si="1"/>
        <v>7016</v>
      </c>
    </row>
    <row r="29" spans="1:8" ht="12.75">
      <c r="A29" s="1237">
        <f t="shared" si="0"/>
        <v>21</v>
      </c>
      <c r="B29" s="1240" t="s">
        <v>919</v>
      </c>
      <c r="C29" s="1246">
        <v>598792.907283</v>
      </c>
      <c r="D29" s="1246">
        <v>146340</v>
      </c>
      <c r="E29" s="1246">
        <f t="shared" si="2"/>
        <v>91069.63941653902</v>
      </c>
      <c r="F29" s="1246">
        <v>55270.36058346097</v>
      </c>
      <c r="G29" s="1243"/>
      <c r="H29" s="1246">
        <f t="shared" si="1"/>
        <v>55270.36058346097</v>
      </c>
    </row>
    <row r="30" spans="1:8" ht="12.75">
      <c r="A30" s="1237">
        <f t="shared" si="0"/>
        <v>22</v>
      </c>
      <c r="B30" s="1240" t="s">
        <v>920</v>
      </c>
      <c r="C30" s="1246">
        <v>54105.949307999996</v>
      </c>
      <c r="D30" s="1246">
        <v>13303</v>
      </c>
      <c r="E30" s="1246">
        <f t="shared" si="2"/>
        <v>8278.811585784442</v>
      </c>
      <c r="F30" s="1246">
        <v>5024.188414215557</v>
      </c>
      <c r="G30" s="1243"/>
      <c r="H30" s="1246">
        <f t="shared" si="1"/>
        <v>5024.188414215557</v>
      </c>
    </row>
    <row r="31" spans="1:8" ht="12.75">
      <c r="A31" s="1237">
        <f t="shared" si="0"/>
        <v>23</v>
      </c>
      <c r="B31" s="1240" t="s">
        <v>921</v>
      </c>
      <c r="C31" s="1246">
        <v>-58099.388795</v>
      </c>
      <c r="D31" s="1246">
        <v>-15330</v>
      </c>
      <c r="E31" s="1246">
        <f t="shared" si="2"/>
        <v>-9540.258175559382</v>
      </c>
      <c r="F31" s="1246">
        <v>-5789.741824440619</v>
      </c>
      <c r="G31" s="1243"/>
      <c r="H31" s="1246">
        <f t="shared" si="1"/>
        <v>-5789.741824440619</v>
      </c>
    </row>
    <row r="32" spans="1:8" ht="12.75">
      <c r="A32" s="1237">
        <f t="shared" si="0"/>
        <v>24</v>
      </c>
      <c r="B32" s="1240" t="s">
        <v>922</v>
      </c>
      <c r="C32" s="1246">
        <v>335019.85597</v>
      </c>
      <c r="D32" s="1246">
        <v>87177</v>
      </c>
      <c r="E32" s="1246">
        <f t="shared" si="2"/>
        <v>54251.710917045464</v>
      </c>
      <c r="F32" s="1246">
        <v>32925.289082954536</v>
      </c>
      <c r="G32" s="1243"/>
      <c r="H32" s="1246">
        <f t="shared" si="1"/>
        <v>32925.289082954536</v>
      </c>
    </row>
    <row r="33" spans="1:8" ht="12.75">
      <c r="A33" s="1237">
        <f t="shared" si="0"/>
        <v>25</v>
      </c>
      <c r="B33" s="1240" t="s">
        <v>923</v>
      </c>
      <c r="C33" s="1246">
        <v>-603127.972246</v>
      </c>
      <c r="D33" s="1246">
        <v>-176840</v>
      </c>
      <c r="E33" s="1246">
        <f t="shared" si="2"/>
        <v>-110050.53231957175</v>
      </c>
      <c r="F33" s="1246">
        <v>-66789.46768042825</v>
      </c>
      <c r="G33" s="1243"/>
      <c r="H33" s="1246">
        <f t="shared" si="1"/>
        <v>-66789.46768042825</v>
      </c>
    </row>
    <row r="34" spans="1:8" ht="12.75">
      <c r="A34" s="1237">
        <f t="shared" si="0"/>
        <v>26</v>
      </c>
      <c r="B34" s="1240" t="s">
        <v>924</v>
      </c>
      <c r="C34" s="1246">
        <v>-1400035.063844</v>
      </c>
      <c r="D34" s="1246">
        <v>-341711</v>
      </c>
      <c r="E34" s="1246">
        <f t="shared" si="2"/>
        <v>-212652.70538884762</v>
      </c>
      <c r="F34" s="1246">
        <v>-129058.29461115239</v>
      </c>
      <c r="G34" s="1243"/>
      <c r="H34" s="1246">
        <f t="shared" si="1"/>
        <v>-129058.29461115239</v>
      </c>
    </row>
    <row r="35" spans="1:8" ht="12.75">
      <c r="A35" s="1237">
        <f t="shared" si="0"/>
        <v>27</v>
      </c>
      <c r="B35" s="1240" t="s">
        <v>925</v>
      </c>
      <c r="C35" s="1246">
        <v>32167739.446569</v>
      </c>
      <c r="D35" s="1246">
        <v>8320423</v>
      </c>
      <c r="E35" s="1246">
        <f t="shared" si="2"/>
        <v>5177937.71753813</v>
      </c>
      <c r="F35" s="1246">
        <v>3142485.28246187</v>
      </c>
      <c r="G35" s="1246">
        <f>F35</f>
        <v>3142485.28246187</v>
      </c>
      <c r="H35" s="1246">
        <v>0</v>
      </c>
    </row>
    <row r="36" spans="1:8" ht="12.75">
      <c r="A36" s="1237">
        <f t="shared" si="0"/>
        <v>28</v>
      </c>
      <c r="B36" s="1240" t="s">
        <v>926</v>
      </c>
      <c r="C36" s="1246">
        <v>0</v>
      </c>
      <c r="D36" s="1246">
        <v>0</v>
      </c>
      <c r="E36" s="1246">
        <f t="shared" si="2"/>
        <v>0</v>
      </c>
      <c r="F36" s="1246">
        <v>0</v>
      </c>
      <c r="G36" s="1243"/>
      <c r="H36" s="1246">
        <f t="shared" si="1"/>
        <v>0</v>
      </c>
    </row>
    <row r="37" spans="1:8" ht="12.75">
      <c r="A37" s="1237">
        <f t="shared" si="0"/>
        <v>29</v>
      </c>
      <c r="B37" s="1240" t="s">
        <v>927</v>
      </c>
      <c r="C37" s="1246">
        <v>-497820.44356499997</v>
      </c>
      <c r="D37" s="1246">
        <v>-155611</v>
      </c>
      <c r="E37" s="1246">
        <f t="shared" si="2"/>
        <v>-96839.68583595907</v>
      </c>
      <c r="F37" s="1246">
        <v>-58771.31416404093</v>
      </c>
      <c r="G37" s="1243"/>
      <c r="H37" s="1246">
        <f t="shared" si="1"/>
        <v>-58771.31416404093</v>
      </c>
    </row>
    <row r="38" spans="1:8" ht="12.75">
      <c r="A38" s="1237">
        <f t="shared" si="0"/>
        <v>30</v>
      </c>
      <c r="B38" s="1240" t="s">
        <v>928</v>
      </c>
      <c r="C38" s="1246">
        <v>-75405.15406599999</v>
      </c>
      <c r="D38" s="1246">
        <v>-17163</v>
      </c>
      <c r="E38" s="1246">
        <f t="shared" si="2"/>
        <v>-10680.702940284935</v>
      </c>
      <c r="F38" s="1246">
        <v>-6482.297059715065</v>
      </c>
      <c r="G38" s="1243"/>
      <c r="H38" s="1246">
        <f t="shared" si="1"/>
        <v>-6482.297059715065</v>
      </c>
    </row>
    <row r="39" spans="1:8" ht="12.75">
      <c r="A39" s="1237">
        <f t="shared" si="0"/>
        <v>31</v>
      </c>
      <c r="B39" s="1240" t="s">
        <v>929</v>
      </c>
      <c r="C39" s="1246">
        <v>0</v>
      </c>
      <c r="D39" s="1246">
        <v>0</v>
      </c>
      <c r="E39" s="1246">
        <f t="shared" si="2"/>
        <v>0</v>
      </c>
      <c r="F39" s="1246">
        <v>0</v>
      </c>
      <c r="G39" s="1243"/>
      <c r="H39" s="1246">
        <f t="shared" si="1"/>
        <v>0</v>
      </c>
    </row>
    <row r="40" spans="1:8" ht="12.75">
      <c r="A40" s="1237">
        <f t="shared" si="0"/>
        <v>32</v>
      </c>
      <c r="B40" s="1240" t="s">
        <v>930</v>
      </c>
      <c r="C40" s="1246">
        <v>259886.78482899998</v>
      </c>
      <c r="D40" s="1246">
        <v>74199</v>
      </c>
      <c r="E40" s="1246">
        <f t="shared" si="2"/>
        <v>46175.33634564644</v>
      </c>
      <c r="F40" s="1246">
        <v>28023.66365435356</v>
      </c>
      <c r="G40" s="1243"/>
      <c r="H40" s="1246">
        <f t="shared" si="1"/>
        <v>28023.66365435356</v>
      </c>
    </row>
    <row r="41" spans="1:8" ht="12.75">
      <c r="A41" s="1237">
        <f>A40+1</f>
        <v>33</v>
      </c>
      <c r="B41" s="1244" t="s">
        <v>931</v>
      </c>
      <c r="C41" s="1253">
        <f aca="true" t="shared" si="3" ref="C41:H41">SUM(C9:C40)</f>
        <v>474701101.673989</v>
      </c>
      <c r="D41" s="1253">
        <f t="shared" si="3"/>
        <v>163306787</v>
      </c>
      <c r="E41" s="1253">
        <f t="shared" si="3"/>
        <v>98161562.3311429</v>
      </c>
      <c r="F41" s="1253">
        <f t="shared" si="3"/>
        <v>65145224.668857075</v>
      </c>
      <c r="G41" s="1253">
        <f t="shared" si="3"/>
        <v>62306925.68246183</v>
      </c>
      <c r="H41" s="1253">
        <f t="shared" si="3"/>
        <v>2838298.986395254</v>
      </c>
    </row>
    <row r="42" spans="1:8" ht="12.75">
      <c r="A42" s="1236"/>
      <c r="B42" s="1240"/>
      <c r="C42" s="1247"/>
      <c r="D42" s="1247"/>
      <c r="E42" s="1247"/>
      <c r="F42" s="1247"/>
      <c r="G42" s="1243"/>
      <c r="H42" s="1236"/>
    </row>
    <row r="43" spans="1:8" ht="12.75">
      <c r="A43" s="1236"/>
      <c r="B43" s="1244" t="s">
        <v>932</v>
      </c>
      <c r="C43" s="1240"/>
      <c r="D43" s="1247"/>
      <c r="E43" s="1247"/>
      <c r="F43" s="1247"/>
      <c r="G43" s="1243"/>
      <c r="H43" s="1236"/>
    </row>
    <row r="44" spans="1:8" ht="12.75">
      <c r="A44" s="1237">
        <f>A41+1</f>
        <v>34</v>
      </c>
      <c r="B44" s="1240" t="s">
        <v>933</v>
      </c>
      <c r="C44" s="1246">
        <v>20152577</v>
      </c>
      <c r="D44" s="1246">
        <v>0</v>
      </c>
      <c r="E44" s="1246">
        <f aca="true" t="shared" si="4" ref="E44:E76">D44-F44</f>
        <v>0</v>
      </c>
      <c r="F44" s="1246">
        <v>0</v>
      </c>
      <c r="G44" s="1243"/>
      <c r="H44" s="1246">
        <f aca="true" t="shared" si="5" ref="H44:H76">F44</f>
        <v>0</v>
      </c>
    </row>
    <row r="45" spans="1:8" ht="12.75">
      <c r="A45" s="1237">
        <f>A44+1</f>
        <v>35</v>
      </c>
      <c r="B45" s="1240" t="s">
        <v>934</v>
      </c>
      <c r="C45" s="1246">
        <v>6736292</v>
      </c>
      <c r="D45" s="1246">
        <v>-235534</v>
      </c>
      <c r="E45" s="1246">
        <f t="shared" si="4"/>
        <v>-141320</v>
      </c>
      <c r="F45" s="1246">
        <v>-94214</v>
      </c>
      <c r="G45" s="1243"/>
      <c r="H45" s="1246">
        <f t="shared" si="5"/>
        <v>-94214</v>
      </c>
    </row>
    <row r="46" spans="1:8" ht="12.75">
      <c r="A46" s="1237">
        <f aca="true" t="shared" si="6" ref="A46:A76">A45+1</f>
        <v>36</v>
      </c>
      <c r="B46" s="1240" t="s">
        <v>935</v>
      </c>
      <c r="C46" s="1246">
        <v>0</v>
      </c>
      <c r="D46" s="1246">
        <v>0</v>
      </c>
      <c r="E46" s="1246">
        <f t="shared" si="4"/>
        <v>0</v>
      </c>
      <c r="F46" s="1246">
        <v>0</v>
      </c>
      <c r="G46" s="1243"/>
      <c r="H46" s="1246">
        <f t="shared" si="5"/>
        <v>0</v>
      </c>
    </row>
    <row r="47" spans="1:8" ht="12.75">
      <c r="A47" s="1237">
        <f t="shared" si="6"/>
        <v>37</v>
      </c>
      <c r="B47" s="1240" t="s">
        <v>936</v>
      </c>
      <c r="C47" s="1246">
        <v>7155143</v>
      </c>
      <c r="D47" s="1246">
        <v>-250180</v>
      </c>
      <c r="E47" s="1246">
        <f t="shared" si="4"/>
        <v>-150108</v>
      </c>
      <c r="F47" s="1246">
        <v>-100072</v>
      </c>
      <c r="G47" s="1243"/>
      <c r="H47" s="1246">
        <f t="shared" si="5"/>
        <v>-100072</v>
      </c>
    </row>
    <row r="48" spans="1:8" ht="12.75">
      <c r="A48" s="1237">
        <f t="shared" si="6"/>
        <v>38</v>
      </c>
      <c r="B48" s="1240" t="s">
        <v>937</v>
      </c>
      <c r="C48" s="1246">
        <v>20928220</v>
      </c>
      <c r="D48" s="1246">
        <v>-731755</v>
      </c>
      <c r="E48" s="1246">
        <f t="shared" si="4"/>
        <v>-439053</v>
      </c>
      <c r="F48" s="1246">
        <v>-292702</v>
      </c>
      <c r="G48" s="1243"/>
      <c r="H48" s="1246">
        <f t="shared" si="5"/>
        <v>-292702</v>
      </c>
    </row>
    <row r="49" spans="1:8" ht="12.75">
      <c r="A49" s="1237">
        <f t="shared" si="6"/>
        <v>39</v>
      </c>
      <c r="B49" s="1240" t="s">
        <v>938</v>
      </c>
      <c r="C49" s="1246">
        <v>2176613</v>
      </c>
      <c r="D49" s="1246">
        <v>-76105</v>
      </c>
      <c r="E49" s="1246">
        <f t="shared" si="4"/>
        <v>-45663</v>
      </c>
      <c r="F49" s="1246">
        <v>-30442</v>
      </c>
      <c r="G49" s="1243"/>
      <c r="H49" s="1246">
        <f t="shared" si="5"/>
        <v>-30442</v>
      </c>
    </row>
    <row r="50" spans="1:8" ht="12.75">
      <c r="A50" s="1237">
        <f t="shared" si="6"/>
        <v>40</v>
      </c>
      <c r="B50" s="1240" t="s">
        <v>939</v>
      </c>
      <c r="C50" s="1246">
        <v>5138524</v>
      </c>
      <c r="D50" s="1246">
        <v>-179668</v>
      </c>
      <c r="E50" s="1246">
        <f t="shared" si="4"/>
        <v>-107801</v>
      </c>
      <c r="F50" s="1246">
        <v>-71867</v>
      </c>
      <c r="G50" s="1243"/>
      <c r="H50" s="1246">
        <f t="shared" si="5"/>
        <v>-71867</v>
      </c>
    </row>
    <row r="51" spans="1:8" ht="12.75">
      <c r="A51" s="1237">
        <f t="shared" si="6"/>
        <v>41</v>
      </c>
      <c r="B51" s="1240" t="s">
        <v>940</v>
      </c>
      <c r="C51" s="1246">
        <v>-5560822</v>
      </c>
      <c r="D51" s="1246">
        <v>194434</v>
      </c>
      <c r="E51" s="1246">
        <f t="shared" si="4"/>
        <v>116660</v>
      </c>
      <c r="F51" s="1246">
        <v>77774</v>
      </c>
      <c r="G51" s="1243"/>
      <c r="H51" s="1246">
        <f t="shared" si="5"/>
        <v>77774</v>
      </c>
    </row>
    <row r="52" spans="1:8" ht="12.75">
      <c r="A52" s="1237">
        <f t="shared" si="6"/>
        <v>42</v>
      </c>
      <c r="B52" s="1240" t="s">
        <v>941</v>
      </c>
      <c r="C52" s="1246">
        <v>27884126</v>
      </c>
      <c r="D52" s="1246">
        <v>-974969</v>
      </c>
      <c r="E52" s="1246">
        <f t="shared" si="4"/>
        <v>-584981.6000002052</v>
      </c>
      <c r="F52" s="1246">
        <v>-389987.39999979484</v>
      </c>
      <c r="G52" s="1243"/>
      <c r="H52" s="1246">
        <f t="shared" si="5"/>
        <v>-389987.39999979484</v>
      </c>
    </row>
    <row r="53" spans="1:8" ht="12.75">
      <c r="A53" s="1237">
        <f t="shared" si="6"/>
        <v>43</v>
      </c>
      <c r="B53" s="1240" t="s">
        <v>942</v>
      </c>
      <c r="C53" s="1246">
        <v>-53730181</v>
      </c>
      <c r="D53" s="1246">
        <v>1878676</v>
      </c>
      <c r="E53" s="1246">
        <f t="shared" si="4"/>
        <v>1127206</v>
      </c>
      <c r="F53" s="1246">
        <v>751470</v>
      </c>
      <c r="G53" s="1243"/>
      <c r="H53" s="1246">
        <f t="shared" si="5"/>
        <v>751470</v>
      </c>
    </row>
    <row r="54" spans="1:8" ht="12.75">
      <c r="A54" s="1237">
        <f t="shared" si="6"/>
        <v>44</v>
      </c>
      <c r="B54" s="1240" t="s">
        <v>943</v>
      </c>
      <c r="C54" s="1246">
        <v>-8554256</v>
      </c>
      <c r="D54" s="1246">
        <v>299100</v>
      </c>
      <c r="E54" s="1246">
        <f t="shared" si="4"/>
        <v>179460</v>
      </c>
      <c r="F54" s="1246">
        <v>119640</v>
      </c>
      <c r="G54" s="1243"/>
      <c r="H54" s="1246">
        <f t="shared" si="5"/>
        <v>119640</v>
      </c>
    </row>
    <row r="55" spans="1:8" ht="12.75">
      <c r="A55" s="1237">
        <f t="shared" si="6"/>
        <v>45</v>
      </c>
      <c r="B55" s="1240" t="s">
        <v>944</v>
      </c>
      <c r="C55" s="1246">
        <v>-37002136</v>
      </c>
      <c r="D55" s="1246">
        <v>1293780</v>
      </c>
      <c r="E55" s="1246">
        <f t="shared" si="4"/>
        <v>776268</v>
      </c>
      <c r="F55" s="1246">
        <v>517512</v>
      </c>
      <c r="G55" s="1243"/>
      <c r="H55" s="1246">
        <f t="shared" si="5"/>
        <v>517512</v>
      </c>
    </row>
    <row r="56" spans="1:8" ht="12.75">
      <c r="A56" s="1237">
        <f t="shared" si="6"/>
        <v>46</v>
      </c>
      <c r="B56" s="1240" t="s">
        <v>945</v>
      </c>
      <c r="C56" s="1246">
        <v>248498394</v>
      </c>
      <c r="D56" s="1246">
        <v>-8688745</v>
      </c>
      <c r="E56" s="1246">
        <f t="shared" si="4"/>
        <v>-5213247.399999954</v>
      </c>
      <c r="F56" s="1246">
        <v>-3475497.600000046</v>
      </c>
      <c r="G56" s="1243"/>
      <c r="H56" s="1246">
        <f t="shared" si="5"/>
        <v>-3475497.600000046</v>
      </c>
    </row>
    <row r="57" spans="1:8" ht="12.75">
      <c r="A57" s="1237">
        <f t="shared" si="6"/>
        <v>47</v>
      </c>
      <c r="B57" s="1240" t="s">
        <v>946</v>
      </c>
      <c r="C57" s="1246">
        <v>8239276</v>
      </c>
      <c r="D57" s="1246">
        <v>-288086</v>
      </c>
      <c r="E57" s="1246">
        <f t="shared" si="4"/>
        <v>-172851</v>
      </c>
      <c r="F57" s="1246">
        <v>-115235</v>
      </c>
      <c r="G57" s="1243"/>
      <c r="H57" s="1246">
        <f t="shared" si="5"/>
        <v>-115235</v>
      </c>
    </row>
    <row r="58" spans="1:8" ht="12.75">
      <c r="A58" s="1237">
        <f t="shared" si="6"/>
        <v>48</v>
      </c>
      <c r="B58" s="1240" t="s">
        <v>947</v>
      </c>
      <c r="C58" s="1246">
        <v>40744</v>
      </c>
      <c r="D58" s="1246">
        <v>-1425</v>
      </c>
      <c r="E58" s="1246">
        <f t="shared" si="4"/>
        <v>-855</v>
      </c>
      <c r="F58" s="1246">
        <v>-570</v>
      </c>
      <c r="G58" s="1243"/>
      <c r="H58" s="1246">
        <f t="shared" si="5"/>
        <v>-570</v>
      </c>
    </row>
    <row r="59" spans="1:8" ht="12.75">
      <c r="A59" s="1237">
        <f t="shared" si="6"/>
        <v>49</v>
      </c>
      <c r="B59" s="1240" t="s">
        <v>948</v>
      </c>
      <c r="C59" s="1246">
        <v>-782527</v>
      </c>
      <c r="D59" s="1246">
        <v>27361</v>
      </c>
      <c r="E59" s="1246">
        <f t="shared" si="4"/>
        <v>16417</v>
      </c>
      <c r="F59" s="1246">
        <v>10944</v>
      </c>
      <c r="G59" s="1243"/>
      <c r="H59" s="1246">
        <f t="shared" si="5"/>
        <v>10944</v>
      </c>
    </row>
    <row r="60" spans="1:8" ht="12.75">
      <c r="A60" s="1237">
        <f t="shared" si="6"/>
        <v>50</v>
      </c>
      <c r="B60" s="1240" t="s">
        <v>949</v>
      </c>
      <c r="C60" s="1246">
        <v>12248150</v>
      </c>
      <c r="D60" s="1246">
        <v>-428256</v>
      </c>
      <c r="E60" s="1246">
        <f t="shared" si="4"/>
        <v>-256953.400000467</v>
      </c>
      <c r="F60" s="1246">
        <v>-171302.599999533</v>
      </c>
      <c r="G60" s="1243"/>
      <c r="H60" s="1246">
        <f t="shared" si="5"/>
        <v>-171302.599999533</v>
      </c>
    </row>
    <row r="61" spans="1:8" ht="12.75">
      <c r="A61" s="1237">
        <f t="shared" si="6"/>
        <v>51</v>
      </c>
      <c r="B61" s="1240" t="s">
        <v>950</v>
      </c>
      <c r="C61" s="1246">
        <v>16194041</v>
      </c>
      <c r="D61" s="1246">
        <v>-566225</v>
      </c>
      <c r="E61" s="1246">
        <f t="shared" si="4"/>
        <v>-339735</v>
      </c>
      <c r="F61" s="1246">
        <v>-226490</v>
      </c>
      <c r="G61" s="1243"/>
      <c r="H61" s="1246">
        <f t="shared" si="5"/>
        <v>-226490</v>
      </c>
    </row>
    <row r="62" spans="1:8" ht="12.75">
      <c r="A62" s="1237">
        <f t="shared" si="6"/>
        <v>52</v>
      </c>
      <c r="B62" s="1240" t="s">
        <v>951</v>
      </c>
      <c r="C62" s="1246">
        <v>0</v>
      </c>
      <c r="D62" s="1246">
        <v>0</v>
      </c>
      <c r="E62" s="1246">
        <f t="shared" si="4"/>
        <v>0</v>
      </c>
      <c r="F62" s="1246">
        <v>0</v>
      </c>
      <c r="G62" s="1243"/>
      <c r="H62" s="1246">
        <f t="shared" si="5"/>
        <v>0</v>
      </c>
    </row>
    <row r="63" spans="1:8" ht="12.75">
      <c r="A63" s="1237">
        <f t="shared" si="6"/>
        <v>53</v>
      </c>
      <c r="B63" s="1240" t="s">
        <v>933</v>
      </c>
      <c r="C63" s="1246">
        <v>0</v>
      </c>
      <c r="D63" s="1246">
        <v>0</v>
      </c>
      <c r="E63" s="1246">
        <f t="shared" si="4"/>
        <v>0</v>
      </c>
      <c r="F63" s="1246">
        <v>0</v>
      </c>
      <c r="G63" s="1243"/>
      <c r="H63" s="1246">
        <f t="shared" si="5"/>
        <v>0</v>
      </c>
    </row>
    <row r="64" spans="1:8" ht="12.75">
      <c r="A64" s="1237">
        <f t="shared" si="6"/>
        <v>54</v>
      </c>
      <c r="B64" s="1240" t="s">
        <v>952</v>
      </c>
      <c r="C64" s="1246">
        <v>-497820.44356499997</v>
      </c>
      <c r="D64" s="1246">
        <v>15546</v>
      </c>
      <c r="E64" s="1246">
        <f t="shared" si="4"/>
        <v>9674.495691140986</v>
      </c>
      <c r="F64" s="1246">
        <v>5871.504308859015</v>
      </c>
      <c r="G64" s="1243"/>
      <c r="H64" s="1246">
        <f t="shared" si="5"/>
        <v>5871.504308859015</v>
      </c>
    </row>
    <row r="65" spans="1:8" ht="12.75">
      <c r="A65" s="1237">
        <f t="shared" si="6"/>
        <v>55</v>
      </c>
      <c r="B65" s="1240" t="s">
        <v>953</v>
      </c>
      <c r="C65" s="1246">
        <v>0</v>
      </c>
      <c r="D65" s="1246">
        <v>0</v>
      </c>
      <c r="E65" s="1246">
        <f t="shared" si="4"/>
        <v>0</v>
      </c>
      <c r="F65" s="1246">
        <v>0</v>
      </c>
      <c r="G65" s="1243"/>
      <c r="H65" s="1246">
        <f t="shared" si="5"/>
        <v>0</v>
      </c>
    </row>
    <row r="66" spans="1:8" ht="12.75">
      <c r="A66" s="1237">
        <f t="shared" si="6"/>
        <v>56</v>
      </c>
      <c r="B66" s="1240" t="s">
        <v>954</v>
      </c>
      <c r="C66" s="1246">
        <v>53077.752545999996</v>
      </c>
      <c r="D66" s="1246">
        <v>-1856</v>
      </c>
      <c r="E66" s="1246">
        <f t="shared" si="4"/>
        <v>-1155</v>
      </c>
      <c r="F66" s="1246">
        <v>-701</v>
      </c>
      <c r="G66" s="1243"/>
      <c r="H66" s="1246">
        <f t="shared" si="5"/>
        <v>-701</v>
      </c>
    </row>
    <row r="67" spans="1:8" ht="12.75">
      <c r="A67" s="1237">
        <f t="shared" si="6"/>
        <v>57</v>
      </c>
      <c r="B67" s="1240" t="s">
        <v>955</v>
      </c>
      <c r="C67" s="1246">
        <v>598792.907283</v>
      </c>
      <c r="D67" s="1246">
        <v>-14620</v>
      </c>
      <c r="E67" s="1246">
        <f t="shared" si="4"/>
        <v>-9097.959593064908</v>
      </c>
      <c r="F67" s="1246">
        <v>-5522.040406935091</v>
      </c>
      <c r="G67" s="1243"/>
      <c r="H67" s="1246">
        <f t="shared" si="5"/>
        <v>-5522.040406935091</v>
      </c>
    </row>
    <row r="68" spans="1:8" ht="12.75">
      <c r="A68" s="1237">
        <f t="shared" si="6"/>
        <v>58</v>
      </c>
      <c r="B68" s="1240" t="s">
        <v>956</v>
      </c>
      <c r="C68" s="1246">
        <v>54105.949307999996</v>
      </c>
      <c r="D68" s="1246">
        <v>-1329</v>
      </c>
      <c r="E68" s="1246">
        <f t="shared" si="4"/>
        <v>-827.4640591966173</v>
      </c>
      <c r="F68" s="1246">
        <v>-501.5359408033827</v>
      </c>
      <c r="G68" s="1243"/>
      <c r="H68" s="1246">
        <f t="shared" si="5"/>
        <v>-501.5359408033827</v>
      </c>
    </row>
    <row r="69" spans="1:8" ht="12.75">
      <c r="A69" s="1237">
        <f t="shared" si="6"/>
        <v>59</v>
      </c>
      <c r="B69" s="1240" t="s">
        <v>957</v>
      </c>
      <c r="C69" s="1246">
        <v>-58099.388795</v>
      </c>
      <c r="D69" s="1246">
        <v>1531</v>
      </c>
      <c r="E69" s="1246">
        <f t="shared" si="4"/>
        <v>952.823239783358</v>
      </c>
      <c r="F69" s="1246">
        <v>578.176760216642</v>
      </c>
      <c r="G69" s="1243"/>
      <c r="H69" s="1246">
        <f t="shared" si="5"/>
        <v>578.176760216642</v>
      </c>
    </row>
    <row r="70" spans="1:8" ht="12.75">
      <c r="A70" s="1237">
        <f t="shared" si="6"/>
        <v>60</v>
      </c>
      <c r="B70" s="1240" t="s">
        <v>958</v>
      </c>
      <c r="C70" s="1246">
        <v>335019.85597</v>
      </c>
      <c r="D70" s="1246">
        <v>-8709</v>
      </c>
      <c r="E70" s="1246">
        <f t="shared" si="4"/>
        <v>-5419.89158272153</v>
      </c>
      <c r="F70" s="1246">
        <v>-3289.1084172784704</v>
      </c>
      <c r="G70" s="1243"/>
      <c r="H70" s="1246">
        <f t="shared" si="5"/>
        <v>-3289.1084172784704</v>
      </c>
    </row>
    <row r="71" spans="1:8" ht="12.75">
      <c r="A71" s="1237">
        <f t="shared" si="6"/>
        <v>61</v>
      </c>
      <c r="B71" s="1240" t="s">
        <v>959</v>
      </c>
      <c r="C71" s="1246">
        <v>-603127.972246</v>
      </c>
      <c r="D71" s="1246">
        <v>17666</v>
      </c>
      <c r="E71" s="1246">
        <f t="shared" si="4"/>
        <v>10993.499525796662</v>
      </c>
      <c r="F71" s="1246">
        <v>6672.500474203339</v>
      </c>
      <c r="G71" s="1243"/>
      <c r="H71" s="1246">
        <f t="shared" si="5"/>
        <v>6672.500474203339</v>
      </c>
    </row>
    <row r="72" spans="1:8" ht="12.75">
      <c r="A72" s="1237">
        <f t="shared" si="6"/>
        <v>62</v>
      </c>
      <c r="B72" s="1240" t="s">
        <v>960</v>
      </c>
      <c r="C72" s="1246">
        <v>-1400035.063844</v>
      </c>
      <c r="D72" s="1246">
        <v>34137</v>
      </c>
      <c r="E72" s="1246">
        <f t="shared" si="4"/>
        <v>21244.27128615787</v>
      </c>
      <c r="F72" s="1246">
        <v>12892.72871384213</v>
      </c>
      <c r="G72" s="1243"/>
      <c r="H72" s="1246">
        <f t="shared" si="5"/>
        <v>12892.72871384213</v>
      </c>
    </row>
    <row r="73" spans="1:8" ht="12.75">
      <c r="A73" s="1237">
        <f t="shared" si="6"/>
        <v>63</v>
      </c>
      <c r="B73" s="1240" t="s">
        <v>961</v>
      </c>
      <c r="C73" s="1246">
        <v>20769501.913978</v>
      </c>
      <c r="D73" s="1246">
        <v>-622627</v>
      </c>
      <c r="E73" s="1246">
        <f t="shared" si="4"/>
        <v>-387471.07585175557</v>
      </c>
      <c r="F73" s="1246">
        <v>-235155.92414824443</v>
      </c>
      <c r="G73" s="1243"/>
      <c r="H73" s="1246">
        <f t="shared" si="5"/>
        <v>-235155.92414824443</v>
      </c>
    </row>
    <row r="74" spans="1:8" ht="12.75">
      <c r="A74" s="1237">
        <f t="shared" si="6"/>
        <v>64</v>
      </c>
      <c r="B74" s="1240" t="s">
        <v>962</v>
      </c>
      <c r="C74" s="1246">
        <v>-75405.15406599999</v>
      </c>
      <c r="D74" s="1246">
        <v>1715</v>
      </c>
      <c r="E74" s="1246">
        <f t="shared" si="4"/>
        <v>1067.241183162685</v>
      </c>
      <c r="F74" s="1246">
        <v>647.7588168373151</v>
      </c>
      <c r="G74" s="1243"/>
      <c r="H74" s="1246">
        <f t="shared" si="5"/>
        <v>647.7588168373151</v>
      </c>
    </row>
    <row r="75" spans="1:8" ht="12.75">
      <c r="A75" s="1237">
        <f t="shared" si="6"/>
        <v>65</v>
      </c>
      <c r="B75" s="1240" t="s">
        <v>963</v>
      </c>
      <c r="C75" s="1246">
        <v>0</v>
      </c>
      <c r="D75" s="1246">
        <v>0</v>
      </c>
      <c r="E75" s="1246">
        <f t="shared" si="4"/>
        <v>0</v>
      </c>
      <c r="F75" s="1246">
        <v>0</v>
      </c>
      <c r="G75" s="1243"/>
      <c r="H75" s="1246">
        <f t="shared" si="5"/>
        <v>0</v>
      </c>
    </row>
    <row r="76" spans="1:8" ht="12.75">
      <c r="A76" s="1237">
        <f t="shared" si="6"/>
        <v>66</v>
      </c>
      <c r="B76" s="1240" t="s">
        <v>964</v>
      </c>
      <c r="C76" s="1246">
        <v>259886.78482899998</v>
      </c>
      <c r="D76" s="1246">
        <v>-7412</v>
      </c>
      <c r="E76" s="1246">
        <f t="shared" si="4"/>
        <v>-4612.618025751073</v>
      </c>
      <c r="F76" s="1246">
        <v>-2799.3819742489272</v>
      </c>
      <c r="G76" s="1243"/>
      <c r="H76" s="1246">
        <f t="shared" si="5"/>
        <v>-2799.3819742489272</v>
      </c>
    </row>
    <row r="77" spans="1:8" ht="12.75">
      <c r="A77" s="1237">
        <f>A76+1</f>
        <v>67</v>
      </c>
      <c r="B77" s="1244" t="s">
        <v>965</v>
      </c>
      <c r="C77" s="1253">
        <f aca="true" t="shared" si="7" ref="C77:H77">SUM(C44:C76)</f>
        <v>289198075.141398</v>
      </c>
      <c r="D77" s="1253">
        <f t="shared" si="7"/>
        <v>-9313555</v>
      </c>
      <c r="E77" s="1253">
        <f t="shared" si="7"/>
        <v>-5601209.078187074</v>
      </c>
      <c r="F77" s="1253">
        <f t="shared" si="7"/>
        <v>-3712345.921812926</v>
      </c>
      <c r="G77" s="1253">
        <f t="shared" si="7"/>
        <v>0</v>
      </c>
      <c r="H77" s="1253">
        <f t="shared" si="7"/>
        <v>-3712345.921812926</v>
      </c>
    </row>
    <row r="78" spans="1:8" ht="12.75">
      <c r="A78" s="1236"/>
      <c r="B78" s="1240"/>
      <c r="C78" s="1254"/>
      <c r="D78" s="1254"/>
      <c r="E78" s="1254"/>
      <c r="F78" s="1254"/>
      <c r="G78" s="1254"/>
      <c r="H78" s="1254"/>
    </row>
    <row r="79" spans="1:8" ht="13.5" thickBot="1">
      <c r="A79" s="1237">
        <f>A77+1</f>
        <v>68</v>
      </c>
      <c r="B79" s="1244" t="s">
        <v>966</v>
      </c>
      <c r="C79" s="1255">
        <f aca="true" t="shared" si="8" ref="C79:H79">C41+C77</f>
        <v>763899176.815387</v>
      </c>
      <c r="D79" s="1255">
        <f t="shared" si="8"/>
        <v>153993232</v>
      </c>
      <c r="E79" s="1255">
        <f t="shared" si="8"/>
        <v>92560353.25295582</v>
      </c>
      <c r="F79" s="1255">
        <f t="shared" si="8"/>
        <v>61432878.747044146</v>
      </c>
      <c r="G79" s="1255">
        <f t="shared" si="8"/>
        <v>62306925.68246183</v>
      </c>
      <c r="H79" s="1255">
        <f t="shared" si="8"/>
        <v>-874046.9354176722</v>
      </c>
    </row>
    <row r="80" spans="1:8" ht="13.5" thickTop="1">
      <c r="A80" s="1236"/>
      <c r="B80" s="1240"/>
      <c r="C80" s="1240"/>
      <c r="D80" s="1240"/>
      <c r="E80" s="1240"/>
      <c r="F80" s="1240"/>
      <c r="G80" s="1243"/>
      <c r="H80" s="1236"/>
    </row>
    <row r="81" spans="1:8" ht="12.75">
      <c r="A81" s="1236"/>
      <c r="B81" s="1240"/>
      <c r="C81" s="1240"/>
      <c r="D81" s="1240"/>
      <c r="E81" s="1240"/>
      <c r="F81" s="1240"/>
      <c r="G81" s="1243"/>
      <c r="H81" s="1236"/>
    </row>
    <row r="82" spans="1:8" ht="12.75">
      <c r="A82" s="1236"/>
      <c r="B82" s="1244" t="s">
        <v>967</v>
      </c>
      <c r="C82" s="1248"/>
      <c r="D82" s="1248"/>
      <c r="E82" s="1248"/>
      <c r="F82" s="1248"/>
      <c r="G82" s="1249"/>
      <c r="H82" s="1236"/>
    </row>
    <row r="83" spans="1:8" ht="12.75">
      <c r="A83" s="1237">
        <f>A79+1</f>
        <v>69</v>
      </c>
      <c r="B83" s="1240" t="s">
        <v>968</v>
      </c>
      <c r="C83" s="1246">
        <v>60046793</v>
      </c>
      <c r="D83" s="1246">
        <f>ROUND(C83*(1-0.0999)*0.35,0)</f>
        <v>18916841</v>
      </c>
      <c r="E83" s="1246">
        <f>ROUND(C83*(1-0.0999)*0.21,0)</f>
        <v>11350105</v>
      </c>
      <c r="F83" s="1246">
        <f aca="true" t="shared" si="9" ref="F83:F93">D83-E83</f>
        <v>7566736</v>
      </c>
      <c r="G83" s="1249"/>
      <c r="H83" s="1246">
        <f>F83</f>
        <v>7566736</v>
      </c>
    </row>
    <row r="84" spans="1:8" ht="12.75">
      <c r="A84" s="1237">
        <f>A83+1</f>
        <v>70</v>
      </c>
      <c r="B84" s="1240" t="s">
        <v>969</v>
      </c>
      <c r="C84" s="1246">
        <v>772178</v>
      </c>
      <c r="D84" s="1246">
        <f aca="true" t="shared" si="10" ref="D84:D93">ROUND(C84*(1-0.0999)*0.35,0)</f>
        <v>243263</v>
      </c>
      <c r="E84" s="1246">
        <f aca="true" t="shared" si="11" ref="E84:E93">ROUND(C84*(1-0.0999)*0.21,0)</f>
        <v>145958</v>
      </c>
      <c r="F84" s="1246">
        <f t="shared" si="9"/>
        <v>97305</v>
      </c>
      <c r="G84" s="1249"/>
      <c r="H84" s="1246">
        <f aca="true" t="shared" si="12" ref="H84:H93">F84</f>
        <v>97305</v>
      </c>
    </row>
    <row r="85" spans="1:8" ht="12.75">
      <c r="A85" s="1237">
        <f aca="true" t="shared" si="13" ref="A85:A93">A84+1</f>
        <v>71</v>
      </c>
      <c r="B85" s="1240" t="s">
        <v>970</v>
      </c>
      <c r="C85" s="1246">
        <v>5458870</v>
      </c>
      <c r="D85" s="1246">
        <f t="shared" si="10"/>
        <v>1719735</v>
      </c>
      <c r="E85" s="1246">
        <f t="shared" si="11"/>
        <v>1031841</v>
      </c>
      <c r="F85" s="1246">
        <f t="shared" si="9"/>
        <v>687894</v>
      </c>
      <c r="G85" s="1249"/>
      <c r="H85" s="1246">
        <f t="shared" si="12"/>
        <v>687894</v>
      </c>
    </row>
    <row r="86" spans="1:8" ht="12.75">
      <c r="A86" s="1237">
        <f t="shared" si="13"/>
        <v>72</v>
      </c>
      <c r="B86" s="1240" t="s">
        <v>971</v>
      </c>
      <c r="C86" s="1246">
        <v>-2917638</v>
      </c>
      <c r="D86" s="1246">
        <f t="shared" si="10"/>
        <v>-919158</v>
      </c>
      <c r="E86" s="1246">
        <f t="shared" si="11"/>
        <v>-551495</v>
      </c>
      <c r="F86" s="1246">
        <f t="shared" si="9"/>
        <v>-367663</v>
      </c>
      <c r="G86" s="1249"/>
      <c r="H86" s="1246">
        <f t="shared" si="12"/>
        <v>-367663</v>
      </c>
    </row>
    <row r="87" spans="1:8" ht="12.75">
      <c r="A87" s="1237">
        <f t="shared" si="13"/>
        <v>73</v>
      </c>
      <c r="B87" s="1240" t="s">
        <v>972</v>
      </c>
      <c r="C87" s="1246">
        <v>-481682</v>
      </c>
      <c r="D87" s="1246">
        <f t="shared" si="10"/>
        <v>-151747</v>
      </c>
      <c r="E87" s="1246">
        <f t="shared" si="11"/>
        <v>-91048</v>
      </c>
      <c r="F87" s="1246">
        <f t="shared" si="9"/>
        <v>-60699</v>
      </c>
      <c r="G87" s="1249"/>
      <c r="H87" s="1246">
        <f t="shared" si="12"/>
        <v>-60699</v>
      </c>
    </row>
    <row r="88" spans="1:8" ht="12.75">
      <c r="A88" s="1237">
        <f t="shared" si="13"/>
        <v>74</v>
      </c>
      <c r="B88" s="1240" t="s">
        <v>973</v>
      </c>
      <c r="C88" s="1246">
        <v>-357489</v>
      </c>
      <c r="D88" s="1246">
        <f t="shared" si="10"/>
        <v>-112622</v>
      </c>
      <c r="E88" s="1246">
        <f t="shared" si="11"/>
        <v>-67573</v>
      </c>
      <c r="F88" s="1246">
        <f t="shared" si="9"/>
        <v>-45049</v>
      </c>
      <c r="G88" s="1249"/>
      <c r="H88" s="1246">
        <f t="shared" si="12"/>
        <v>-45049</v>
      </c>
    </row>
    <row r="89" spans="1:8" ht="12.75">
      <c r="A89" s="1237">
        <f t="shared" si="13"/>
        <v>75</v>
      </c>
      <c r="B89" s="1240" t="s">
        <v>974</v>
      </c>
      <c r="C89" s="1246">
        <v>-6157455</v>
      </c>
      <c r="D89" s="1246">
        <f t="shared" si="10"/>
        <v>-1939814</v>
      </c>
      <c r="E89" s="1246">
        <f t="shared" si="11"/>
        <v>-1163888</v>
      </c>
      <c r="F89" s="1246">
        <f t="shared" si="9"/>
        <v>-775926</v>
      </c>
      <c r="G89" s="1249"/>
      <c r="H89" s="1246">
        <f t="shared" si="12"/>
        <v>-775926</v>
      </c>
    </row>
    <row r="90" spans="1:8" ht="12.75">
      <c r="A90" s="1237">
        <f t="shared" si="13"/>
        <v>76</v>
      </c>
      <c r="B90" s="1240" t="s">
        <v>975</v>
      </c>
      <c r="C90" s="1246">
        <v>-930444</v>
      </c>
      <c r="D90" s="1246">
        <f t="shared" si="10"/>
        <v>-293122</v>
      </c>
      <c r="E90" s="1246">
        <f t="shared" si="11"/>
        <v>-175873</v>
      </c>
      <c r="F90" s="1246">
        <f t="shared" si="9"/>
        <v>-117249</v>
      </c>
      <c r="G90" s="1249"/>
      <c r="H90" s="1246">
        <f t="shared" si="12"/>
        <v>-117249</v>
      </c>
    </row>
    <row r="91" spans="1:8" ht="12.75">
      <c r="A91" s="1237">
        <f t="shared" si="13"/>
        <v>77</v>
      </c>
      <c r="B91" s="1248" t="s">
        <v>976</v>
      </c>
      <c r="C91" s="1246">
        <v>-772178</v>
      </c>
      <c r="D91" s="1246">
        <f t="shared" si="10"/>
        <v>-243263</v>
      </c>
      <c r="E91" s="1246">
        <f t="shared" si="11"/>
        <v>-145958</v>
      </c>
      <c r="F91" s="1246">
        <f t="shared" si="9"/>
        <v>-97305</v>
      </c>
      <c r="G91" s="1249"/>
      <c r="H91" s="1246">
        <f t="shared" si="12"/>
        <v>-97305</v>
      </c>
    </row>
    <row r="92" spans="1:8" ht="12.75">
      <c r="A92" s="1237">
        <f t="shared" si="13"/>
        <v>78</v>
      </c>
      <c r="B92" s="1240" t="s">
        <v>977</v>
      </c>
      <c r="C92" s="1246">
        <v>-214270</v>
      </c>
      <c r="D92" s="1246">
        <f t="shared" si="10"/>
        <v>-67503</v>
      </c>
      <c r="E92" s="1246">
        <f t="shared" si="11"/>
        <v>-40502</v>
      </c>
      <c r="F92" s="1246">
        <f t="shared" si="9"/>
        <v>-27001</v>
      </c>
      <c r="G92" s="1249"/>
      <c r="H92" s="1246">
        <f t="shared" si="12"/>
        <v>-27001</v>
      </c>
    </row>
    <row r="93" spans="1:8" ht="12.75">
      <c r="A93" s="1237">
        <f t="shared" si="13"/>
        <v>79</v>
      </c>
      <c r="B93" s="1240" t="s">
        <v>978</v>
      </c>
      <c r="C93" s="1246">
        <v>-33592946</v>
      </c>
      <c r="D93" s="1246">
        <f t="shared" si="10"/>
        <v>-10582954</v>
      </c>
      <c r="E93" s="1246">
        <f t="shared" si="11"/>
        <v>-6349772</v>
      </c>
      <c r="F93" s="1246">
        <f t="shared" si="9"/>
        <v>-4233182</v>
      </c>
      <c r="G93" s="1249"/>
      <c r="H93" s="1246">
        <f t="shared" si="12"/>
        <v>-4233182</v>
      </c>
    </row>
    <row r="94" spans="1:8" ht="13.5" thickBot="1">
      <c r="A94" s="1237">
        <f>A93+1</f>
        <v>80</v>
      </c>
      <c r="B94" s="1244" t="s">
        <v>998</v>
      </c>
      <c r="C94" s="1255">
        <f aca="true" t="shared" si="14" ref="C94:H94">SUM(C83:C93)</f>
        <v>20853739</v>
      </c>
      <c r="D94" s="1255">
        <f t="shared" si="14"/>
        <v>6569656</v>
      </c>
      <c r="E94" s="1255">
        <f t="shared" si="14"/>
        <v>3941795</v>
      </c>
      <c r="F94" s="1255">
        <f t="shared" si="14"/>
        <v>2627861</v>
      </c>
      <c r="G94" s="1255">
        <f t="shared" si="14"/>
        <v>0</v>
      </c>
      <c r="H94" s="1255">
        <f t="shared" si="14"/>
        <v>2627861</v>
      </c>
    </row>
    <row r="95" spans="1:8" ht="13.5" thickTop="1">
      <c r="A95" s="1236"/>
      <c r="B95" s="1240"/>
      <c r="C95" s="1252"/>
      <c r="D95" s="1256"/>
      <c r="E95" s="1256"/>
      <c r="F95" s="1256"/>
      <c r="G95" s="1256"/>
      <c r="H95" s="1256"/>
    </row>
    <row r="96" spans="1:8" ht="13.5" thickBot="1">
      <c r="A96" s="1237">
        <f>A94+1</f>
        <v>81</v>
      </c>
      <c r="B96" s="1244" t="s">
        <v>979</v>
      </c>
      <c r="C96" s="1255">
        <f aca="true" t="shared" si="15" ref="C96:H96">C79+C94</f>
        <v>784752915.815387</v>
      </c>
      <c r="D96" s="1255">
        <f t="shared" si="15"/>
        <v>160562888</v>
      </c>
      <c r="E96" s="1255">
        <f t="shared" si="15"/>
        <v>96502148.25295582</v>
      </c>
      <c r="F96" s="1255">
        <f t="shared" si="15"/>
        <v>64060739.747044146</v>
      </c>
      <c r="G96" s="1255">
        <f t="shared" si="15"/>
        <v>62306925.68246183</v>
      </c>
      <c r="H96" s="1255">
        <f t="shared" si="15"/>
        <v>1753814.0645823278</v>
      </c>
    </row>
    <row r="97" spans="1:8" ht="13.5" thickTop="1">
      <c r="A97" s="1236"/>
      <c r="B97" s="1236"/>
      <c r="C97" s="1236"/>
      <c r="D97" s="1236"/>
      <c r="E97" s="1236"/>
      <c r="F97" s="1236"/>
      <c r="G97" s="1236"/>
      <c r="H97" s="1236"/>
    </row>
    <row r="98" spans="1:8" ht="12.75">
      <c r="A98" s="1236"/>
      <c r="B98" s="1236"/>
      <c r="C98" s="1236"/>
      <c r="D98" s="1236"/>
      <c r="E98" s="1236"/>
      <c r="F98" s="1236"/>
      <c r="G98" s="1236"/>
      <c r="H98" s="1236"/>
    </row>
    <row r="99" spans="1:8" ht="12.75" customHeight="1">
      <c r="A99" s="1250"/>
      <c r="B99" s="1453" t="s">
        <v>503</v>
      </c>
      <c r="C99" s="1453"/>
      <c r="D99" s="1453"/>
      <c r="E99" s="1453"/>
      <c r="F99" s="1453"/>
      <c r="G99" s="1453"/>
      <c r="H99" s="1236"/>
    </row>
    <row r="100" spans="1:8" ht="49.5" customHeight="1">
      <c r="A100" s="1250"/>
      <c r="B100" s="1454" t="s">
        <v>999</v>
      </c>
      <c r="C100" s="1454"/>
      <c r="D100" s="1454"/>
      <c r="E100" s="1454"/>
      <c r="F100" s="1454"/>
      <c r="G100" s="1454"/>
      <c r="H100" s="1236"/>
    </row>
    <row r="101" spans="1:8" ht="24" customHeight="1">
      <c r="A101" s="1250"/>
      <c r="B101" s="1454" t="s">
        <v>1000</v>
      </c>
      <c r="C101" s="1454"/>
      <c r="D101" s="1454"/>
      <c r="E101" s="1454"/>
      <c r="F101" s="1454"/>
      <c r="G101" s="1454"/>
      <c r="H101" s="1236"/>
    </row>
    <row r="102" spans="1:8" ht="24.75" customHeight="1">
      <c r="A102" s="1250"/>
      <c r="B102" s="1454" t="s">
        <v>1001</v>
      </c>
      <c r="C102" s="1454"/>
      <c r="D102" s="1454"/>
      <c r="E102" s="1454"/>
      <c r="F102" s="1454"/>
      <c r="G102" s="1454"/>
      <c r="H102" s="1236"/>
    </row>
    <row r="103" spans="1:8" ht="36.75" customHeight="1">
      <c r="A103" s="1250"/>
      <c r="B103" s="1454" t="s">
        <v>1002</v>
      </c>
      <c r="C103" s="1454"/>
      <c r="D103" s="1454"/>
      <c r="E103" s="1454"/>
      <c r="F103" s="1454"/>
      <c r="G103" s="1454"/>
      <c r="H103" s="1236"/>
    </row>
    <row r="104" spans="1:8" ht="12.75" customHeight="1">
      <c r="A104" s="1237"/>
      <c r="B104" s="1454" t="s">
        <v>1003</v>
      </c>
      <c r="C104" s="1454"/>
      <c r="D104" s="1454"/>
      <c r="E104" s="1454"/>
      <c r="F104" s="1454"/>
      <c r="G104" s="1454"/>
      <c r="H104" s="1236"/>
    </row>
    <row r="303" ht="12.75">
      <c r="B303" s="1339"/>
    </row>
    <row r="304" ht="12.75">
      <c r="B304" s="1339"/>
    </row>
  </sheetData>
  <sheetProtection/>
  <mergeCells count="6">
    <mergeCell ref="B99:G99"/>
    <mergeCell ref="B100:G100"/>
    <mergeCell ref="B101:G101"/>
    <mergeCell ref="B102:G102"/>
    <mergeCell ref="B103:G103"/>
    <mergeCell ref="B104:G104"/>
  </mergeCells>
  <printOptions/>
  <pageMargins left="0.7" right="0.7" top="0.75" bottom="0.75" header="0.3" footer="0.3"/>
  <pageSetup fitToHeight="2" horizontalDpi="600" verticalDpi="600" orientation="landscape" scale="58" r:id="rId1"/>
  <headerFooter>
    <oddHeader>&amp;CDuquesne Light Company
Attachment H -17A
Attachment 9.2 - Excess Deferred Income Tax (EDIT) TCJA 2017&amp;RPage &amp;P of &amp;N</oddHeader>
  </headerFooter>
  <rowBreaks count="1" manualBreakCount="1">
    <brk id="58" max="7" man="1"/>
  </rowBreaks>
</worksheet>
</file>

<file path=xl/worksheets/sheet2.xml><?xml version="1.0" encoding="utf-8"?>
<worksheet xmlns="http://schemas.openxmlformats.org/spreadsheetml/2006/main" xmlns:r="http://schemas.openxmlformats.org/officeDocument/2006/relationships">
  <sheetPr>
    <pageSetUpPr fitToPage="1"/>
  </sheetPr>
  <dimension ref="A1:FB304"/>
  <sheetViews>
    <sheetView zoomScale="50" zoomScaleNormal="50" zoomScaleSheetLayoutView="75" workbookViewId="0" topLeftCell="A1">
      <selection activeCell="G271" sqref="G271"/>
    </sheetView>
  </sheetViews>
  <sheetFormatPr defaultColWidth="9.140625" defaultRowHeight="12.75"/>
  <cols>
    <col min="1" max="1" width="6.00390625" style="375" bestFit="1" customWidth="1"/>
    <col min="2" max="2" width="61.28125" style="375" customWidth="1"/>
    <col min="3" max="3" width="17.7109375" style="375" bestFit="1" customWidth="1"/>
    <col min="4" max="4" width="15.421875" style="375" customWidth="1"/>
    <col min="5" max="5" width="17.8515625" style="375" bestFit="1" customWidth="1"/>
    <col min="6" max="6" width="15.00390625" style="375" bestFit="1" customWidth="1"/>
    <col min="7" max="7" width="16.140625" style="375" customWidth="1"/>
    <col min="8" max="8" width="15.8515625" style="375" bestFit="1" customWidth="1"/>
    <col min="9" max="9" width="15.140625" style="375" customWidth="1"/>
    <col min="10" max="10" width="83.8515625" style="375" customWidth="1"/>
    <col min="11" max="16384" width="9.140625" style="375" customWidth="1"/>
  </cols>
  <sheetData>
    <row r="1" spans="1:157" s="378" customFormat="1" ht="12.75">
      <c r="A1" s="392"/>
      <c r="B1" s="307" t="s">
        <v>318</v>
      </c>
      <c r="C1" s="307" t="s">
        <v>450</v>
      </c>
      <c r="D1" s="307" t="s">
        <v>299</v>
      </c>
      <c r="E1" s="307" t="s">
        <v>319</v>
      </c>
      <c r="F1" s="307" t="s">
        <v>317</v>
      </c>
      <c r="G1" s="307" t="s">
        <v>606</v>
      </c>
      <c r="H1" s="307" t="s">
        <v>320</v>
      </c>
      <c r="I1" s="307" t="s">
        <v>84</v>
      </c>
      <c r="J1" s="307" t="s">
        <v>306</v>
      </c>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c r="EI1" s="375"/>
      <c r="EJ1" s="375"/>
      <c r="EK1" s="375"/>
      <c r="EL1" s="375"/>
      <c r="EM1" s="375"/>
      <c r="EN1" s="375"/>
      <c r="EO1" s="375"/>
      <c r="EP1" s="375"/>
      <c r="EQ1" s="375"/>
      <c r="ER1" s="375"/>
      <c r="ES1" s="375"/>
      <c r="ET1" s="375"/>
      <c r="EU1" s="375"/>
      <c r="EV1" s="375"/>
      <c r="EW1" s="375"/>
      <c r="EX1" s="375"/>
      <c r="EY1" s="375"/>
      <c r="EZ1" s="375"/>
      <c r="FA1" s="375"/>
    </row>
    <row r="2" spans="2:158" s="378" customFormat="1" ht="12.75">
      <c r="B2" s="375"/>
      <c r="C2" s="308" t="s">
        <v>736</v>
      </c>
      <c r="D2" s="308" t="s">
        <v>3</v>
      </c>
      <c r="E2" s="308" t="s">
        <v>738</v>
      </c>
      <c r="F2" s="308" t="s">
        <v>551</v>
      </c>
      <c r="G2" s="308" t="s">
        <v>552</v>
      </c>
      <c r="H2" s="308"/>
      <c r="I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c r="CA2" s="375"/>
      <c r="CB2" s="375"/>
      <c r="CC2" s="375"/>
      <c r="CD2" s="375"/>
      <c r="CE2" s="375"/>
      <c r="CF2" s="375"/>
      <c r="CG2" s="375"/>
      <c r="CH2" s="375"/>
      <c r="CI2" s="375"/>
      <c r="CJ2" s="375"/>
      <c r="CK2" s="375"/>
      <c r="CL2" s="375"/>
      <c r="CM2" s="375"/>
      <c r="CN2" s="375"/>
      <c r="CO2" s="375"/>
      <c r="CP2" s="375"/>
      <c r="CQ2" s="375"/>
      <c r="CR2" s="375"/>
      <c r="CS2" s="375"/>
      <c r="CT2" s="375"/>
      <c r="CU2" s="375"/>
      <c r="CV2" s="375"/>
      <c r="CW2" s="375"/>
      <c r="CX2" s="375"/>
      <c r="CY2" s="375"/>
      <c r="CZ2" s="375"/>
      <c r="DA2" s="375"/>
      <c r="DB2" s="375"/>
      <c r="DC2" s="375"/>
      <c r="DD2" s="375"/>
      <c r="DE2" s="375"/>
      <c r="DF2" s="375"/>
      <c r="DG2" s="375"/>
      <c r="DH2" s="375"/>
      <c r="DI2" s="375"/>
      <c r="DJ2" s="375"/>
      <c r="DK2" s="375"/>
      <c r="DL2" s="375"/>
      <c r="DM2" s="375"/>
      <c r="DN2" s="375"/>
      <c r="DO2" s="375"/>
      <c r="DP2" s="375"/>
      <c r="DQ2" s="375"/>
      <c r="DR2" s="375"/>
      <c r="DS2" s="375"/>
      <c r="DT2" s="375"/>
      <c r="DU2" s="375"/>
      <c r="DV2" s="375"/>
      <c r="DW2" s="375"/>
      <c r="DX2" s="375"/>
      <c r="DY2" s="375"/>
      <c r="DZ2" s="375"/>
      <c r="EA2" s="375"/>
      <c r="EB2" s="375"/>
      <c r="EC2" s="375"/>
      <c r="ED2" s="375"/>
      <c r="EE2" s="375"/>
      <c r="EF2" s="375"/>
      <c r="EG2" s="375"/>
      <c r="EH2" s="375"/>
      <c r="EI2" s="375"/>
      <c r="EJ2" s="375"/>
      <c r="EK2" s="375"/>
      <c r="EL2" s="375"/>
      <c r="EM2" s="375"/>
      <c r="EN2" s="375"/>
      <c r="EO2" s="375"/>
      <c r="EP2" s="375"/>
      <c r="EQ2" s="375"/>
      <c r="ER2" s="375"/>
      <c r="ES2" s="375"/>
      <c r="ET2" s="375"/>
      <c r="EU2" s="375"/>
      <c r="EV2" s="375"/>
      <c r="EW2" s="375"/>
      <c r="EX2" s="375"/>
      <c r="EY2" s="375"/>
      <c r="EZ2" s="375"/>
      <c r="FA2" s="375"/>
      <c r="FB2" s="375"/>
    </row>
    <row r="3" spans="2:158" s="378" customFormat="1" ht="12.75">
      <c r="B3" s="375"/>
      <c r="C3" s="308" t="s">
        <v>449</v>
      </c>
      <c r="D3" s="308" t="s">
        <v>449</v>
      </c>
      <c r="E3" s="308"/>
      <c r="F3" s="308" t="s">
        <v>51</v>
      </c>
      <c r="G3" s="308" t="s">
        <v>525</v>
      </c>
      <c r="H3" s="308" t="s">
        <v>548</v>
      </c>
      <c r="I3" s="308" t="s">
        <v>550</v>
      </c>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5"/>
      <c r="EB3" s="375"/>
      <c r="EC3" s="375"/>
      <c r="ED3" s="375"/>
      <c r="EE3" s="375"/>
      <c r="EF3" s="375"/>
      <c r="EG3" s="375"/>
      <c r="EH3" s="375"/>
      <c r="EI3" s="375"/>
      <c r="EJ3" s="375"/>
      <c r="EK3" s="375"/>
      <c r="EL3" s="375"/>
      <c r="EM3" s="375"/>
      <c r="EN3" s="375"/>
      <c r="EO3" s="375"/>
      <c r="EP3" s="375"/>
      <c r="EQ3" s="375"/>
      <c r="ER3" s="375"/>
      <c r="ES3" s="375"/>
      <c r="ET3" s="375"/>
      <c r="EU3" s="375"/>
      <c r="EV3" s="375"/>
      <c r="EW3" s="375"/>
      <c r="EX3" s="375"/>
      <c r="EY3" s="375"/>
      <c r="EZ3" s="375"/>
      <c r="FA3" s="375"/>
      <c r="FB3" s="375"/>
    </row>
    <row r="4" spans="2:158" s="378" customFormat="1" ht="12.75">
      <c r="B4" s="375"/>
      <c r="C4" s="308"/>
      <c r="D4" s="308"/>
      <c r="E4" s="308"/>
      <c r="F4" s="308" t="s">
        <v>549</v>
      </c>
      <c r="G4" s="308" t="s">
        <v>549</v>
      </c>
      <c r="H4" s="308" t="s">
        <v>549</v>
      </c>
      <c r="I4" s="308" t="s">
        <v>549</v>
      </c>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375"/>
      <c r="DG4" s="375"/>
      <c r="DH4" s="375"/>
      <c r="DI4" s="375"/>
      <c r="DJ4" s="375"/>
      <c r="DK4" s="375"/>
      <c r="DL4" s="375"/>
      <c r="DM4" s="375"/>
      <c r="DN4" s="375"/>
      <c r="DO4" s="375"/>
      <c r="DP4" s="375"/>
      <c r="DQ4" s="375"/>
      <c r="DR4" s="375"/>
      <c r="DS4" s="375"/>
      <c r="DT4" s="375"/>
      <c r="DU4" s="375"/>
      <c r="DV4" s="375"/>
      <c r="DW4" s="375"/>
      <c r="DX4" s="375"/>
      <c r="DY4" s="375"/>
      <c r="DZ4" s="375"/>
      <c r="EA4" s="375"/>
      <c r="EB4" s="375"/>
      <c r="EC4" s="375"/>
      <c r="ED4" s="375"/>
      <c r="EE4" s="375"/>
      <c r="EF4" s="375"/>
      <c r="EG4" s="375"/>
      <c r="EH4" s="375"/>
      <c r="EI4" s="375"/>
      <c r="EJ4" s="375"/>
      <c r="EK4" s="375"/>
      <c r="EL4" s="375"/>
      <c r="EM4" s="375"/>
      <c r="EN4" s="375"/>
      <c r="EO4" s="375"/>
      <c r="EP4" s="375"/>
      <c r="EQ4" s="375"/>
      <c r="ER4" s="375"/>
      <c r="ES4" s="375"/>
      <c r="ET4" s="375"/>
      <c r="EU4" s="375"/>
      <c r="EV4" s="375"/>
      <c r="EW4" s="375"/>
      <c r="EX4" s="375"/>
      <c r="EY4" s="375"/>
      <c r="EZ4" s="375"/>
      <c r="FA4" s="375"/>
      <c r="FB4" s="375"/>
    </row>
    <row r="5" spans="2:158" s="378" customFormat="1" ht="12.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375"/>
      <c r="DG5" s="375"/>
      <c r="DH5" s="375"/>
      <c r="DI5" s="375"/>
      <c r="DJ5" s="375"/>
      <c r="DK5" s="375"/>
      <c r="DL5" s="375"/>
      <c r="DM5" s="375"/>
      <c r="DN5" s="375"/>
      <c r="DO5" s="375"/>
      <c r="DP5" s="375"/>
      <c r="DQ5" s="375"/>
      <c r="DR5" s="375"/>
      <c r="DS5" s="375"/>
      <c r="DT5" s="375"/>
      <c r="DU5" s="375"/>
      <c r="DV5" s="375"/>
      <c r="DW5" s="375"/>
      <c r="DX5" s="375"/>
      <c r="DY5" s="375"/>
      <c r="DZ5" s="375"/>
      <c r="EA5" s="375"/>
      <c r="EB5" s="375"/>
      <c r="EC5" s="375"/>
      <c r="ED5" s="375"/>
      <c r="EE5" s="375"/>
      <c r="EF5" s="375"/>
      <c r="EG5" s="375"/>
      <c r="EH5" s="375"/>
      <c r="EI5" s="375"/>
      <c r="EJ5" s="375"/>
      <c r="EK5" s="375"/>
      <c r="EL5" s="375"/>
      <c r="EM5" s="375"/>
      <c r="EN5" s="375"/>
      <c r="EO5" s="375"/>
      <c r="EP5" s="375"/>
      <c r="EQ5" s="375"/>
      <c r="ER5" s="375"/>
      <c r="ES5" s="375"/>
      <c r="ET5" s="375"/>
      <c r="EU5" s="375"/>
      <c r="EV5" s="375"/>
      <c r="EW5" s="375"/>
      <c r="EX5" s="375"/>
      <c r="EY5" s="375"/>
      <c r="EZ5" s="375"/>
      <c r="FA5" s="375"/>
      <c r="FB5" s="375"/>
    </row>
    <row r="6" spans="1:158" s="378" customFormat="1" ht="12.75">
      <c r="A6" s="378" t="s">
        <v>563</v>
      </c>
      <c r="B6" s="375"/>
      <c r="C6" s="375"/>
      <c r="D6" s="375"/>
      <c r="E6" s="375"/>
      <c r="F6" s="375"/>
      <c r="G6" s="375"/>
      <c r="H6" s="375"/>
      <c r="I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375"/>
      <c r="DG6" s="375"/>
      <c r="DH6" s="375"/>
      <c r="DI6" s="375"/>
      <c r="DJ6" s="375"/>
      <c r="DK6" s="375"/>
      <c r="DL6" s="375"/>
      <c r="DM6" s="375"/>
      <c r="DN6" s="375"/>
      <c r="DO6" s="375"/>
      <c r="DP6" s="375"/>
      <c r="DQ6" s="375"/>
      <c r="DR6" s="375"/>
      <c r="DS6" s="375"/>
      <c r="DT6" s="375"/>
      <c r="DU6" s="375"/>
      <c r="DV6" s="375"/>
      <c r="DW6" s="375"/>
      <c r="DX6" s="375"/>
      <c r="DY6" s="375"/>
      <c r="DZ6" s="375"/>
      <c r="EA6" s="375"/>
      <c r="EB6" s="375"/>
      <c r="EC6" s="375"/>
      <c r="ED6" s="375"/>
      <c r="EE6" s="375"/>
      <c r="EF6" s="375"/>
      <c r="EG6" s="375"/>
      <c r="EH6" s="375"/>
      <c r="EI6" s="375"/>
      <c r="EJ6" s="375"/>
      <c r="EK6" s="375"/>
      <c r="EL6" s="375"/>
      <c r="EM6" s="375"/>
      <c r="EN6" s="375"/>
      <c r="EO6" s="375"/>
      <c r="EP6" s="375"/>
      <c r="EQ6" s="375"/>
      <c r="ER6" s="375"/>
      <c r="ES6" s="375"/>
      <c r="ET6" s="375"/>
      <c r="EU6" s="375"/>
      <c r="EV6" s="375"/>
      <c r="EW6" s="375"/>
      <c r="EX6" s="375"/>
      <c r="EY6" s="375"/>
      <c r="EZ6" s="375"/>
      <c r="FA6" s="375"/>
      <c r="FB6" s="375"/>
    </row>
    <row r="7" spans="1:158" s="378" customFormat="1" ht="12.75">
      <c r="A7" s="378">
        <v>1</v>
      </c>
      <c r="B7" s="393" t="str">
        <f>"ADIT-190 (enter negative) - line "&amp;A72&amp;""</f>
        <v>ADIT-190 (enter negative) - line 41</v>
      </c>
      <c r="C7" s="398">
        <f aca="true" t="shared" si="0" ref="C7:I7">-C72</f>
        <v>-75516928</v>
      </c>
      <c r="D7" s="398">
        <f t="shared" si="0"/>
        <v>-77445416</v>
      </c>
      <c r="E7" s="398">
        <f t="shared" si="0"/>
        <v>-75516928</v>
      </c>
      <c r="F7" s="398">
        <f t="shared" si="0"/>
        <v>-24696552</v>
      </c>
      <c r="G7" s="398">
        <f t="shared" si="0"/>
        <v>0</v>
      </c>
      <c r="H7" s="398">
        <f t="shared" si="0"/>
        <v>0</v>
      </c>
      <c r="I7" s="398">
        <f t="shared" si="0"/>
        <v>-50820376</v>
      </c>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375"/>
      <c r="DG7" s="375"/>
      <c r="DH7" s="375"/>
      <c r="DI7" s="375"/>
      <c r="DJ7" s="375"/>
      <c r="DK7" s="375"/>
      <c r="DL7" s="375"/>
      <c r="DM7" s="375"/>
      <c r="DN7" s="375"/>
      <c r="DO7" s="375"/>
      <c r="DP7" s="375"/>
      <c r="DQ7" s="375"/>
      <c r="DR7" s="375"/>
      <c r="DS7" s="375"/>
      <c r="DT7" s="375"/>
      <c r="DU7" s="375"/>
      <c r="DV7" s="375"/>
      <c r="DW7" s="375"/>
      <c r="DX7" s="375"/>
      <c r="DY7" s="375"/>
      <c r="DZ7" s="375"/>
      <c r="EA7" s="375"/>
      <c r="EB7" s="375"/>
      <c r="EC7" s="375"/>
      <c r="ED7" s="375"/>
      <c r="EE7" s="375"/>
      <c r="EF7" s="375"/>
      <c r="EG7" s="375"/>
      <c r="EH7" s="375"/>
      <c r="EI7" s="375"/>
      <c r="EJ7" s="375"/>
      <c r="EK7" s="375"/>
      <c r="EL7" s="375"/>
      <c r="EM7" s="375"/>
      <c r="EN7" s="375"/>
      <c r="EO7" s="375"/>
      <c r="EP7" s="375"/>
      <c r="EQ7" s="375"/>
      <c r="ER7" s="375"/>
      <c r="ES7" s="375"/>
      <c r="ET7" s="375"/>
      <c r="EU7" s="375"/>
      <c r="EV7" s="375"/>
      <c r="EW7" s="375"/>
      <c r="EX7" s="375"/>
      <c r="EY7" s="375"/>
      <c r="EZ7" s="375"/>
      <c r="FA7" s="375"/>
      <c r="FB7" s="375"/>
    </row>
    <row r="8" spans="1:158" s="378" customFormat="1" ht="12.75">
      <c r="A8" s="378">
        <f>A7+1</f>
        <v>2</v>
      </c>
      <c r="B8" s="393" t="str">
        <f>"ADIT- 282  -- line "&amp;A84&amp;""</f>
        <v>ADIT- 282  -- line 47</v>
      </c>
      <c r="C8" s="398">
        <f aca="true" t="shared" si="1" ref="C8:I8">C84</f>
        <v>679684837</v>
      </c>
      <c r="D8" s="398">
        <f t="shared" si="1"/>
        <v>674111257</v>
      </c>
      <c r="E8" s="398">
        <f t="shared" si="1"/>
        <v>679684837</v>
      </c>
      <c r="F8" s="398">
        <f t="shared" si="1"/>
        <v>527951499</v>
      </c>
      <c r="G8" s="398">
        <f t="shared" si="1"/>
        <v>151733338</v>
      </c>
      <c r="H8" s="398">
        <f t="shared" si="1"/>
        <v>0</v>
      </c>
      <c r="I8" s="398">
        <f t="shared" si="1"/>
        <v>0</v>
      </c>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c r="DK8" s="375"/>
      <c r="DL8" s="375"/>
      <c r="DM8" s="375"/>
      <c r="DN8" s="375"/>
      <c r="DO8" s="375"/>
      <c r="DP8" s="375"/>
      <c r="DQ8" s="375"/>
      <c r="DR8" s="375"/>
      <c r="DS8" s="375"/>
      <c r="DT8" s="375"/>
      <c r="DU8" s="375"/>
      <c r="DV8" s="375"/>
      <c r="DW8" s="375"/>
      <c r="DX8" s="375"/>
      <c r="DY8" s="375"/>
      <c r="DZ8" s="375"/>
      <c r="EA8" s="375"/>
      <c r="EB8" s="375"/>
      <c r="EC8" s="375"/>
      <c r="ED8" s="375"/>
      <c r="EE8" s="375"/>
      <c r="EF8" s="375"/>
      <c r="EG8" s="375"/>
      <c r="EH8" s="375"/>
      <c r="EI8" s="375"/>
      <c r="EJ8" s="375"/>
      <c r="EK8" s="375"/>
      <c r="EL8" s="375"/>
      <c r="EM8" s="375"/>
      <c r="EN8" s="375"/>
      <c r="EO8" s="375"/>
      <c r="EP8" s="375"/>
      <c r="EQ8" s="375"/>
      <c r="ER8" s="375"/>
      <c r="ES8" s="375"/>
      <c r="ET8" s="375"/>
      <c r="EU8" s="375"/>
      <c r="EV8" s="375"/>
      <c r="EW8" s="375"/>
      <c r="EX8" s="375"/>
      <c r="EY8" s="375"/>
      <c r="EZ8" s="375"/>
      <c r="FA8" s="375"/>
      <c r="FB8" s="375"/>
    </row>
    <row r="9" spans="1:158" s="378" customFormat="1" ht="12.75">
      <c r="A9" s="378">
        <f aca="true" t="shared" si="2" ref="A9:A15">A8+1</f>
        <v>3</v>
      </c>
      <c r="B9" s="829" t="str">
        <f>"ADIT- 283  -- line "&amp;A103&amp;""</f>
        <v>ADIT- 283  -- line 60</v>
      </c>
      <c r="C9" s="833">
        <f aca="true" t="shared" si="3" ref="C9:I9">C103</f>
        <v>98936614</v>
      </c>
      <c r="D9" s="833">
        <f t="shared" si="3"/>
        <v>108326415</v>
      </c>
      <c r="E9" s="833">
        <f t="shared" si="3"/>
        <v>98936614</v>
      </c>
      <c r="F9" s="833">
        <f t="shared" si="3"/>
        <v>17479546</v>
      </c>
      <c r="G9" s="833">
        <f t="shared" si="3"/>
        <v>0</v>
      </c>
      <c r="H9" s="833">
        <f t="shared" si="3"/>
        <v>4798044</v>
      </c>
      <c r="I9" s="833">
        <f t="shared" si="3"/>
        <v>76659024</v>
      </c>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375"/>
      <c r="DG9" s="375"/>
      <c r="DH9" s="375"/>
      <c r="DI9" s="375"/>
      <c r="DJ9" s="375"/>
      <c r="DK9" s="375"/>
      <c r="DL9" s="375"/>
      <c r="DM9" s="375"/>
      <c r="DN9" s="375"/>
      <c r="DO9" s="375"/>
      <c r="DP9" s="375"/>
      <c r="DQ9" s="375"/>
      <c r="DR9" s="375"/>
      <c r="DS9" s="375"/>
      <c r="DT9" s="375"/>
      <c r="DU9" s="375"/>
      <c r="DV9" s="375"/>
      <c r="DW9" s="375"/>
      <c r="DX9" s="375"/>
      <c r="DY9" s="375"/>
      <c r="DZ9" s="375"/>
      <c r="EA9" s="375"/>
      <c r="EB9" s="375"/>
      <c r="EC9" s="375"/>
      <c r="ED9" s="375"/>
      <c r="EE9" s="375"/>
      <c r="EF9" s="375"/>
      <c r="EG9" s="375"/>
      <c r="EH9" s="375"/>
      <c r="EI9" s="375"/>
      <c r="EJ9" s="375"/>
      <c r="EK9" s="375"/>
      <c r="EL9" s="375"/>
      <c r="EM9" s="375"/>
      <c r="EN9" s="375"/>
      <c r="EO9" s="375"/>
      <c r="EP9" s="375"/>
      <c r="EQ9" s="375"/>
      <c r="ER9" s="375"/>
      <c r="ES9" s="375"/>
      <c r="ET9" s="375"/>
      <c r="EU9" s="375"/>
      <c r="EV9" s="375"/>
      <c r="EW9" s="375"/>
      <c r="EX9" s="375"/>
      <c r="EY9" s="375"/>
      <c r="EZ9" s="375"/>
      <c r="FA9" s="375"/>
      <c r="FB9" s="375"/>
    </row>
    <row r="10" spans="1:158" s="378" customFormat="1" ht="12.75">
      <c r="A10" s="378">
        <f t="shared" si="2"/>
        <v>4</v>
      </c>
      <c r="B10" s="393" t="str">
        <f>"Subtotal -- Sum (line 1 + line 2 + line 3)"</f>
        <v>Subtotal -- Sum (line 1 + line 2 + line 3)</v>
      </c>
      <c r="C10" s="437">
        <f aca="true" t="shared" si="4" ref="C10:I10">SUM(C7:C9)</f>
        <v>703104523</v>
      </c>
      <c r="D10" s="437">
        <f t="shared" si="4"/>
        <v>704992256</v>
      </c>
      <c r="E10" s="437">
        <f t="shared" si="4"/>
        <v>703104523</v>
      </c>
      <c r="F10" s="437">
        <f t="shared" si="4"/>
        <v>520734493</v>
      </c>
      <c r="G10" s="437">
        <f t="shared" si="4"/>
        <v>151733338</v>
      </c>
      <c r="H10" s="437">
        <f t="shared" si="4"/>
        <v>4798044</v>
      </c>
      <c r="I10" s="437">
        <f t="shared" si="4"/>
        <v>25838648</v>
      </c>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375"/>
      <c r="DG10" s="375"/>
      <c r="DH10" s="375"/>
      <c r="DI10" s="375"/>
      <c r="DJ10" s="375"/>
      <c r="DK10" s="375"/>
      <c r="DL10" s="375"/>
      <c r="DM10" s="375"/>
      <c r="DN10" s="375"/>
      <c r="DO10" s="375"/>
      <c r="DP10" s="375"/>
      <c r="DQ10" s="375"/>
      <c r="DR10" s="375"/>
      <c r="DS10" s="375"/>
      <c r="DT10" s="375"/>
      <c r="DU10" s="375"/>
      <c r="DV10" s="375"/>
      <c r="DW10" s="375"/>
      <c r="DX10" s="375"/>
      <c r="DY10" s="375"/>
      <c r="DZ10" s="375"/>
      <c r="EA10" s="375"/>
      <c r="EB10" s="375"/>
      <c r="EC10" s="375"/>
      <c r="ED10" s="375"/>
      <c r="EE10" s="375"/>
      <c r="EF10" s="375"/>
      <c r="EG10" s="375"/>
      <c r="EH10" s="375"/>
      <c r="EI10" s="375"/>
      <c r="EJ10" s="375"/>
      <c r="EK10" s="375"/>
      <c r="EL10" s="375"/>
      <c r="EM10" s="375"/>
      <c r="EN10" s="375"/>
      <c r="EO10" s="375"/>
      <c r="EP10" s="375"/>
      <c r="EQ10" s="375"/>
      <c r="ER10" s="375"/>
      <c r="ES10" s="375"/>
      <c r="ET10" s="375"/>
      <c r="EU10" s="375"/>
      <c r="EV10" s="375"/>
      <c r="EW10" s="375"/>
      <c r="EX10" s="375"/>
      <c r="EY10" s="375"/>
      <c r="EZ10" s="375"/>
      <c r="FA10" s="375"/>
      <c r="FB10" s="375"/>
    </row>
    <row r="11" spans="1:158" s="378" customFormat="1" ht="12.75">
      <c r="A11" s="378">
        <f t="shared" si="2"/>
        <v>5</v>
      </c>
      <c r="B11" s="393" t="str">
        <f>"Wages &amp; Salary Allocator -- Appendix A line "&amp;'Appendix A'!A12&amp;""</f>
        <v>Wages &amp; Salary Allocator -- Appendix A line 5</v>
      </c>
      <c r="C11" s="375"/>
      <c r="D11" s="375"/>
      <c r="E11" s="375"/>
      <c r="F11" s="375"/>
      <c r="G11" s="375"/>
      <c r="I11" s="394">
        <f>+'Appendix A'!G12</f>
        <v>0.1717635714936654</v>
      </c>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375"/>
      <c r="DG11" s="375"/>
      <c r="DH11" s="375"/>
      <c r="DI11" s="375"/>
      <c r="DJ11" s="375"/>
      <c r="DK11" s="375"/>
      <c r="DL11" s="375"/>
      <c r="DM11" s="375"/>
      <c r="DN11" s="375"/>
      <c r="DO11" s="375"/>
      <c r="DP11" s="375"/>
      <c r="DQ11" s="375"/>
      <c r="DR11" s="375"/>
      <c r="DS11" s="375"/>
      <c r="DT11" s="375"/>
      <c r="DU11" s="375"/>
      <c r="DV11" s="375"/>
      <c r="DW11" s="375"/>
      <c r="DX11" s="375"/>
      <c r="DY11" s="375"/>
      <c r="DZ11" s="375"/>
      <c r="EA11" s="375"/>
      <c r="EB11" s="375"/>
      <c r="EC11" s="375"/>
      <c r="ED11" s="375"/>
      <c r="EE11" s="375"/>
      <c r="EF11" s="375"/>
      <c r="EG11" s="375"/>
      <c r="EH11" s="375"/>
      <c r="EI11" s="375"/>
      <c r="EJ11" s="375"/>
      <c r="EK11" s="375"/>
      <c r="EL11" s="375"/>
      <c r="EM11" s="375"/>
      <c r="EN11" s="375"/>
      <c r="EO11" s="375"/>
      <c r="EP11" s="375"/>
      <c r="EQ11" s="375"/>
      <c r="ER11" s="375"/>
      <c r="ES11" s="375"/>
      <c r="ET11" s="375"/>
      <c r="EU11" s="375"/>
      <c r="EV11" s="375"/>
      <c r="EW11" s="375"/>
      <c r="EX11" s="375"/>
      <c r="EY11" s="375"/>
      <c r="EZ11" s="375"/>
      <c r="FA11" s="375"/>
      <c r="FB11" s="375"/>
    </row>
    <row r="12" spans="1:158" s="378" customFormat="1" ht="12.75">
      <c r="A12" s="378">
        <f t="shared" si="2"/>
        <v>6</v>
      </c>
      <c r="B12" s="393" t="str">
        <f>"Gross Plant Allocator -- Appendix A line "&amp;'Appendix A'!A20&amp;""</f>
        <v>Gross Plant Allocator -- Appendix A line 10</v>
      </c>
      <c r="C12" s="375"/>
      <c r="D12" s="375"/>
      <c r="E12" s="375"/>
      <c r="F12" s="375"/>
      <c r="G12" s="375"/>
      <c r="H12" s="394">
        <f>+'Appendix A'!G20</f>
        <v>0.23862179246825246</v>
      </c>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375"/>
      <c r="DG12" s="375"/>
      <c r="DH12" s="375"/>
      <c r="DI12" s="375"/>
      <c r="DJ12" s="375"/>
      <c r="DK12" s="375"/>
      <c r="DL12" s="375"/>
      <c r="DM12" s="375"/>
      <c r="DN12" s="375"/>
      <c r="DO12" s="375"/>
      <c r="DP12" s="375"/>
      <c r="DQ12" s="375"/>
      <c r="DR12" s="375"/>
      <c r="DS12" s="375"/>
      <c r="DT12" s="375"/>
      <c r="DU12" s="375"/>
      <c r="DV12" s="375"/>
      <c r="DW12" s="375"/>
      <c r="DX12" s="375"/>
      <c r="DY12" s="375"/>
      <c r="DZ12" s="375"/>
      <c r="EA12" s="375"/>
      <c r="EB12" s="375"/>
      <c r="EC12" s="375"/>
      <c r="ED12" s="375"/>
      <c r="EE12" s="375"/>
      <c r="EF12" s="375"/>
      <c r="EG12" s="375"/>
      <c r="EH12" s="375"/>
      <c r="EI12" s="375"/>
      <c r="EJ12" s="375"/>
      <c r="EK12" s="375"/>
      <c r="EL12" s="375"/>
      <c r="EM12" s="375"/>
      <c r="EN12" s="375"/>
      <c r="EO12" s="375"/>
      <c r="EP12" s="375"/>
      <c r="EQ12" s="375"/>
      <c r="ER12" s="375"/>
      <c r="ES12" s="375"/>
      <c r="ET12" s="375"/>
      <c r="EU12" s="375"/>
      <c r="EV12" s="375"/>
      <c r="EW12" s="375"/>
      <c r="EX12" s="375"/>
      <c r="EY12" s="375"/>
      <c r="EZ12" s="375"/>
      <c r="FA12" s="375"/>
      <c r="FB12" s="375"/>
    </row>
    <row r="13" spans="1:158" s="378" customFormat="1" ht="12.75">
      <c r="A13" s="378">
        <f t="shared" si="2"/>
        <v>7</v>
      </c>
      <c r="B13" s="393" t="s">
        <v>236</v>
      </c>
      <c r="C13" s="375"/>
      <c r="D13" s="375"/>
      <c r="E13" s="375"/>
      <c r="F13" s="834"/>
      <c r="G13" s="836">
        <v>1</v>
      </c>
      <c r="H13" s="394"/>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375"/>
      <c r="DG13" s="375"/>
      <c r="DH13" s="375"/>
      <c r="DI13" s="375"/>
      <c r="DJ13" s="375"/>
      <c r="DK13" s="375"/>
      <c r="DL13" s="375"/>
      <c r="DM13" s="375"/>
      <c r="DN13" s="375"/>
      <c r="DO13" s="375"/>
      <c r="DP13" s="375"/>
      <c r="DQ13" s="375"/>
      <c r="DR13" s="375"/>
      <c r="DS13" s="375"/>
      <c r="DT13" s="375"/>
      <c r="DU13" s="375"/>
      <c r="DV13" s="375"/>
      <c r="DW13" s="375"/>
      <c r="DX13" s="375"/>
      <c r="DY13" s="375"/>
      <c r="DZ13" s="375"/>
      <c r="EA13" s="375"/>
      <c r="EB13" s="375"/>
      <c r="EC13" s="375"/>
      <c r="ED13" s="375"/>
      <c r="EE13" s="375"/>
      <c r="EF13" s="375"/>
      <c r="EG13" s="375"/>
      <c r="EH13" s="375"/>
      <c r="EI13" s="375"/>
      <c r="EJ13" s="375"/>
      <c r="EK13" s="375"/>
      <c r="EL13" s="375"/>
      <c r="EM13" s="375"/>
      <c r="EN13" s="375"/>
      <c r="EO13" s="375"/>
      <c r="EP13" s="375"/>
      <c r="EQ13" s="375"/>
      <c r="ER13" s="375"/>
      <c r="ES13" s="375"/>
      <c r="ET13" s="375"/>
      <c r="EU13" s="375"/>
      <c r="EV13" s="375"/>
      <c r="EW13" s="375"/>
      <c r="EX13" s="375"/>
      <c r="EY13" s="375"/>
      <c r="EZ13" s="375"/>
      <c r="FA13" s="375"/>
      <c r="FB13" s="375"/>
    </row>
    <row r="14" spans="1:158" s="378" customFormat="1" ht="12.75">
      <c r="A14" s="378">
        <f t="shared" si="2"/>
        <v>8</v>
      </c>
      <c r="B14" s="829" t="s">
        <v>237</v>
      </c>
      <c r="C14" s="830"/>
      <c r="D14" s="830"/>
      <c r="E14" s="830"/>
      <c r="F14" s="835">
        <v>0</v>
      </c>
      <c r="G14" s="830"/>
      <c r="H14" s="831"/>
      <c r="I14" s="832"/>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375"/>
      <c r="DG14" s="375"/>
      <c r="DH14" s="375"/>
      <c r="DI14" s="375"/>
      <c r="DJ14" s="375"/>
      <c r="DK14" s="375"/>
      <c r="DL14" s="375"/>
      <c r="DM14" s="375"/>
      <c r="DN14" s="375"/>
      <c r="DO14" s="375"/>
      <c r="DP14" s="375"/>
      <c r="DQ14" s="375"/>
      <c r="DR14" s="375"/>
      <c r="DS14" s="375"/>
      <c r="DT14" s="375"/>
      <c r="DU14" s="375"/>
      <c r="DV14" s="375"/>
      <c r="DW14" s="375"/>
      <c r="DX14" s="375"/>
      <c r="DY14" s="375"/>
      <c r="DZ14" s="375"/>
      <c r="EA14" s="375"/>
      <c r="EB14" s="375"/>
      <c r="EC14" s="375"/>
      <c r="ED14" s="375"/>
      <c r="EE14" s="375"/>
      <c r="EF14" s="375"/>
      <c r="EG14" s="375"/>
      <c r="EH14" s="375"/>
      <c r="EI14" s="375"/>
      <c r="EJ14" s="375"/>
      <c r="EK14" s="375"/>
      <c r="EL14" s="375"/>
      <c r="EM14" s="375"/>
      <c r="EN14" s="375"/>
      <c r="EO14" s="375"/>
      <c r="EP14" s="375"/>
      <c r="EQ14" s="375"/>
      <c r="ER14" s="375"/>
      <c r="ES14" s="375"/>
      <c r="ET14" s="375"/>
      <c r="EU14" s="375"/>
      <c r="EV14" s="375"/>
      <c r="EW14" s="375"/>
      <c r="EX14" s="375"/>
      <c r="EY14" s="375"/>
      <c r="EZ14" s="375"/>
      <c r="FA14" s="375"/>
      <c r="FB14" s="375"/>
    </row>
    <row r="15" spans="1:158" s="378" customFormat="1" ht="12.75">
      <c r="A15" s="378">
        <f t="shared" si="2"/>
        <v>9</v>
      </c>
      <c r="B15" s="393" t="s">
        <v>553</v>
      </c>
      <c r="C15" s="743">
        <f>SUM(G15:I15)</f>
        <v>157316394.3226692</v>
      </c>
      <c r="D15" s="395"/>
      <c r="E15" s="395"/>
      <c r="F15" s="398">
        <f>F10*F14</f>
        <v>0</v>
      </c>
      <c r="G15" s="398">
        <f>+G10*G13</f>
        <v>151733338</v>
      </c>
      <c r="H15" s="398">
        <f>+H12*H10</f>
        <v>1144917.859621544</v>
      </c>
      <c r="I15" s="398">
        <f>+I11*I10</f>
        <v>4438138.463047654</v>
      </c>
      <c r="J15" s="378" t="str">
        <f>"Enter Column B as a negative on Appendix A, line "&amp;'Appendix A'!A61&amp;".  (Column B = Sum of Columns F through H)"</f>
        <v>Enter Column B as a negative on Appendix A, line 34.  (Column B = Sum of Columns F through H)</v>
      </c>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375"/>
      <c r="DG15" s="375"/>
      <c r="DH15" s="375"/>
      <c r="DI15" s="375"/>
      <c r="DJ15" s="375"/>
      <c r="DK15" s="375"/>
      <c r="DL15" s="375"/>
      <c r="DM15" s="375"/>
      <c r="DN15" s="375"/>
      <c r="DO15" s="375"/>
      <c r="DP15" s="375"/>
      <c r="DQ15" s="375"/>
      <c r="DR15" s="375"/>
      <c r="DS15" s="375"/>
      <c r="DT15" s="375"/>
      <c r="DU15" s="375"/>
      <c r="DV15" s="375"/>
      <c r="DW15" s="375"/>
      <c r="DX15" s="375"/>
      <c r="DY15" s="375"/>
      <c r="DZ15" s="375"/>
      <c r="EA15" s="375"/>
      <c r="EB15" s="375"/>
      <c r="EC15" s="375"/>
      <c r="ED15" s="375"/>
      <c r="EE15" s="375"/>
      <c r="EF15" s="375"/>
      <c r="EG15" s="375"/>
      <c r="EH15" s="375"/>
      <c r="EI15" s="375"/>
      <c r="EJ15" s="375"/>
      <c r="EK15" s="375"/>
      <c r="EL15" s="375"/>
      <c r="EM15" s="375"/>
      <c r="EN15" s="375"/>
      <c r="EO15" s="375"/>
      <c r="EP15" s="375"/>
      <c r="EQ15" s="375"/>
      <c r="ER15" s="375"/>
      <c r="ES15" s="375"/>
      <c r="ET15" s="375"/>
      <c r="EU15" s="375"/>
      <c r="EV15" s="375"/>
      <c r="EW15" s="375"/>
      <c r="EX15" s="375"/>
      <c r="EY15" s="375"/>
      <c r="EZ15" s="375"/>
      <c r="FA15" s="375"/>
      <c r="FB15" s="375"/>
    </row>
    <row r="16" spans="2:157" s="378" customFormat="1" ht="12.75">
      <c r="B16" s="375"/>
      <c r="C16" s="398"/>
      <c r="D16" s="375"/>
      <c r="E16" s="375"/>
      <c r="F16" s="375" t="s">
        <v>238</v>
      </c>
      <c r="G16" s="375" t="s">
        <v>239</v>
      </c>
      <c r="H16" s="375" t="s">
        <v>240</v>
      </c>
      <c r="I16" s="375" t="s">
        <v>87</v>
      </c>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375"/>
      <c r="DG16" s="375"/>
      <c r="DH16" s="375"/>
      <c r="DI16" s="375"/>
      <c r="DJ16" s="375"/>
      <c r="DK16" s="375"/>
      <c r="DL16" s="375"/>
      <c r="DM16" s="375"/>
      <c r="DN16" s="375"/>
      <c r="DO16" s="375"/>
      <c r="DP16" s="375"/>
      <c r="DQ16" s="375"/>
      <c r="DR16" s="375"/>
      <c r="DS16" s="375"/>
      <c r="DT16" s="375"/>
      <c r="DU16" s="375"/>
      <c r="DV16" s="375"/>
      <c r="DW16" s="375"/>
      <c r="DX16" s="375"/>
      <c r="DY16" s="375"/>
      <c r="DZ16" s="375"/>
      <c r="EA16" s="375"/>
      <c r="EB16" s="375"/>
      <c r="EC16" s="375"/>
      <c r="ED16" s="375"/>
      <c r="EE16" s="375"/>
      <c r="EF16" s="375"/>
      <c r="EG16" s="375"/>
      <c r="EH16" s="375"/>
      <c r="EI16" s="375"/>
      <c r="EJ16" s="375"/>
      <c r="EK16" s="375"/>
      <c r="EL16" s="375"/>
      <c r="EM16" s="375"/>
      <c r="EN16" s="375"/>
      <c r="EO16" s="375"/>
      <c r="EP16" s="375"/>
      <c r="EQ16" s="375"/>
      <c r="ER16" s="375"/>
      <c r="ES16" s="375"/>
      <c r="ET16" s="375"/>
      <c r="EU16" s="375"/>
      <c r="EV16" s="375"/>
      <c r="EW16" s="375"/>
      <c r="EX16" s="375"/>
      <c r="EY16" s="375"/>
      <c r="EZ16" s="375"/>
      <c r="FA16" s="375"/>
    </row>
    <row r="17" spans="2:157" s="378" customFormat="1" ht="12.75">
      <c r="B17" s="375"/>
      <c r="C17" s="398"/>
      <c r="D17" s="375"/>
      <c r="E17" s="375"/>
      <c r="F17" s="375"/>
      <c r="G17" s="375"/>
      <c r="H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375"/>
      <c r="DG17" s="375"/>
      <c r="DH17" s="375"/>
      <c r="DI17" s="375"/>
      <c r="DJ17" s="375"/>
      <c r="DK17" s="375"/>
      <c r="DL17" s="375"/>
      <c r="DM17" s="375"/>
      <c r="DN17" s="375"/>
      <c r="DO17" s="375"/>
      <c r="DP17" s="375"/>
      <c r="DQ17" s="375"/>
      <c r="DR17" s="375"/>
      <c r="DS17" s="375"/>
      <c r="DT17" s="375"/>
      <c r="DU17" s="375"/>
      <c r="DV17" s="375"/>
      <c r="DW17" s="375"/>
      <c r="DX17" s="375"/>
      <c r="DY17" s="375"/>
      <c r="DZ17" s="375"/>
      <c r="EA17" s="375"/>
      <c r="EB17" s="375"/>
      <c r="EC17" s="375"/>
      <c r="ED17" s="375"/>
      <c r="EE17" s="375"/>
      <c r="EF17" s="375"/>
      <c r="EG17" s="375"/>
      <c r="EH17" s="375"/>
      <c r="EI17" s="375"/>
      <c r="EJ17" s="375"/>
      <c r="EK17" s="375"/>
      <c r="EL17" s="375"/>
      <c r="EM17" s="375"/>
      <c r="EN17" s="375"/>
      <c r="EO17" s="375"/>
      <c r="EP17" s="375"/>
      <c r="EQ17" s="375"/>
      <c r="ER17" s="375"/>
      <c r="ES17" s="375"/>
      <c r="ET17" s="375"/>
      <c r="EU17" s="375"/>
      <c r="EV17" s="375"/>
      <c r="EW17" s="375"/>
      <c r="EX17" s="375"/>
      <c r="EY17" s="375"/>
      <c r="EZ17" s="375"/>
      <c r="FA17" s="375"/>
    </row>
    <row r="18" spans="3:157" s="378" customFormat="1" ht="12.75">
      <c r="C18" s="437"/>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375"/>
      <c r="DG18" s="375"/>
      <c r="DH18" s="375"/>
      <c r="DI18" s="375"/>
      <c r="DJ18" s="375"/>
      <c r="DK18" s="375"/>
      <c r="DL18" s="375"/>
      <c r="DM18" s="375"/>
      <c r="DN18" s="375"/>
      <c r="DO18" s="375"/>
      <c r="DP18" s="375"/>
      <c r="DQ18" s="375"/>
      <c r="DR18" s="375"/>
      <c r="DS18" s="375"/>
      <c r="DT18" s="375"/>
      <c r="DU18" s="375"/>
      <c r="DV18" s="375"/>
      <c r="DW18" s="375"/>
      <c r="DX18" s="375"/>
      <c r="DY18" s="375"/>
      <c r="DZ18" s="375"/>
      <c r="EA18" s="375"/>
      <c r="EB18" s="375"/>
      <c r="EC18" s="375"/>
      <c r="ED18" s="375"/>
      <c r="EE18" s="375"/>
      <c r="EF18" s="375"/>
      <c r="EG18" s="375"/>
      <c r="EH18" s="375"/>
      <c r="EI18" s="375"/>
      <c r="EJ18" s="375"/>
      <c r="EK18" s="375"/>
      <c r="EL18" s="375"/>
      <c r="EM18" s="375"/>
      <c r="EN18" s="375"/>
      <c r="EO18" s="375"/>
      <c r="EP18" s="375"/>
      <c r="EQ18" s="375"/>
      <c r="ER18" s="375"/>
      <c r="ES18" s="375"/>
      <c r="ET18" s="375"/>
      <c r="EU18" s="375"/>
      <c r="EV18" s="375"/>
      <c r="EW18" s="375"/>
      <c r="EX18" s="375"/>
      <c r="EY18" s="375"/>
      <c r="EZ18" s="375"/>
      <c r="FA18" s="375"/>
    </row>
    <row r="19" spans="2:157" s="378" customFormat="1" ht="12.75">
      <c r="B19" s="1316"/>
      <c r="C19" s="437">
        <f>H91</f>
        <v>4798044</v>
      </c>
      <c r="D19" s="378" t="s">
        <v>88</v>
      </c>
      <c r="E19" s="38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5"/>
      <c r="CF19" s="375"/>
      <c r="CG19" s="375"/>
      <c r="CH19" s="375"/>
      <c r="CI19" s="375"/>
      <c r="CJ19" s="375"/>
      <c r="CK19" s="375"/>
      <c r="CL19" s="375"/>
      <c r="CM19" s="375"/>
      <c r="CN19" s="375"/>
      <c r="CO19" s="375"/>
      <c r="CP19" s="375"/>
      <c r="CQ19" s="375"/>
      <c r="CR19" s="375"/>
      <c r="CS19" s="375"/>
      <c r="CT19" s="375"/>
      <c r="CU19" s="375"/>
      <c r="CV19" s="375"/>
      <c r="CW19" s="375"/>
      <c r="CX19" s="375"/>
      <c r="CY19" s="375"/>
      <c r="CZ19" s="375"/>
      <c r="DA19" s="375"/>
      <c r="DB19" s="375"/>
      <c r="DC19" s="375"/>
      <c r="DD19" s="375"/>
      <c r="DE19" s="375"/>
      <c r="DF19" s="375"/>
      <c r="DG19" s="375"/>
      <c r="DH19" s="375"/>
      <c r="DI19" s="375"/>
      <c r="DJ19" s="375"/>
      <c r="DK19" s="375"/>
      <c r="DL19" s="375"/>
      <c r="DM19" s="375"/>
      <c r="DN19" s="375"/>
      <c r="DO19" s="375"/>
      <c r="DP19" s="375"/>
      <c r="DQ19" s="375"/>
      <c r="DR19" s="375"/>
      <c r="DS19" s="375"/>
      <c r="DT19" s="375"/>
      <c r="DU19" s="375"/>
      <c r="DV19" s="375"/>
      <c r="DW19" s="375"/>
      <c r="DX19" s="375"/>
      <c r="DY19" s="375"/>
      <c r="DZ19" s="375"/>
      <c r="EA19" s="375"/>
      <c r="EB19" s="375"/>
      <c r="EC19" s="375"/>
      <c r="ED19" s="375"/>
      <c r="EE19" s="375"/>
      <c r="EF19" s="375"/>
      <c r="EG19" s="375"/>
      <c r="EH19" s="375"/>
      <c r="EI19" s="375"/>
      <c r="EJ19" s="375"/>
      <c r="EK19" s="375"/>
      <c r="EL19" s="375"/>
      <c r="EM19" s="375"/>
      <c r="EN19" s="375"/>
      <c r="EO19" s="375"/>
      <c r="EP19" s="375"/>
      <c r="EQ19" s="375"/>
      <c r="ER19" s="375"/>
      <c r="ES19" s="375"/>
      <c r="ET19" s="375"/>
      <c r="EU19" s="375"/>
      <c r="EV19" s="375"/>
      <c r="EW19" s="375"/>
      <c r="EX19" s="375"/>
      <c r="EY19" s="375"/>
      <c r="EZ19" s="375"/>
      <c r="FA19" s="375"/>
    </row>
    <row r="20" spans="11:157" s="378" customFormat="1" ht="12.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5"/>
      <c r="CF20" s="375"/>
      <c r="CG20" s="375"/>
      <c r="CH20" s="375"/>
      <c r="CI20" s="375"/>
      <c r="CJ20" s="375"/>
      <c r="CK20" s="375"/>
      <c r="CL20" s="375"/>
      <c r="CM20" s="375"/>
      <c r="CN20" s="375"/>
      <c r="CO20" s="375"/>
      <c r="CP20" s="375"/>
      <c r="CQ20" s="375"/>
      <c r="CR20" s="375"/>
      <c r="CS20" s="375"/>
      <c r="CT20" s="375"/>
      <c r="CU20" s="375"/>
      <c r="CV20" s="375"/>
      <c r="CW20" s="375"/>
      <c r="CX20" s="375"/>
      <c r="CY20" s="375"/>
      <c r="CZ20" s="375"/>
      <c r="DA20" s="375"/>
      <c r="DB20" s="375"/>
      <c r="DC20" s="375"/>
      <c r="DD20" s="375"/>
      <c r="DE20" s="375"/>
      <c r="DF20" s="375"/>
      <c r="DG20" s="375"/>
      <c r="DH20" s="375"/>
      <c r="DI20" s="375"/>
      <c r="DJ20" s="375"/>
      <c r="DK20" s="375"/>
      <c r="DL20" s="375"/>
      <c r="DM20" s="375"/>
      <c r="DN20" s="375"/>
      <c r="DO20" s="375"/>
      <c r="DP20" s="375"/>
      <c r="DQ20" s="375"/>
      <c r="DR20" s="375"/>
      <c r="DS20" s="375"/>
      <c r="DT20" s="375"/>
      <c r="DU20" s="375"/>
      <c r="DV20" s="375"/>
      <c r="DW20" s="375"/>
      <c r="DX20" s="375"/>
      <c r="DY20" s="375"/>
      <c r="DZ20" s="375"/>
      <c r="EA20" s="375"/>
      <c r="EB20" s="375"/>
      <c r="EC20" s="375"/>
      <c r="ED20" s="375"/>
      <c r="EE20" s="375"/>
      <c r="EF20" s="375"/>
      <c r="EG20" s="375"/>
      <c r="EH20" s="375"/>
      <c r="EI20" s="375"/>
      <c r="EJ20" s="375"/>
      <c r="EK20" s="375"/>
      <c r="EL20" s="375"/>
      <c r="EM20" s="375"/>
      <c r="EN20" s="375"/>
      <c r="EO20" s="375"/>
      <c r="EP20" s="375"/>
      <c r="EQ20" s="375"/>
      <c r="ER20" s="375"/>
      <c r="ES20" s="375"/>
      <c r="ET20" s="375"/>
      <c r="EU20" s="375"/>
      <c r="EV20" s="375"/>
      <c r="EW20" s="375"/>
      <c r="EX20" s="375"/>
      <c r="EY20" s="375"/>
      <c r="EZ20" s="375"/>
      <c r="FA20" s="375"/>
    </row>
    <row r="21" spans="2:10" ht="12.75">
      <c r="B21" s="494" t="s">
        <v>89</v>
      </c>
      <c r="C21" s="396"/>
      <c r="D21" s="396"/>
      <c r="E21" s="396"/>
      <c r="F21" s="378"/>
      <c r="G21" s="378"/>
      <c r="H21" s="378"/>
      <c r="I21" s="378"/>
      <c r="J21" s="378"/>
    </row>
    <row r="22" spans="2:10" ht="12.75">
      <c r="B22" s="494" t="s">
        <v>90</v>
      </c>
      <c r="C22" s="396"/>
      <c r="D22" s="396"/>
      <c r="E22" s="396"/>
      <c r="F22" s="378"/>
      <c r="G22" s="378"/>
      <c r="H22" s="378"/>
      <c r="I22" s="378"/>
      <c r="J22" s="378"/>
    </row>
    <row r="23" spans="2:10" ht="12.75">
      <c r="B23" s="396"/>
      <c r="C23" s="396"/>
      <c r="D23" s="396"/>
      <c r="E23" s="396"/>
      <c r="F23" s="378"/>
      <c r="G23" s="378"/>
      <c r="H23" s="378"/>
      <c r="I23" s="378"/>
      <c r="J23" s="378"/>
    </row>
    <row r="24" spans="2:10" ht="13.5">
      <c r="B24" s="373" t="s">
        <v>235</v>
      </c>
      <c r="C24" s="374"/>
      <c r="D24" s="374"/>
      <c r="E24" s="374"/>
      <c r="F24" s="700"/>
      <c r="G24" s="414"/>
      <c r="H24" s="414"/>
      <c r="I24" s="701"/>
      <c r="J24" s="702"/>
    </row>
    <row r="25" spans="2:10" ht="12.75" customHeight="1">
      <c r="B25" s="1379" t="s">
        <v>361</v>
      </c>
      <c r="C25" s="1380"/>
      <c r="D25" s="1380"/>
      <c r="E25" s="1380"/>
      <c r="F25" s="1380"/>
      <c r="G25" s="1380"/>
      <c r="H25" s="1380"/>
      <c r="I25" s="1380"/>
      <c r="J25" s="1381"/>
    </row>
    <row r="26" spans="2:10" ht="13.5">
      <c r="B26" s="376" t="s">
        <v>350</v>
      </c>
      <c r="C26" s="377"/>
      <c r="D26" s="377"/>
      <c r="E26" s="377"/>
      <c r="F26" s="297"/>
      <c r="G26" s="329"/>
      <c r="H26" s="329"/>
      <c r="I26" s="565"/>
      <c r="J26" s="703"/>
    </row>
    <row r="27" spans="2:10" ht="13.5">
      <c r="B27" s="376" t="s">
        <v>362</v>
      </c>
      <c r="C27" s="377"/>
      <c r="D27" s="377"/>
      <c r="E27" s="377"/>
      <c r="F27" s="297"/>
      <c r="G27" s="329"/>
      <c r="H27" s="329"/>
      <c r="I27" s="409"/>
      <c r="J27" s="703"/>
    </row>
    <row r="28" spans="2:10" ht="13.5">
      <c r="B28" s="376" t="s">
        <v>363</v>
      </c>
      <c r="C28" s="377"/>
      <c r="D28" s="377"/>
      <c r="E28" s="377"/>
      <c r="F28" s="297"/>
      <c r="G28" s="329"/>
      <c r="H28" s="329"/>
      <c r="I28" s="409"/>
      <c r="J28" s="703"/>
    </row>
    <row r="29" spans="2:10" ht="12.75" customHeight="1">
      <c r="B29" s="391" t="s">
        <v>364</v>
      </c>
      <c r="C29" s="455"/>
      <c r="D29" s="455"/>
      <c r="E29" s="455"/>
      <c r="F29" s="455"/>
      <c r="G29" s="455"/>
      <c r="H29" s="455"/>
      <c r="I29" s="455"/>
      <c r="J29" s="704"/>
    </row>
    <row r="30" spans="2:10" ht="12.75" customHeight="1">
      <c r="B30" s="380" t="s">
        <v>241</v>
      </c>
      <c r="C30" s="455"/>
      <c r="D30" s="455"/>
      <c r="E30" s="455"/>
      <c r="F30" s="455"/>
      <c r="G30" s="455"/>
      <c r="H30" s="455"/>
      <c r="I30" s="455"/>
      <c r="J30" s="704"/>
    </row>
    <row r="31" spans="2:10" ht="12.75" customHeight="1">
      <c r="B31" s="391" t="s">
        <v>365</v>
      </c>
      <c r="C31" s="455"/>
      <c r="D31" s="455"/>
      <c r="E31" s="455"/>
      <c r="F31" s="455"/>
      <c r="G31" s="455"/>
      <c r="H31" s="455"/>
      <c r="I31" s="455"/>
      <c r="J31" s="704"/>
    </row>
    <row r="32" spans="1:10" ht="12.75">
      <c r="A32" s="378"/>
      <c r="B32" s="930" t="s">
        <v>246</v>
      </c>
      <c r="C32" s="781"/>
      <c r="D32" s="781"/>
      <c r="E32" s="781"/>
      <c r="F32" s="781"/>
      <c r="G32" s="781"/>
      <c r="H32" s="705"/>
      <c r="I32" s="705"/>
      <c r="J32" s="706"/>
    </row>
    <row r="34" spans="2:10" ht="12.75">
      <c r="B34" s="307" t="s">
        <v>318</v>
      </c>
      <c r="C34" s="307" t="s">
        <v>450</v>
      </c>
      <c r="D34" s="307" t="s">
        <v>299</v>
      </c>
      <c r="E34" s="307" t="s">
        <v>319</v>
      </c>
      <c r="F34" s="307" t="s">
        <v>317</v>
      </c>
      <c r="G34" s="307" t="s">
        <v>606</v>
      </c>
      <c r="H34" s="307" t="s">
        <v>320</v>
      </c>
      <c r="I34" s="307" t="s">
        <v>84</v>
      </c>
      <c r="J34" s="307" t="s">
        <v>1110</v>
      </c>
    </row>
    <row r="35" spans="1:9" ht="39">
      <c r="A35" s="378"/>
      <c r="B35" s="792" t="s">
        <v>831</v>
      </c>
      <c r="C35" s="308" t="s">
        <v>736</v>
      </c>
      <c r="D35" s="308" t="s">
        <v>3</v>
      </c>
      <c r="E35" s="632" t="s">
        <v>493</v>
      </c>
      <c r="F35" s="308" t="s">
        <v>551</v>
      </c>
      <c r="G35" s="308" t="s">
        <v>552</v>
      </c>
      <c r="H35" s="308"/>
      <c r="I35" s="308"/>
    </row>
    <row r="36" spans="2:9" ht="12.75">
      <c r="B36" s="329"/>
      <c r="C36" s="308" t="s">
        <v>449</v>
      </c>
      <c r="D36" s="308" t="s">
        <v>449</v>
      </c>
      <c r="E36" s="308" t="s">
        <v>449</v>
      </c>
      <c r="F36" s="308" t="s">
        <v>51</v>
      </c>
      <c r="G36" s="308" t="s">
        <v>525</v>
      </c>
      <c r="H36" s="308" t="s">
        <v>548</v>
      </c>
      <c r="I36" s="308" t="s">
        <v>550</v>
      </c>
    </row>
    <row r="37" spans="2:10" ht="12.75">
      <c r="B37" s="378"/>
      <c r="C37" s="308"/>
      <c r="D37" s="308"/>
      <c r="E37" s="308"/>
      <c r="F37" s="308" t="s">
        <v>549</v>
      </c>
      <c r="G37" s="308" t="s">
        <v>549</v>
      </c>
      <c r="H37" s="308" t="s">
        <v>549</v>
      </c>
      <c r="I37" s="308" t="s">
        <v>549</v>
      </c>
      <c r="J37" s="308" t="s">
        <v>52</v>
      </c>
    </row>
    <row r="38" spans="2:9" ht="17.25">
      <c r="B38" s="306" t="s">
        <v>526</v>
      </c>
      <c r="C38" s="967"/>
      <c r="D38" s="967"/>
      <c r="E38" s="208"/>
      <c r="G38" s="329"/>
      <c r="H38" s="397"/>
      <c r="I38" s="397"/>
    </row>
    <row r="39" spans="1:10" ht="26.25">
      <c r="A39" s="378">
        <f>A15+1</f>
        <v>10</v>
      </c>
      <c r="B39" s="1195" t="s">
        <v>1042</v>
      </c>
      <c r="C39" s="1075">
        <v>-38606164</v>
      </c>
      <c r="D39" s="1196">
        <v>-40516532</v>
      </c>
      <c r="E39" s="1196">
        <f>IF('Appendix A'!$I$1=1,('1 - ADIT'!C39+'1 - ADIT'!D39)/2,'1 - ADIT'!C39)</f>
        <v>-38606164</v>
      </c>
      <c r="F39" s="1196"/>
      <c r="G39" s="1196">
        <f>E39</f>
        <v>-38606164</v>
      </c>
      <c r="H39" s="1196"/>
      <c r="I39" s="1196"/>
      <c r="J39" s="1197" t="s">
        <v>1061</v>
      </c>
    </row>
    <row r="40" spans="1:10" ht="39">
      <c r="A40" s="378">
        <f aca="true" t="shared" si="5" ref="A40:A54">A39+1</f>
        <v>11</v>
      </c>
      <c r="B40" s="1195" t="s">
        <v>1043</v>
      </c>
      <c r="C40" s="1075">
        <v>-15617750</v>
      </c>
      <c r="D40" s="1196">
        <v>-16458104</v>
      </c>
      <c r="E40" s="1196">
        <f>IF('Appendix A'!$I$1=1,('1 - ADIT'!C40+'1 - ADIT'!D40)/2,'1 - ADIT'!C40)</f>
        <v>-15617750</v>
      </c>
      <c r="F40" s="1196"/>
      <c r="G40" s="1196">
        <f>E40</f>
        <v>-15617750</v>
      </c>
      <c r="H40" s="1196"/>
      <c r="I40" s="1196"/>
      <c r="J40" s="1197" t="s">
        <v>1060</v>
      </c>
    </row>
    <row r="41" spans="1:10" ht="63.75" customHeight="1">
      <c r="A41" s="378">
        <f t="shared" si="5"/>
        <v>12</v>
      </c>
      <c r="B41" s="1195" t="s">
        <v>1044</v>
      </c>
      <c r="C41" s="1075">
        <v>58986167</v>
      </c>
      <c r="D41" s="1196">
        <v>60347700</v>
      </c>
      <c r="E41" s="1196">
        <f>IF('Appendix A'!$I$1=1,('1 - ADIT'!C41+'1 - ADIT'!D41)/2,'1 - ADIT'!C41)</f>
        <v>58986167</v>
      </c>
      <c r="F41" s="1196"/>
      <c r="G41" s="1196">
        <f>E41</f>
        <v>58986167</v>
      </c>
      <c r="H41" s="1196"/>
      <c r="I41" s="1196"/>
      <c r="J41" s="1197" t="s">
        <v>1059</v>
      </c>
    </row>
    <row r="42" spans="1:10" ht="26.25">
      <c r="A42" s="378">
        <f t="shared" si="5"/>
        <v>13</v>
      </c>
      <c r="B42" s="1195" t="s">
        <v>1045</v>
      </c>
      <c r="C42" s="1075">
        <v>23898422</v>
      </c>
      <c r="D42" s="1196">
        <v>24515776</v>
      </c>
      <c r="E42" s="1196">
        <f>IF('Appendix A'!$I$1=1,('1 - ADIT'!C42+'1 - ADIT'!D42)/2,'1 - ADIT'!C42)</f>
        <v>23898422</v>
      </c>
      <c r="F42" s="1196"/>
      <c r="G42" s="1196">
        <f>E42</f>
        <v>23898422</v>
      </c>
      <c r="H42" s="1196"/>
      <c r="I42" s="1196"/>
      <c r="J42" s="1197" t="s">
        <v>1058</v>
      </c>
    </row>
    <row r="43" spans="1:10" ht="26.25">
      <c r="A43" s="378">
        <f t="shared" si="5"/>
        <v>14</v>
      </c>
      <c r="B43" s="1195" t="s">
        <v>1046</v>
      </c>
      <c r="C43" s="1075">
        <v>-136478442</v>
      </c>
      <c r="D43" s="1196">
        <v>-124580299</v>
      </c>
      <c r="E43" s="1196">
        <f>IF('Appendix A'!$I$1=1,('1 - ADIT'!C43+'1 - ADIT'!D43)/2,'1 - ADIT'!C43)</f>
        <v>-136478442</v>
      </c>
      <c r="F43" s="1198">
        <f>E43</f>
        <v>-136478442</v>
      </c>
      <c r="G43" s="1196"/>
      <c r="H43" s="1196"/>
      <c r="I43" s="1196"/>
      <c r="J43" s="1197" t="s">
        <v>1057</v>
      </c>
    </row>
    <row r="44" spans="1:10" ht="39">
      <c r="A44" s="378">
        <f t="shared" si="5"/>
        <v>15</v>
      </c>
      <c r="B44" s="1366" t="s">
        <v>1047</v>
      </c>
      <c r="C44" s="1075">
        <v>-55453035</v>
      </c>
      <c r="D44" s="1196">
        <v>-50618659</v>
      </c>
      <c r="E44" s="1196">
        <f>IF('Appendix A'!$I$1=1,('1 - ADIT'!C44+'1 - ADIT'!D44)/2,'1 - ADIT'!C44)</f>
        <v>-55453035</v>
      </c>
      <c r="F44" s="1198">
        <f>E44</f>
        <v>-55453035</v>
      </c>
      <c r="G44" s="1196"/>
      <c r="H44" s="1196"/>
      <c r="I44" s="1196"/>
      <c r="J44" s="1197" t="s">
        <v>1056</v>
      </c>
    </row>
    <row r="45" spans="1:10" ht="50.25" customHeight="1">
      <c r="A45" s="378">
        <f t="shared" si="5"/>
        <v>16</v>
      </c>
      <c r="B45" s="1195" t="s">
        <v>1048</v>
      </c>
      <c r="C45" s="1075">
        <v>177798284</v>
      </c>
      <c r="D45" s="1196">
        <v>187955487</v>
      </c>
      <c r="E45" s="1196">
        <f>IF('Appendix A'!$I$1=1,('1 - ADIT'!C45+'1 - ADIT'!D45)/2,'1 - ADIT'!C45)</f>
        <v>177798284</v>
      </c>
      <c r="F45" s="1198">
        <f>E45</f>
        <v>177798284</v>
      </c>
      <c r="G45" s="1196"/>
      <c r="H45" s="1196"/>
      <c r="I45" s="1196"/>
      <c r="J45" s="1197" t="s">
        <v>1055</v>
      </c>
    </row>
    <row r="46" spans="1:10" ht="25.5" customHeight="1">
      <c r="A46" s="378">
        <f t="shared" si="5"/>
        <v>17</v>
      </c>
      <c r="B46" s="1195" t="s">
        <v>1049</v>
      </c>
      <c r="C46" s="1075">
        <v>72241834</v>
      </c>
      <c r="D46" s="1196">
        <v>76368852</v>
      </c>
      <c r="E46" s="1196">
        <f>IF('Appendix A'!$I$1=1,('1 - ADIT'!C46+'1 - ADIT'!D46)/2,'1 - ADIT'!C46)</f>
        <v>72241834</v>
      </c>
      <c r="F46" s="1198">
        <f>E46</f>
        <v>72241834</v>
      </c>
      <c r="G46" s="1196"/>
      <c r="H46" s="1196"/>
      <c r="I46" s="1196"/>
      <c r="J46" s="1197" t="s">
        <v>1054</v>
      </c>
    </row>
    <row r="47" spans="1:10" ht="51" customHeight="1">
      <c r="A47" s="378">
        <f t="shared" si="5"/>
        <v>18</v>
      </c>
      <c r="B47" s="1195" t="s">
        <v>1050</v>
      </c>
      <c r="C47" s="1075">
        <v>875954</v>
      </c>
      <c r="D47" s="1196">
        <v>1751907</v>
      </c>
      <c r="E47" s="1196">
        <f>IF('Appendix A'!$I$1=1,('1 - ADIT'!C47+'1 - ADIT'!D47)/2,'1 - ADIT'!C47)</f>
        <v>875954</v>
      </c>
      <c r="F47" s="1198"/>
      <c r="G47" s="1196">
        <f>E47</f>
        <v>875954</v>
      </c>
      <c r="H47" s="1196"/>
      <c r="I47" s="1196"/>
      <c r="J47" s="1197" t="s">
        <v>1053</v>
      </c>
    </row>
    <row r="48" spans="1:10" ht="26.25">
      <c r="A48" s="378">
        <f t="shared" si="5"/>
        <v>19</v>
      </c>
      <c r="B48" s="1366" t="s">
        <v>1051</v>
      </c>
      <c r="C48" s="1075">
        <v>355912</v>
      </c>
      <c r="D48" s="1196">
        <v>711812</v>
      </c>
      <c r="E48" s="1196">
        <f>IF('Appendix A'!$I$1=1,('1 - ADIT'!C48+'1 - ADIT'!D48)/2,'1 - ADIT'!C48)</f>
        <v>355912</v>
      </c>
      <c r="F48" s="1198"/>
      <c r="G48" s="1196">
        <f>E48</f>
        <v>355912</v>
      </c>
      <c r="H48" s="1196"/>
      <c r="I48" s="1196"/>
      <c r="J48" s="1197" t="s">
        <v>1052</v>
      </c>
    </row>
    <row r="49" spans="1:12" ht="13.5" customHeight="1">
      <c r="A49" s="378">
        <f t="shared" si="5"/>
        <v>20</v>
      </c>
      <c r="B49" s="369" t="s">
        <v>475</v>
      </c>
      <c r="C49" s="1075">
        <v>669812</v>
      </c>
      <c r="D49" s="1075">
        <v>562749</v>
      </c>
      <c r="E49" s="850">
        <f>IF('Appendix A'!$I$1=1,('1 - ADIT'!C49+'1 - ADIT'!D49)/2,'1 - ADIT'!C49)</f>
        <v>669812</v>
      </c>
      <c r="F49" s="850"/>
      <c r="G49" s="850"/>
      <c r="H49" s="850"/>
      <c r="I49" s="850">
        <f>E49</f>
        <v>669812</v>
      </c>
      <c r="J49" s="382" t="s">
        <v>91</v>
      </c>
      <c r="L49" s="385"/>
    </row>
    <row r="50" spans="1:12" ht="12.75" customHeight="1">
      <c r="A50" s="378">
        <f t="shared" si="5"/>
        <v>21</v>
      </c>
      <c r="B50" s="369" t="s">
        <v>533</v>
      </c>
      <c r="C50" s="1075">
        <v>404489</v>
      </c>
      <c r="D50" s="1075">
        <v>520058</v>
      </c>
      <c r="E50" s="850">
        <f>IF('Appendix A'!$I$1=1,('1 - ADIT'!C50+'1 - ADIT'!D50)/2,'1 - ADIT'!C50)</f>
        <v>404489</v>
      </c>
      <c r="F50" s="850"/>
      <c r="G50" s="850"/>
      <c r="H50" s="850"/>
      <c r="I50" s="850">
        <f>E50</f>
        <v>404489</v>
      </c>
      <c r="J50" s="382" t="s">
        <v>114</v>
      </c>
      <c r="L50" s="385"/>
    </row>
    <row r="51" spans="1:12" ht="12.75" customHeight="1">
      <c r="A51" s="378">
        <f t="shared" si="5"/>
        <v>22</v>
      </c>
      <c r="B51" s="369" t="s">
        <v>537</v>
      </c>
      <c r="C51" s="1075">
        <v>1720495</v>
      </c>
      <c r="D51" s="1075">
        <v>1478062</v>
      </c>
      <c r="E51" s="850">
        <f>IF('Appendix A'!$I$1=1,('1 - ADIT'!C51+'1 - ADIT'!D51)/2,'1 - ADIT'!C51)</f>
        <v>1720495</v>
      </c>
      <c r="F51" s="850"/>
      <c r="G51" s="850"/>
      <c r="H51" s="850"/>
      <c r="I51" s="850">
        <f>E51</f>
        <v>1720495</v>
      </c>
      <c r="J51" s="382" t="s">
        <v>115</v>
      </c>
      <c r="L51" s="385"/>
    </row>
    <row r="52" spans="1:12" ht="12.75" customHeight="1">
      <c r="A52" s="378">
        <f t="shared" si="5"/>
        <v>23</v>
      </c>
      <c r="B52" s="931" t="s">
        <v>791</v>
      </c>
      <c r="C52" s="1075">
        <v>39887986</v>
      </c>
      <c r="D52" s="1075">
        <v>47020603</v>
      </c>
      <c r="E52" s="850">
        <f>IF('Appendix A'!$I$1=1,('1 - ADIT'!C52+'1 - ADIT'!D52)/2,'1 - ADIT'!C52)</f>
        <v>39887986</v>
      </c>
      <c r="F52" s="850"/>
      <c r="G52" s="850"/>
      <c r="H52" s="850"/>
      <c r="I52" s="850">
        <f>E52</f>
        <v>39887986</v>
      </c>
      <c r="J52" s="382" t="s">
        <v>774</v>
      </c>
      <c r="L52" s="385"/>
    </row>
    <row r="53" spans="1:12" ht="12.75" customHeight="1">
      <c r="A53" s="378">
        <f t="shared" si="5"/>
        <v>24</v>
      </c>
      <c r="B53" s="931" t="s">
        <v>799</v>
      </c>
      <c r="C53" s="1075">
        <v>8412445</v>
      </c>
      <c r="D53" s="1075">
        <v>8474303</v>
      </c>
      <c r="E53" s="850">
        <f>IF('Appendix A'!$I$1=1,('1 - ADIT'!C53+'1 - ADIT'!D53)/2,'1 - ADIT'!C53)</f>
        <v>8412445</v>
      </c>
      <c r="F53" s="850"/>
      <c r="G53" s="850"/>
      <c r="H53" s="850"/>
      <c r="I53" s="850">
        <f>E53</f>
        <v>8412445</v>
      </c>
      <c r="J53" s="382" t="s">
        <v>789</v>
      </c>
      <c r="L53" s="385"/>
    </row>
    <row r="54" spans="1:12" ht="25.5" customHeight="1">
      <c r="A54" s="378">
        <f t="shared" si="5"/>
        <v>25</v>
      </c>
      <c r="B54" s="931" t="s">
        <v>788</v>
      </c>
      <c r="C54" s="1075">
        <v>3512537</v>
      </c>
      <c r="D54" s="1075">
        <v>3620409</v>
      </c>
      <c r="E54" s="850">
        <f>IF('Appendix A'!$I$1=1,('1 - ADIT'!C54+'1 - ADIT'!D54)/2,'1 - ADIT'!C54)</f>
        <v>3512537</v>
      </c>
      <c r="F54" s="850">
        <f>E54</f>
        <v>3512537</v>
      </c>
      <c r="G54" s="850"/>
      <c r="H54" s="850"/>
      <c r="I54" s="850"/>
      <c r="J54" s="382" t="s">
        <v>790</v>
      </c>
      <c r="L54" s="385"/>
    </row>
    <row r="55" spans="1:12" ht="12.75" customHeight="1">
      <c r="A55" s="378">
        <f aca="true" t="shared" si="6" ref="A55:A64">A54+1</f>
        <v>26</v>
      </c>
      <c r="B55" s="931" t="s">
        <v>792</v>
      </c>
      <c r="C55" s="1075">
        <v>472566</v>
      </c>
      <c r="D55" s="1075">
        <v>430579</v>
      </c>
      <c r="E55" s="850">
        <f>IF('Appendix A'!$I$1=1,('1 - ADIT'!C55+'1 - ADIT'!D55)/2,'1 - ADIT'!C55)</f>
        <v>472566</v>
      </c>
      <c r="F55" s="850">
        <f>E55</f>
        <v>472566</v>
      </c>
      <c r="G55" s="850"/>
      <c r="H55" s="850"/>
      <c r="I55" s="850"/>
      <c r="J55" s="382" t="s">
        <v>232</v>
      </c>
      <c r="L55" s="385"/>
    </row>
    <row r="56" spans="1:12" ht="25.5" customHeight="1">
      <c r="A56" s="378">
        <f t="shared" si="6"/>
        <v>27</v>
      </c>
      <c r="B56" s="931" t="s">
        <v>793</v>
      </c>
      <c r="C56" s="1075">
        <v>8578719</v>
      </c>
      <c r="D56" s="1075">
        <v>5133616</v>
      </c>
      <c r="E56" s="850">
        <f>IF('Appendix A'!$I$1=1,('1 - ADIT'!C56+'1 - ADIT'!D56)/2,'1 - ADIT'!C56)</f>
        <v>8578719</v>
      </c>
      <c r="F56" s="850">
        <f>E56</f>
        <v>8578719</v>
      </c>
      <c r="G56" s="850"/>
      <c r="H56" s="850"/>
      <c r="I56" s="850"/>
      <c r="J56" s="382" t="s">
        <v>231</v>
      </c>
      <c r="L56" s="385"/>
    </row>
    <row r="57" spans="1:12" ht="13.5" customHeight="1">
      <c r="A57" s="378">
        <f t="shared" si="6"/>
        <v>28</v>
      </c>
      <c r="B57" s="369" t="s">
        <v>534</v>
      </c>
      <c r="C57" s="1075">
        <v>276467</v>
      </c>
      <c r="D57" s="1075">
        <v>247575</v>
      </c>
      <c r="E57" s="850">
        <f>IF('Appendix A'!$I$1=1,('1 - ADIT'!C57+'1 - ADIT'!D57)/2,'1 - ADIT'!C57)</f>
        <v>276467</v>
      </c>
      <c r="F57" s="850">
        <f>E57</f>
        <v>276467</v>
      </c>
      <c r="G57" s="850"/>
      <c r="H57" s="850"/>
      <c r="I57" s="850"/>
      <c r="J57" s="382" t="s">
        <v>208</v>
      </c>
      <c r="L57" s="385"/>
    </row>
    <row r="58" spans="1:12" ht="12.75">
      <c r="A58" s="378">
        <f t="shared" si="6"/>
        <v>29</v>
      </c>
      <c r="B58" s="369" t="s">
        <v>535</v>
      </c>
      <c r="C58" s="1075">
        <v>1313746</v>
      </c>
      <c r="D58" s="1075">
        <v>1256820</v>
      </c>
      <c r="E58" s="850">
        <f>IF('Appendix A'!$I$1=1,('1 - ADIT'!C58+'1 - ADIT'!D58)/2,'1 - ADIT'!C58)</f>
        <v>1313746</v>
      </c>
      <c r="F58" s="850"/>
      <c r="G58" s="850"/>
      <c r="H58" s="850"/>
      <c r="I58" s="850">
        <f>E58</f>
        <v>1313746</v>
      </c>
      <c r="J58" s="382" t="s">
        <v>209</v>
      </c>
      <c r="L58" s="385"/>
    </row>
    <row r="59" spans="1:12" ht="15.75" customHeight="1">
      <c r="A59" s="378">
        <f t="shared" si="6"/>
        <v>30</v>
      </c>
      <c r="B59" s="931" t="s">
        <v>841</v>
      </c>
      <c r="C59" s="1075">
        <v>0</v>
      </c>
      <c r="D59" s="1075">
        <v>0</v>
      </c>
      <c r="E59" s="850">
        <f>IF('Appendix A'!$I$1=1,('1 - ADIT'!C59+'1 - ADIT'!D59)/2,'1 - ADIT'!C59)</f>
        <v>0</v>
      </c>
      <c r="F59" s="850">
        <f>E59</f>
        <v>0</v>
      </c>
      <c r="G59" s="850"/>
      <c r="H59" s="850"/>
      <c r="I59" s="850"/>
      <c r="J59" s="382" t="s">
        <v>210</v>
      </c>
      <c r="L59" s="385"/>
    </row>
    <row r="60" spans="1:12" ht="15.75" customHeight="1">
      <c r="A60" s="378">
        <f t="shared" si="6"/>
        <v>31</v>
      </c>
      <c r="B60" s="369" t="s">
        <v>536</v>
      </c>
      <c r="C60" s="1075">
        <v>293392</v>
      </c>
      <c r="D60" s="1075">
        <v>426251</v>
      </c>
      <c r="E60" s="850">
        <f>IF('Appendix A'!$I$1=1,('1 - ADIT'!C60+'1 - ADIT'!D60)/2,'1 - ADIT'!C60)</f>
        <v>293392</v>
      </c>
      <c r="F60" s="850"/>
      <c r="G60" s="850"/>
      <c r="H60" s="850"/>
      <c r="I60" s="850">
        <f>E60</f>
        <v>293392</v>
      </c>
      <c r="J60" s="382" t="s">
        <v>230</v>
      </c>
      <c r="L60" s="385"/>
    </row>
    <row r="61" spans="1:12" ht="12.75">
      <c r="A61" s="378">
        <f t="shared" si="6"/>
        <v>32</v>
      </c>
      <c r="B61" s="369" t="s">
        <v>649</v>
      </c>
      <c r="C61" s="1075">
        <v>4386898</v>
      </c>
      <c r="D61" s="1075">
        <v>4666689</v>
      </c>
      <c r="E61" s="850">
        <f>IF('Appendix A'!$I$1=1,('1 - ADIT'!C61+'1 - ADIT'!D61)/2,'1 - ADIT'!C61)</f>
        <v>4386898</v>
      </c>
      <c r="F61" s="850"/>
      <c r="G61" s="988"/>
      <c r="H61" s="850"/>
      <c r="I61" s="850">
        <f>E61-G61</f>
        <v>4386898</v>
      </c>
      <c r="J61" s="382" t="s">
        <v>137</v>
      </c>
      <c r="L61" s="385"/>
    </row>
    <row r="62" spans="1:12" ht="12.75" customHeight="1">
      <c r="A62" s="378">
        <f t="shared" si="6"/>
        <v>33</v>
      </c>
      <c r="B62" s="369" t="s">
        <v>92</v>
      </c>
      <c r="C62" s="1075">
        <v>0</v>
      </c>
      <c r="D62" s="1075">
        <v>0</v>
      </c>
      <c r="E62" s="850">
        <f>IF('Appendix A'!$I$1=1,('1 - ADIT'!C62+'1 - ADIT'!D62)/2,'1 - ADIT'!C62)</f>
        <v>0</v>
      </c>
      <c r="F62" s="850">
        <f>E62</f>
        <v>0</v>
      </c>
      <c r="G62" s="850"/>
      <c r="H62" s="850"/>
      <c r="I62" s="850"/>
      <c r="J62" s="382" t="s">
        <v>819</v>
      </c>
      <c r="L62" s="385"/>
    </row>
    <row r="63" spans="1:12" ht="24.75" customHeight="1">
      <c r="A63" s="378">
        <f t="shared" si="6"/>
        <v>34</v>
      </c>
      <c r="B63" s="931" t="s">
        <v>815</v>
      </c>
      <c r="C63" s="1075">
        <v>351084</v>
      </c>
      <c r="D63" s="1075">
        <v>325198</v>
      </c>
      <c r="E63" s="850">
        <f>IF('Appendix A'!$I$1=1,('1 - ADIT'!C63+'1 - ADIT'!D63)/2,'1 - ADIT'!C63)</f>
        <v>351084</v>
      </c>
      <c r="F63" s="850">
        <f>E63</f>
        <v>351084</v>
      </c>
      <c r="G63" s="850"/>
      <c r="H63" s="850"/>
      <c r="I63" s="850"/>
      <c r="J63" s="331" t="s">
        <v>817</v>
      </c>
      <c r="L63" s="385"/>
    </row>
    <row r="64" spans="1:12" ht="15.75" customHeight="1">
      <c r="A64" s="378">
        <f t="shared" si="6"/>
        <v>35</v>
      </c>
      <c r="B64" s="1074" t="s">
        <v>600</v>
      </c>
      <c r="C64" s="1075">
        <v>4373275</v>
      </c>
      <c r="D64" s="1075">
        <v>2753542</v>
      </c>
      <c r="E64" s="1075">
        <f>IF('Appendix A'!$I$1=1,('1 - ADIT'!C64+'1 - ADIT'!D64)/2,'1 - ADIT'!C64)</f>
        <v>4373275</v>
      </c>
      <c r="F64" s="1075">
        <f>E64</f>
        <v>4373275</v>
      </c>
      <c r="G64" s="1075"/>
      <c r="H64" s="1075"/>
      <c r="I64" s="1075"/>
      <c r="J64" s="1073" t="s">
        <v>820</v>
      </c>
      <c r="L64" s="385"/>
    </row>
    <row r="65" spans="1:12" ht="12.75" customHeight="1">
      <c r="A65" s="378">
        <f>A64+1</f>
        <v>36</v>
      </c>
      <c r="B65" s="931" t="s">
        <v>983</v>
      </c>
      <c r="C65" s="850">
        <v>7131904</v>
      </c>
      <c r="D65" s="1075">
        <v>9003265</v>
      </c>
      <c r="E65" s="850">
        <f>IF('Appendix A'!$I$1=1,('1 - ADIT'!C65+'1 - ADIT'!D65)/2,'1 - ADIT'!C65)</f>
        <v>7131904</v>
      </c>
      <c r="F65" s="1075">
        <f>E65</f>
        <v>7131904</v>
      </c>
      <c r="G65" s="850"/>
      <c r="H65" s="850"/>
      <c r="I65" s="850"/>
      <c r="J65" s="1073" t="s">
        <v>1062</v>
      </c>
      <c r="L65" s="385"/>
    </row>
    <row r="66" spans="1:12" ht="12.75" customHeight="1">
      <c r="A66" s="378">
        <v>37</v>
      </c>
      <c r="B66" s="931" t="s">
        <v>1108</v>
      </c>
      <c r="C66" s="850">
        <v>2143558</v>
      </c>
      <c r="D66" s="1075">
        <v>0</v>
      </c>
      <c r="E66" s="850">
        <f>IF('Appendix A'!$I$1=1,('1 - ADIT'!C66+'1 - ADIT'!D66)/2,'1 - ADIT'!C66)</f>
        <v>2143558</v>
      </c>
      <c r="F66" s="1075" t="s">
        <v>316</v>
      </c>
      <c r="G66" s="850"/>
      <c r="H66" s="850"/>
      <c r="I66" s="850">
        <f>E66</f>
        <v>2143558</v>
      </c>
      <c r="J66" s="1073" t="s">
        <v>1109</v>
      </c>
      <c r="L66" s="385"/>
    </row>
    <row r="67" spans="1:12" s="378" customFormat="1" ht="13.5">
      <c r="A67" s="952"/>
      <c r="B67" s="1354"/>
      <c r="C67" s="1353"/>
      <c r="D67" s="658"/>
      <c r="E67" s="1303"/>
      <c r="G67" s="385"/>
      <c r="H67" s="385"/>
      <c r="I67" s="385"/>
      <c r="J67" s="1004"/>
      <c r="L67" s="385"/>
    </row>
    <row r="68" spans="1:6" ht="12.75">
      <c r="A68" s="378"/>
      <c r="B68" s="1355"/>
      <c r="C68" s="970"/>
      <c r="D68" s="955"/>
      <c r="E68" s="1304"/>
      <c r="F68" s="955"/>
    </row>
    <row r="69" spans="1:12" ht="13.5">
      <c r="A69" s="378">
        <v>38</v>
      </c>
      <c r="B69" s="366" t="str">
        <f>"Subtotal - p234 (Sum line "&amp;A39&amp;" through line "&amp;A66&amp;")"</f>
        <v>Subtotal - p234 (Sum line 10 through line 37)</v>
      </c>
      <c r="C69" s="389">
        <f>SUM(C39:C66)</f>
        <v>171930555</v>
      </c>
      <c r="D69" s="389">
        <f aca="true" t="shared" si="7" ref="D69:I69">SUM(D39:D66)</f>
        <v>205397659</v>
      </c>
      <c r="E69" s="850">
        <f t="shared" si="7"/>
        <v>171930555</v>
      </c>
      <c r="F69" s="850">
        <f t="shared" si="7"/>
        <v>82805193</v>
      </c>
      <c r="G69" s="850">
        <f t="shared" si="7"/>
        <v>29892541</v>
      </c>
      <c r="H69" s="850">
        <f t="shared" si="7"/>
        <v>0</v>
      </c>
      <c r="I69" s="850">
        <f t="shared" si="7"/>
        <v>59232821</v>
      </c>
      <c r="J69" s="370"/>
      <c r="L69" s="385"/>
    </row>
    <row r="70" spans="1:12" ht="13.5">
      <c r="A70" s="378">
        <f>A69+1</f>
        <v>39</v>
      </c>
      <c r="B70" s="368" t="s">
        <v>10</v>
      </c>
      <c r="C70" s="389">
        <f aca="true" t="shared" si="8" ref="C70:I70">(C39+C40+C41+C42+C43+C44+C45+C46+C47+C48)</f>
        <v>88001182</v>
      </c>
      <c r="D70" s="389">
        <f t="shared" si="8"/>
        <v>119477940</v>
      </c>
      <c r="E70" s="850">
        <f t="shared" si="8"/>
        <v>88001182</v>
      </c>
      <c r="F70" s="389">
        <f t="shared" si="8"/>
        <v>58108641</v>
      </c>
      <c r="G70" s="389">
        <f t="shared" si="8"/>
        <v>29892541</v>
      </c>
      <c r="H70" s="389">
        <f t="shared" si="8"/>
        <v>0</v>
      </c>
      <c r="I70" s="895">
        <f t="shared" si="8"/>
        <v>0</v>
      </c>
      <c r="J70" s="370"/>
      <c r="L70" s="385"/>
    </row>
    <row r="71" spans="1:12" ht="12" customHeight="1">
      <c r="A71" s="378">
        <f>A70+1</f>
        <v>40</v>
      </c>
      <c r="B71" s="368" t="s">
        <v>11</v>
      </c>
      <c r="C71" s="389">
        <f aca="true" t="shared" si="9" ref="C71:I71">C53</f>
        <v>8412445</v>
      </c>
      <c r="D71" s="389">
        <f t="shared" si="9"/>
        <v>8474303</v>
      </c>
      <c r="E71" s="389">
        <f t="shared" si="9"/>
        <v>8412445</v>
      </c>
      <c r="F71" s="389">
        <f t="shared" si="9"/>
        <v>0</v>
      </c>
      <c r="G71" s="389">
        <f t="shared" si="9"/>
        <v>0</v>
      </c>
      <c r="H71" s="389">
        <f t="shared" si="9"/>
        <v>0</v>
      </c>
      <c r="I71" s="389">
        <f t="shared" si="9"/>
        <v>8412445</v>
      </c>
      <c r="J71" s="383"/>
      <c r="L71" s="385"/>
    </row>
    <row r="72" spans="1:12" ht="13.5">
      <c r="A72" s="378">
        <f>A71+1</f>
        <v>41</v>
      </c>
      <c r="B72" s="368" t="str">
        <f>"Total = Line "&amp;A69&amp;" - (Line "&amp;A71&amp;" + Line "&amp;A70&amp;")"</f>
        <v>Total = Line 38 - (Line 40 + Line 39)</v>
      </c>
      <c r="C72" s="707">
        <f aca="true" t="shared" si="10" ref="C72:I72">C69-(C70+C71)</f>
        <v>75516928</v>
      </c>
      <c r="D72" s="707">
        <f t="shared" si="10"/>
        <v>77445416</v>
      </c>
      <c r="E72" s="707">
        <f t="shared" si="10"/>
        <v>75516928</v>
      </c>
      <c r="F72" s="707">
        <f t="shared" si="10"/>
        <v>24696552</v>
      </c>
      <c r="G72" s="707">
        <f t="shared" si="10"/>
        <v>0</v>
      </c>
      <c r="H72" s="707">
        <f t="shared" si="10"/>
        <v>0</v>
      </c>
      <c r="I72" s="707">
        <f t="shared" si="10"/>
        <v>50820376</v>
      </c>
      <c r="J72" s="367"/>
      <c r="L72" s="385"/>
    </row>
    <row r="73" spans="1:12" s="371" customFormat="1" ht="13.5">
      <c r="A73" s="952"/>
      <c r="B73" s="1317"/>
      <c r="C73" s="1318"/>
      <c r="D73" s="1318"/>
      <c r="E73" s="1318"/>
      <c r="F73" s="1318"/>
      <c r="G73" s="1318"/>
      <c r="H73" s="1318"/>
      <c r="I73" s="1318"/>
      <c r="J73" s="372"/>
      <c r="L73" s="385"/>
    </row>
    <row r="74" spans="1:12" ht="12.75">
      <c r="A74" s="996"/>
      <c r="B74" s="307" t="s">
        <v>318</v>
      </c>
      <c r="C74" s="708" t="s">
        <v>450</v>
      </c>
      <c r="D74" s="708" t="s">
        <v>299</v>
      </c>
      <c r="E74" s="896" t="s">
        <v>319</v>
      </c>
      <c r="F74" s="708" t="s">
        <v>317</v>
      </c>
      <c r="G74" s="708" t="s">
        <v>606</v>
      </c>
      <c r="H74" s="708" t="s">
        <v>320</v>
      </c>
      <c r="I74" s="708" t="s">
        <v>84</v>
      </c>
      <c r="J74" s="307" t="s">
        <v>306</v>
      </c>
      <c r="L74" s="385"/>
    </row>
    <row r="75" spans="1:12" ht="39">
      <c r="A75" s="378"/>
      <c r="C75" s="709" t="s">
        <v>736</v>
      </c>
      <c r="D75" s="709" t="s">
        <v>3</v>
      </c>
      <c r="E75" s="710" t="s">
        <v>493</v>
      </c>
      <c r="F75" s="709" t="s">
        <v>551</v>
      </c>
      <c r="G75" s="709" t="s">
        <v>552</v>
      </c>
      <c r="H75" s="709"/>
      <c r="I75" s="709"/>
      <c r="L75" s="385"/>
    </row>
    <row r="76" spans="1:12" ht="13.5">
      <c r="A76" s="378"/>
      <c r="B76" s="954"/>
      <c r="C76" s="709" t="s">
        <v>449</v>
      </c>
      <c r="D76" s="709" t="s">
        <v>449</v>
      </c>
      <c r="E76" s="709"/>
      <c r="F76" s="709" t="s">
        <v>51</v>
      </c>
      <c r="G76" s="709" t="s">
        <v>525</v>
      </c>
      <c r="H76" s="709" t="s">
        <v>548</v>
      </c>
      <c r="I76" s="709" t="s">
        <v>550</v>
      </c>
      <c r="L76" s="385"/>
    </row>
    <row r="77" spans="1:12" ht="13.5">
      <c r="A77" s="378"/>
      <c r="B77" s="207"/>
      <c r="C77" s="437"/>
      <c r="D77" s="379"/>
      <c r="E77" s="264"/>
      <c r="F77" s="709" t="s">
        <v>549</v>
      </c>
      <c r="G77" s="709" t="s">
        <v>549</v>
      </c>
      <c r="H77" s="709" t="s">
        <v>549</v>
      </c>
      <c r="I77" s="709" t="s">
        <v>549</v>
      </c>
      <c r="J77" s="308" t="s">
        <v>52</v>
      </c>
      <c r="L77" s="385"/>
    </row>
    <row r="78" spans="1:12" ht="17.25">
      <c r="A78" s="378"/>
      <c r="B78" s="306" t="s">
        <v>527</v>
      </c>
      <c r="C78" s="1356"/>
      <c r="D78" s="967"/>
      <c r="E78" s="291"/>
      <c r="F78" s="437"/>
      <c r="G78" s="437"/>
      <c r="H78" s="437"/>
      <c r="I78" s="437"/>
      <c r="J78" s="378"/>
      <c r="L78" s="385"/>
    </row>
    <row r="79" spans="1:12" ht="39" customHeight="1">
      <c r="A79" s="378">
        <f>A72+1</f>
        <v>42</v>
      </c>
      <c r="B79" s="1213" t="s">
        <v>980</v>
      </c>
      <c r="C79" s="1077">
        <v>151733338</v>
      </c>
      <c r="D79" s="1076">
        <v>147570042</v>
      </c>
      <c r="E79" s="1076">
        <f>IF('Appendix A'!$I$1=1,('1 - ADIT'!C79+'1 - ADIT'!D79)/2,'1 - ADIT'!C79)</f>
        <v>151733338</v>
      </c>
      <c r="F79" s="850"/>
      <c r="G79" s="850">
        <f>E79</f>
        <v>151733338</v>
      </c>
      <c r="H79" s="850"/>
      <c r="I79" s="850"/>
      <c r="J79" s="1197" t="s">
        <v>1064</v>
      </c>
      <c r="L79" s="385"/>
    </row>
    <row r="80" spans="1:12" ht="39" customHeight="1">
      <c r="A80" s="378">
        <f>A79+1</f>
        <v>43</v>
      </c>
      <c r="B80" s="1213" t="s">
        <v>981</v>
      </c>
      <c r="C80" s="1077">
        <v>527951499</v>
      </c>
      <c r="D80" s="1076">
        <v>526541215</v>
      </c>
      <c r="E80" s="1076">
        <f>IF('Appendix A'!$I$1=1,('1 - ADIT'!C80+'1 - ADIT'!D80)/2,'1 - ADIT'!C80)</f>
        <v>527951499</v>
      </c>
      <c r="F80" s="850">
        <f>E80</f>
        <v>527951499</v>
      </c>
      <c r="G80" s="850"/>
      <c r="H80" s="850"/>
      <c r="I80" s="850"/>
      <c r="J80" s="1197" t="s">
        <v>1065</v>
      </c>
      <c r="L80" s="385"/>
    </row>
    <row r="81" spans="1:12" ht="13.5">
      <c r="A81" s="378">
        <f>A80+1</f>
        <v>44</v>
      </c>
      <c r="B81" s="366" t="s">
        <v>571</v>
      </c>
      <c r="C81" s="707">
        <f aca="true" t="shared" si="11" ref="C81:I81">SUM(C79:C80)</f>
        <v>679684837</v>
      </c>
      <c r="D81" s="707">
        <f t="shared" si="11"/>
        <v>674111257</v>
      </c>
      <c r="E81" s="707">
        <f t="shared" si="11"/>
        <v>679684837</v>
      </c>
      <c r="F81" s="707">
        <f t="shared" si="11"/>
        <v>527951499</v>
      </c>
      <c r="G81" s="707">
        <f t="shared" si="11"/>
        <v>151733338</v>
      </c>
      <c r="H81" s="707">
        <f t="shared" si="11"/>
        <v>0</v>
      </c>
      <c r="I81" s="707">
        <f t="shared" si="11"/>
        <v>0</v>
      </c>
      <c r="J81" s="386"/>
      <c r="L81" s="385"/>
    </row>
    <row r="82" spans="1:12" ht="13.5">
      <c r="A82" s="378">
        <f>A81+1</f>
        <v>45</v>
      </c>
      <c r="B82" s="368" t="s">
        <v>10</v>
      </c>
      <c r="C82" s="389">
        <f>SUM(F82:H82)</f>
        <v>0</v>
      </c>
      <c r="D82" s="389">
        <f>SUM(G82:I82)</f>
        <v>0</v>
      </c>
      <c r="E82" s="851">
        <f>+C82</f>
        <v>0</v>
      </c>
      <c r="F82" s="389"/>
      <c r="G82" s="389"/>
      <c r="H82" s="389">
        <v>0</v>
      </c>
      <c r="I82" s="389"/>
      <c r="J82" s="370"/>
      <c r="L82" s="385"/>
    </row>
    <row r="83" spans="1:12" ht="13.5">
      <c r="A83" s="378">
        <f>A82+1</f>
        <v>46</v>
      </c>
      <c r="B83" s="368" t="s">
        <v>11</v>
      </c>
      <c r="C83" s="389"/>
      <c r="D83" s="389"/>
      <c r="E83" s="851">
        <f>+C83</f>
        <v>0</v>
      </c>
      <c r="F83" s="389"/>
      <c r="G83" s="389"/>
      <c r="H83" s="389"/>
      <c r="I83" s="389"/>
      <c r="J83" s="370"/>
      <c r="L83" s="385"/>
    </row>
    <row r="84" spans="1:12" ht="13.5">
      <c r="A84" s="378">
        <f>A83+1</f>
        <v>47</v>
      </c>
      <c r="B84" s="368" t="str">
        <f>"Total = Line "&amp;A81&amp;" - (Line "&amp;A83&amp;" + Line "&amp;A82&amp;")"</f>
        <v>Total = Line 44 - (Line 46 + Line 45)</v>
      </c>
      <c r="C84" s="707">
        <f>C81-(C82+C83)</f>
        <v>679684837</v>
      </c>
      <c r="D84" s="707">
        <f aca="true" t="shared" si="12" ref="D84:I84">D81-(D82+D83)</f>
        <v>674111257</v>
      </c>
      <c r="E84" s="707">
        <f t="shared" si="12"/>
        <v>679684837</v>
      </c>
      <c r="F84" s="707">
        <f t="shared" si="12"/>
        <v>527951499</v>
      </c>
      <c r="G84" s="707">
        <f t="shared" si="12"/>
        <v>151733338</v>
      </c>
      <c r="H84" s="707">
        <f t="shared" si="12"/>
        <v>0</v>
      </c>
      <c r="I84" s="707">
        <f t="shared" si="12"/>
        <v>0</v>
      </c>
      <c r="J84" s="386"/>
      <c r="L84" s="385"/>
    </row>
    <row r="85" spans="1:12" ht="14.25">
      <c r="A85" s="952"/>
      <c r="B85" s="1317"/>
      <c r="C85" s="1318"/>
      <c r="D85" s="1318"/>
      <c r="E85" s="1318"/>
      <c r="F85" s="1318"/>
      <c r="G85" s="1318"/>
      <c r="H85" s="1318"/>
      <c r="I85" s="1318"/>
      <c r="J85" s="793"/>
      <c r="L85" s="385"/>
    </row>
    <row r="86" spans="1:12" ht="12.75">
      <c r="A86" s="996"/>
      <c r="B86" s="307" t="s">
        <v>318</v>
      </c>
      <c r="C86" s="708" t="s">
        <v>450</v>
      </c>
      <c r="D86" s="708" t="s">
        <v>299</v>
      </c>
      <c r="E86" s="708" t="s">
        <v>319</v>
      </c>
      <c r="F86" s="708" t="s">
        <v>317</v>
      </c>
      <c r="G86" s="708" t="s">
        <v>606</v>
      </c>
      <c r="H86" s="708" t="s">
        <v>320</v>
      </c>
      <c r="I86" s="708" t="s">
        <v>84</v>
      </c>
      <c r="J86" s="307" t="s">
        <v>1110</v>
      </c>
      <c r="L86" s="385"/>
    </row>
    <row r="87" spans="1:12" ht="39">
      <c r="A87" s="378"/>
      <c r="B87" s="792" t="s">
        <v>832</v>
      </c>
      <c r="C87" s="709" t="s">
        <v>736</v>
      </c>
      <c r="D87" s="709" t="s">
        <v>3</v>
      </c>
      <c r="E87" s="710" t="s">
        <v>493</v>
      </c>
      <c r="F87" s="709" t="s">
        <v>551</v>
      </c>
      <c r="G87" s="709" t="s">
        <v>552</v>
      </c>
      <c r="H87" s="709"/>
      <c r="I87" s="709"/>
      <c r="L87" s="385"/>
    </row>
    <row r="88" spans="1:12" ht="12.75">
      <c r="A88" s="378"/>
      <c r="C88" s="709" t="s">
        <v>449</v>
      </c>
      <c r="D88" s="709" t="s">
        <v>449</v>
      </c>
      <c r="E88" s="709"/>
      <c r="F88" s="709" t="s">
        <v>51</v>
      </c>
      <c r="G88" s="709" t="s">
        <v>525</v>
      </c>
      <c r="H88" s="709" t="s">
        <v>548</v>
      </c>
      <c r="I88" s="709" t="s">
        <v>550</v>
      </c>
      <c r="L88" s="385"/>
    </row>
    <row r="89" spans="1:12" ht="13.5">
      <c r="A89" s="378"/>
      <c r="B89" s="207"/>
      <c r="C89" s="379"/>
      <c r="D89" s="379"/>
      <c r="E89" s="711"/>
      <c r="F89" s="709" t="s">
        <v>549</v>
      </c>
      <c r="G89" s="709" t="s">
        <v>549</v>
      </c>
      <c r="H89" s="709" t="s">
        <v>549</v>
      </c>
      <c r="I89" s="709" t="s">
        <v>549</v>
      </c>
      <c r="J89" s="308" t="s">
        <v>52</v>
      </c>
      <c r="L89" s="385"/>
    </row>
    <row r="90" spans="1:12" ht="17.25">
      <c r="A90" s="378"/>
      <c r="B90" s="306" t="s">
        <v>528</v>
      </c>
      <c r="C90" s="967"/>
      <c r="D90" s="967"/>
      <c r="E90" s="264"/>
      <c r="F90" s="437"/>
      <c r="G90" s="437"/>
      <c r="H90" s="437"/>
      <c r="I90" s="437"/>
      <c r="L90" s="385"/>
    </row>
    <row r="91" spans="1:12" ht="26.25">
      <c r="A91" s="378">
        <f>A84+1</f>
        <v>48</v>
      </c>
      <c r="B91" s="931" t="s">
        <v>794</v>
      </c>
      <c r="C91" s="1077">
        <v>4798044</v>
      </c>
      <c r="D91" s="1077">
        <v>5345670</v>
      </c>
      <c r="E91" s="850">
        <f>IF('Appendix A'!$I$1=1,('1 - ADIT'!C91+'1 - ADIT'!D91)/2,'1 - ADIT'!C91)</f>
        <v>4798044</v>
      </c>
      <c r="F91" s="850"/>
      <c r="G91" s="850"/>
      <c r="H91" s="850">
        <f>E91</f>
        <v>4798044</v>
      </c>
      <c r="I91" s="850"/>
      <c r="J91" s="331" t="s">
        <v>695</v>
      </c>
      <c r="L91" s="385"/>
    </row>
    <row r="92" spans="1:12" ht="12.75" customHeight="1">
      <c r="A92" s="378">
        <f>A91+1</f>
        <v>49</v>
      </c>
      <c r="B92" s="931" t="s">
        <v>795</v>
      </c>
      <c r="C92" s="1077">
        <v>972519</v>
      </c>
      <c r="D92" s="1077">
        <v>903116</v>
      </c>
      <c r="E92" s="850">
        <f>IF('Appendix A'!$I$1=1,('1 - ADIT'!C92+'1 - ADIT'!D92)/2,'1 - ADIT'!C92)</f>
        <v>972519</v>
      </c>
      <c r="F92" s="850">
        <f>E92</f>
        <v>972519</v>
      </c>
      <c r="G92" s="850"/>
      <c r="H92" s="850"/>
      <c r="I92" s="850"/>
      <c r="J92" s="331" t="s">
        <v>696</v>
      </c>
      <c r="L92" s="385"/>
    </row>
    <row r="93" spans="1:12" ht="12.75" customHeight="1">
      <c r="A93" s="378">
        <f>A92+1</f>
        <v>50</v>
      </c>
      <c r="B93" s="369" t="s">
        <v>538</v>
      </c>
      <c r="C93" s="1077">
        <v>9375123</v>
      </c>
      <c r="D93" s="1077">
        <v>8205264</v>
      </c>
      <c r="E93" s="850">
        <f>IF('Appendix A'!$I$1=1,('1 - ADIT'!C93+'1 - ADIT'!D93)/2,'1 - ADIT'!C93)</f>
        <v>9375123</v>
      </c>
      <c r="F93" s="850">
        <f>E93</f>
        <v>9375123</v>
      </c>
      <c r="G93" s="850"/>
      <c r="H93" s="850"/>
      <c r="I93" s="850"/>
      <c r="J93" s="305" t="s">
        <v>697</v>
      </c>
      <c r="L93" s="385"/>
    </row>
    <row r="94" spans="1:12" ht="12.75" customHeight="1">
      <c r="A94" s="378">
        <f>A93+1</f>
        <v>51</v>
      </c>
      <c r="B94" s="931" t="s">
        <v>796</v>
      </c>
      <c r="C94" s="1077">
        <v>74938529</v>
      </c>
      <c r="D94" s="1077">
        <v>83365312</v>
      </c>
      <c r="E94" s="850">
        <f>IF('Appendix A'!$I$1=1,('1 - ADIT'!C94+'1 - ADIT'!D94)/2,'1 - ADIT'!C94)</f>
        <v>74938529</v>
      </c>
      <c r="F94" s="850"/>
      <c r="G94" s="850"/>
      <c r="H94" s="850"/>
      <c r="I94" s="850">
        <f>E94</f>
        <v>74938529</v>
      </c>
      <c r="J94" s="331" t="s">
        <v>698</v>
      </c>
      <c r="L94" s="385"/>
    </row>
    <row r="95" spans="1:12" ht="12.75" customHeight="1">
      <c r="A95" s="378">
        <f>A94+1</f>
        <v>52</v>
      </c>
      <c r="B95" s="931" t="s">
        <v>801</v>
      </c>
      <c r="C95" s="1077">
        <v>1720495</v>
      </c>
      <c r="D95" s="1077">
        <v>1478061</v>
      </c>
      <c r="E95" s="850">
        <f>IF('Appendix A'!$I$1=1,('1 - ADIT'!C95+'1 - ADIT'!D95)/2,'1 - ADIT'!C95)</f>
        <v>1720495</v>
      </c>
      <c r="F95" s="850"/>
      <c r="G95" s="850"/>
      <c r="H95" s="850"/>
      <c r="I95" s="850">
        <f>E95</f>
        <v>1720495</v>
      </c>
      <c r="J95" s="331" t="s">
        <v>808</v>
      </c>
      <c r="L95" s="385"/>
    </row>
    <row r="96" spans="1:12" ht="12.75" customHeight="1">
      <c r="A96" s="378">
        <f aca="true" t="shared" si="13" ref="A96:A103">A95+1</f>
        <v>53</v>
      </c>
      <c r="B96" s="931" t="s">
        <v>600</v>
      </c>
      <c r="C96" s="1077">
        <v>0</v>
      </c>
      <c r="D96" s="1077">
        <v>0</v>
      </c>
      <c r="E96" s="850">
        <f>IF('Appendix A'!$I$1=1,('1 - ADIT'!C96+'1 - ADIT'!D96)/2,'1 - ADIT'!C96)</f>
        <v>0</v>
      </c>
      <c r="F96" s="850">
        <f>E96</f>
        <v>0</v>
      </c>
      <c r="G96" s="850"/>
      <c r="H96" s="850"/>
      <c r="I96" s="850"/>
      <c r="J96" s="332" t="s">
        <v>694</v>
      </c>
      <c r="L96" s="385"/>
    </row>
    <row r="97" spans="1:12" ht="12.75" customHeight="1">
      <c r="A97" s="378">
        <f t="shared" si="13"/>
        <v>54</v>
      </c>
      <c r="B97" s="699" t="s">
        <v>983</v>
      </c>
      <c r="C97" s="1077">
        <v>7131904</v>
      </c>
      <c r="D97" s="1077">
        <v>9028992</v>
      </c>
      <c r="E97" s="850">
        <f>IF('Appendix A'!$I$1=1,('1 - ADIT'!C97+'1 - ADIT'!D97)/2,'1 - ADIT'!C97)</f>
        <v>7131904</v>
      </c>
      <c r="F97" s="850">
        <f>E97</f>
        <v>7131904</v>
      </c>
      <c r="G97" s="850"/>
      <c r="H97" s="850"/>
      <c r="I97" s="850"/>
      <c r="J97" s="332" t="s">
        <v>1063</v>
      </c>
      <c r="L97" s="385"/>
    </row>
    <row r="98" spans="1:12" ht="13.5">
      <c r="A98" s="378">
        <f t="shared" si="13"/>
        <v>55</v>
      </c>
      <c r="B98" s="699"/>
      <c r="C98" s="389">
        <v>0</v>
      </c>
      <c r="D98" s="389">
        <v>0</v>
      </c>
      <c r="E98" s="850">
        <f>IF('Appendix A'!$I$1=1,('1 - ADIT'!C98+'1 - ADIT'!D98)/2,'1 - ADIT'!C98)</f>
        <v>0</v>
      </c>
      <c r="F98" s="850"/>
      <c r="G98" s="850"/>
      <c r="H98" s="850"/>
      <c r="I98" s="850"/>
      <c r="J98" s="332"/>
      <c r="L98" s="385"/>
    </row>
    <row r="99" spans="1:12" ht="13.5">
      <c r="A99" s="378">
        <f t="shared" si="13"/>
        <v>56</v>
      </c>
      <c r="B99" s="699"/>
      <c r="C99" s="389">
        <v>0</v>
      </c>
      <c r="D99" s="389">
        <v>0</v>
      </c>
      <c r="E99" s="850">
        <f>IF('Appendix A'!$I$1=1,('1 - ADIT'!C99+'1 - ADIT'!D99)/2,'1 - ADIT'!C99)</f>
        <v>0</v>
      </c>
      <c r="F99" s="850"/>
      <c r="G99" s="850"/>
      <c r="H99" s="850"/>
      <c r="I99" s="850"/>
      <c r="J99" s="332"/>
      <c r="L99" s="385"/>
    </row>
    <row r="100" spans="1:12" ht="13.5">
      <c r="A100" s="378">
        <f t="shared" si="13"/>
        <v>57</v>
      </c>
      <c r="B100" s="366" t="s">
        <v>13</v>
      </c>
      <c r="C100" s="707">
        <f aca="true" t="shared" si="14" ref="C100:I100">SUM(C91:C99)</f>
        <v>98936614</v>
      </c>
      <c r="D100" s="707">
        <f t="shared" si="14"/>
        <v>108326415</v>
      </c>
      <c r="E100" s="707">
        <f t="shared" si="14"/>
        <v>98936614</v>
      </c>
      <c r="F100" s="707">
        <f t="shared" si="14"/>
        <v>17479546</v>
      </c>
      <c r="G100" s="707">
        <f t="shared" si="14"/>
        <v>0</v>
      </c>
      <c r="H100" s="707">
        <f t="shared" si="14"/>
        <v>4798044</v>
      </c>
      <c r="I100" s="707">
        <f t="shared" si="14"/>
        <v>76659024</v>
      </c>
      <c r="J100" s="333"/>
      <c r="L100" s="385"/>
    </row>
    <row r="101" spans="1:12" ht="13.5">
      <c r="A101" s="378">
        <f t="shared" si="13"/>
        <v>58</v>
      </c>
      <c r="B101" s="368" t="s">
        <v>10</v>
      </c>
      <c r="C101" s="389">
        <v>0</v>
      </c>
      <c r="D101" s="389">
        <v>0</v>
      </c>
      <c r="E101" s="389">
        <v>0</v>
      </c>
      <c r="F101" s="389">
        <v>0</v>
      </c>
      <c r="G101" s="389">
        <v>0</v>
      </c>
      <c r="H101" s="389">
        <v>0</v>
      </c>
      <c r="I101" s="389">
        <v>0</v>
      </c>
      <c r="J101" s="332"/>
      <c r="L101" s="385"/>
    </row>
    <row r="102" spans="1:12" ht="13.5">
      <c r="A102" s="378">
        <f t="shared" si="13"/>
        <v>59</v>
      </c>
      <c r="B102" s="368" t="s">
        <v>11</v>
      </c>
      <c r="C102" s="389">
        <f>SUM(F102:I102)</f>
        <v>0</v>
      </c>
      <c r="D102" s="389">
        <v>0</v>
      </c>
      <c r="E102" s="389">
        <f>+C102</f>
        <v>0</v>
      </c>
      <c r="F102" s="852"/>
      <c r="G102" s="852"/>
      <c r="H102" s="852"/>
      <c r="I102" s="852">
        <v>0</v>
      </c>
      <c r="J102" s="332"/>
      <c r="L102" s="385"/>
    </row>
    <row r="103" spans="1:12" ht="13.5">
      <c r="A103" s="378">
        <f t="shared" si="13"/>
        <v>60</v>
      </c>
      <c r="B103" s="368" t="str">
        <f>"Total = Line "&amp;A100&amp;" - (Line "&amp;A102&amp;" + Line "&amp;A101&amp;")"</f>
        <v>Total = Line 57 - (Line 59 + Line 58)</v>
      </c>
      <c r="C103" s="387">
        <f>C100-(C101+C102)</f>
        <v>98936614</v>
      </c>
      <c r="D103" s="387">
        <f>D100-(D101+D102)</f>
        <v>108326415</v>
      </c>
      <c r="E103" s="387">
        <f>E100-E101-E102</f>
        <v>98936614</v>
      </c>
      <c r="F103" s="387">
        <f>+F100-F101-F102</f>
        <v>17479546</v>
      </c>
      <c r="G103" s="387">
        <f>+G100-G101-G102</f>
        <v>0</v>
      </c>
      <c r="H103" s="387">
        <f>+H100-H101-H102</f>
        <v>4798044</v>
      </c>
      <c r="I103" s="387">
        <f>+I100-I101-I102</f>
        <v>76659024</v>
      </c>
      <c r="J103" s="333"/>
      <c r="L103" s="385"/>
    </row>
    <row r="104" spans="1:12" s="378" customFormat="1" ht="13.5">
      <c r="A104" s="952"/>
      <c r="B104" s="1317"/>
      <c r="C104" s="384"/>
      <c r="D104" s="384"/>
      <c r="E104" s="384"/>
      <c r="F104" s="384"/>
      <c r="G104" s="384"/>
      <c r="H104" s="384"/>
      <c r="I104" s="384"/>
      <c r="J104" s="1004"/>
      <c r="L104" s="385"/>
    </row>
    <row r="105" spans="1:12" ht="13.5">
      <c r="A105" s="378"/>
      <c r="B105" s="309" t="s">
        <v>30</v>
      </c>
      <c r="C105" s="955"/>
      <c r="D105" s="955"/>
      <c r="E105" s="899"/>
      <c r="I105" s="310"/>
      <c r="J105" s="793"/>
      <c r="K105" s="310"/>
      <c r="L105" s="385"/>
    </row>
    <row r="106" spans="1:12" ht="13.5">
      <c r="A106" s="378"/>
      <c r="B106" s="309"/>
      <c r="E106" s="955"/>
      <c r="F106" s="955"/>
      <c r="I106" s="311"/>
      <c r="J106" s="310"/>
      <c r="K106" s="310"/>
      <c r="L106" s="385"/>
    </row>
    <row r="107" spans="1:12" ht="13.5">
      <c r="A107" s="378"/>
      <c r="B107" s="388"/>
      <c r="C107" s="386" t="s">
        <v>31</v>
      </c>
      <c r="D107" s="386" t="s">
        <v>32</v>
      </c>
      <c r="E107"/>
      <c r="F107" s="968"/>
      <c r="G107" s="793"/>
      <c r="H107" s="793"/>
      <c r="I107" s="378"/>
      <c r="L107" s="385"/>
    </row>
    <row r="108" spans="1:12" ht="13.5">
      <c r="A108" s="378"/>
      <c r="B108" s="388"/>
      <c r="C108" s="386"/>
      <c r="D108" s="386"/>
      <c r="E108"/>
      <c r="F108" s="968"/>
      <c r="G108" s="793"/>
      <c r="H108" s="793"/>
      <c r="I108" s="378"/>
      <c r="L108" s="385"/>
    </row>
    <row r="109" spans="1:12" ht="12.75">
      <c r="A109" s="378"/>
      <c r="B109" s="386"/>
      <c r="C109" s="386"/>
      <c r="D109" s="390"/>
      <c r="E109" s="2"/>
      <c r="F109" s="977"/>
      <c r="G109" s="2"/>
      <c r="H109" s="378"/>
      <c r="I109" s="378"/>
      <c r="L109" s="385"/>
    </row>
    <row r="110" spans="1:12" ht="12.75">
      <c r="A110" s="378"/>
      <c r="B110" s="386" t="s">
        <v>32</v>
      </c>
      <c r="C110" s="386"/>
      <c r="D110" s="390"/>
      <c r="E110" s="2"/>
      <c r="F110" s="977"/>
      <c r="G110" s="2"/>
      <c r="H110" s="378"/>
      <c r="I110" s="378"/>
      <c r="L110" s="385"/>
    </row>
    <row r="111" spans="1:12" ht="12.75">
      <c r="A111" s="378"/>
      <c r="B111" s="386" t="str">
        <f>"Amortization to Line "&amp;'Appendix A'!A211&amp;" of Appendix A"</f>
        <v>Amortization to Line 129 of Appendix A</v>
      </c>
      <c r="C111" s="386" t="s">
        <v>449</v>
      </c>
      <c r="D111" s="389">
        <v>0</v>
      </c>
      <c r="E111" s="2"/>
      <c r="F111" s="200"/>
      <c r="G111" s="2"/>
      <c r="H111" s="899"/>
      <c r="I111" s="378"/>
      <c r="L111" s="385"/>
    </row>
    <row r="112" spans="1:12" ht="12.75">
      <c r="A112" s="378"/>
      <c r="B112" s="386"/>
      <c r="C112" s="386"/>
      <c r="D112" s="390"/>
      <c r="E112" s="2"/>
      <c r="F112" s="889"/>
      <c r="G112" s="2"/>
      <c r="H112" s="899"/>
      <c r="I112" s="378"/>
      <c r="L112" s="385"/>
    </row>
    <row r="113" spans="1:12" ht="12.75">
      <c r="A113" s="378"/>
      <c r="B113" s="386" t="s">
        <v>449</v>
      </c>
      <c r="C113" s="386"/>
      <c r="D113" s="390">
        <f>+D111</f>
        <v>0</v>
      </c>
      <c r="E113"/>
      <c r="F113"/>
      <c r="G113"/>
      <c r="H113" s="899"/>
      <c r="L113" s="385"/>
    </row>
    <row r="114" spans="1:12" ht="12.75">
      <c r="A114" s="378"/>
      <c r="B114" s="386"/>
      <c r="C114" s="386"/>
      <c r="D114" s="390"/>
      <c r="E114" s="2"/>
      <c r="F114"/>
      <c r="G114"/>
      <c r="L114" s="385"/>
    </row>
    <row r="115" spans="1:12" ht="12.75">
      <c r="A115" s="378"/>
      <c r="B115" s="333" t="s">
        <v>257</v>
      </c>
      <c r="C115" s="386"/>
      <c r="D115" s="389">
        <f>+D113</f>
        <v>0</v>
      </c>
      <c r="E115" s="2"/>
      <c r="F115"/>
      <c r="G115"/>
      <c r="L115" s="385"/>
    </row>
    <row r="116" spans="1:12" ht="12.75">
      <c r="A116" s="378"/>
      <c r="B116" s="386"/>
      <c r="C116" s="386"/>
      <c r="D116" s="390"/>
      <c r="E116" s="2"/>
      <c r="F116"/>
      <c r="G116"/>
      <c r="L116" s="385"/>
    </row>
    <row r="117" spans="1:12" ht="12.75">
      <c r="A117" s="378"/>
      <c r="B117" s="386" t="s">
        <v>33</v>
      </c>
      <c r="C117" s="386"/>
      <c r="D117" s="390">
        <f>+D113-D115</f>
        <v>0</v>
      </c>
      <c r="E117"/>
      <c r="F117"/>
      <c r="G117"/>
      <c r="L117" s="385"/>
    </row>
    <row r="118" spans="1:12" ht="12.75">
      <c r="A118" s="378"/>
      <c r="L118" s="385"/>
    </row>
    <row r="119" spans="1:12" ht="12.75">
      <c r="A119" s="378"/>
      <c r="B119" s="375" t="s">
        <v>377</v>
      </c>
      <c r="L119" s="385"/>
    </row>
    <row r="120" spans="1:12" ht="12.75">
      <c r="A120" s="378"/>
      <c r="L120" s="385"/>
    </row>
    <row r="121" spans="1:12" ht="12.75">
      <c r="A121" s="378"/>
      <c r="L121" s="385"/>
    </row>
    <row r="122" spans="1:12" ht="12.75">
      <c r="A122" s="378"/>
      <c r="L122" s="385"/>
    </row>
    <row r="123" spans="1:12" ht="12.75">
      <c r="A123" s="378"/>
      <c r="L123" s="385"/>
    </row>
    <row r="124" spans="1:12" ht="12.75">
      <c r="A124" s="378"/>
      <c r="L124" s="385"/>
    </row>
    <row r="125" spans="1:12" ht="12.75">
      <c r="A125" s="378"/>
      <c r="L125" s="385"/>
    </row>
    <row r="126" spans="1:12" ht="12.75">
      <c r="A126" s="378"/>
      <c r="L126" s="385"/>
    </row>
    <row r="127" spans="1:12" ht="12.75">
      <c r="A127" s="378"/>
      <c r="L127" s="385"/>
    </row>
    <row r="128" spans="1:12" ht="12.75">
      <c r="A128" s="378"/>
      <c r="L128" s="385"/>
    </row>
    <row r="129" spans="1:12" ht="12.75">
      <c r="A129" s="378"/>
      <c r="L129" s="385"/>
    </row>
    <row r="130" spans="1:12" ht="12.75">
      <c r="A130" s="378"/>
      <c r="L130" s="385"/>
    </row>
    <row r="131" spans="1:12" ht="12.75">
      <c r="A131" s="378"/>
      <c r="L131" s="385"/>
    </row>
    <row r="132" spans="1:12" ht="12.75">
      <c r="A132" s="378"/>
      <c r="L132" s="385"/>
    </row>
    <row r="133" spans="1:12" ht="12.75">
      <c r="A133" s="378"/>
      <c r="L133" s="385"/>
    </row>
    <row r="134" spans="1:12" ht="12.75">
      <c r="A134" s="378"/>
      <c r="L134" s="385"/>
    </row>
    <row r="135" spans="1:12" ht="12.75">
      <c r="A135" s="378"/>
      <c r="L135" s="385"/>
    </row>
    <row r="136" spans="1:12" ht="12.75">
      <c r="A136" s="378"/>
      <c r="L136" s="385"/>
    </row>
    <row r="137" spans="1:12" ht="12.75">
      <c r="A137" s="378"/>
      <c r="L137" s="385"/>
    </row>
    <row r="138" spans="1:12" ht="12.75">
      <c r="A138" s="378"/>
      <c r="L138" s="385"/>
    </row>
    <row r="139" spans="1:12" ht="12.75">
      <c r="A139" s="378"/>
      <c r="L139" s="385"/>
    </row>
    <row r="140" spans="1:12" ht="12.75">
      <c r="A140" s="378"/>
      <c r="L140" s="385"/>
    </row>
    <row r="141" spans="1:12" ht="12.75">
      <c r="A141" s="378"/>
      <c r="L141" s="385"/>
    </row>
    <row r="142" spans="1:12" ht="12.75">
      <c r="A142" s="378"/>
      <c r="L142" s="385"/>
    </row>
    <row r="143" spans="1:12" ht="12.75">
      <c r="A143" s="378"/>
      <c r="L143" s="385"/>
    </row>
    <row r="144" spans="1:12" ht="12.75">
      <c r="A144" s="378"/>
      <c r="L144" s="385"/>
    </row>
    <row r="145" spans="1:12" ht="12.75">
      <c r="A145" s="378"/>
      <c r="L145" s="385"/>
    </row>
    <row r="146" spans="1:12" ht="12.75">
      <c r="A146" s="378"/>
      <c r="L146" s="385"/>
    </row>
    <row r="147" spans="1:12" ht="12.75">
      <c r="A147" s="378"/>
      <c r="L147" s="385"/>
    </row>
    <row r="148" spans="1:12" ht="12.75">
      <c r="A148" s="378"/>
      <c r="L148" s="385"/>
    </row>
    <row r="149" spans="1:12" ht="12.75">
      <c r="A149" s="378"/>
      <c r="L149" s="385"/>
    </row>
    <row r="150" ht="12.75">
      <c r="A150" s="378"/>
    </row>
    <row r="151" ht="12.75">
      <c r="A151" s="378"/>
    </row>
    <row r="152" ht="12.75">
      <c r="A152" s="378"/>
    </row>
    <row r="153" ht="12.75">
      <c r="A153" s="378"/>
    </row>
    <row r="154" ht="12.75">
      <c r="A154" s="378"/>
    </row>
    <row r="155" ht="12.75">
      <c r="A155" s="378"/>
    </row>
    <row r="156" ht="12.75">
      <c r="A156" s="378"/>
    </row>
    <row r="157" ht="12.75">
      <c r="A157" s="378"/>
    </row>
    <row r="158" ht="12.75">
      <c r="A158" s="378"/>
    </row>
    <row r="159" ht="12.75">
      <c r="A159" s="378"/>
    </row>
    <row r="160" ht="12.75">
      <c r="A160" s="378"/>
    </row>
    <row r="161" ht="12.75">
      <c r="A161" s="378"/>
    </row>
    <row r="162" ht="12.75">
      <c r="A162" s="378"/>
    </row>
    <row r="163" ht="12.75">
      <c r="A163" s="378"/>
    </row>
    <row r="164" ht="12.75">
      <c r="A164" s="378"/>
    </row>
    <row r="165" ht="12.75">
      <c r="A165" s="378"/>
    </row>
    <row r="166" ht="12.75">
      <c r="A166" s="378"/>
    </row>
    <row r="167" ht="12.75">
      <c r="A167" s="378"/>
    </row>
    <row r="168" ht="12.75">
      <c r="A168" s="378"/>
    </row>
    <row r="169" ht="12.75">
      <c r="A169" s="378"/>
    </row>
    <row r="170" ht="12.75">
      <c r="A170" s="378"/>
    </row>
    <row r="171" ht="12.75">
      <c r="A171" s="378"/>
    </row>
    <row r="172" ht="12.75">
      <c r="A172" s="378"/>
    </row>
    <row r="173" ht="12.75">
      <c r="A173" s="378"/>
    </row>
    <row r="174" ht="12.75">
      <c r="A174" s="378"/>
    </row>
    <row r="175" ht="12.75">
      <c r="A175" s="378"/>
    </row>
    <row r="176" ht="12.75">
      <c r="A176" s="378"/>
    </row>
    <row r="177" ht="12.75">
      <c r="A177" s="378"/>
    </row>
    <row r="178" ht="12.75">
      <c r="A178" s="378"/>
    </row>
    <row r="179" ht="12.75">
      <c r="A179" s="378"/>
    </row>
    <row r="180" ht="12.75">
      <c r="A180" s="378"/>
    </row>
    <row r="181" ht="12.75">
      <c r="A181" s="378"/>
    </row>
    <row r="182" ht="12.75">
      <c r="A182" s="378"/>
    </row>
    <row r="183" ht="12.75">
      <c r="A183" s="378"/>
    </row>
    <row r="184" ht="12.75">
      <c r="A184" s="378"/>
    </row>
    <row r="185" ht="12.75">
      <c r="A185" s="378"/>
    </row>
    <row r="186" ht="12.75">
      <c r="A186" s="378"/>
    </row>
    <row r="187" ht="12.75">
      <c r="A187" s="378"/>
    </row>
    <row r="188" ht="12.75">
      <c r="A188" s="378"/>
    </row>
    <row r="189" ht="12.75">
      <c r="A189" s="378"/>
    </row>
    <row r="190" ht="12.75">
      <c r="A190" s="378"/>
    </row>
    <row r="191" ht="12.75">
      <c r="A191" s="378"/>
    </row>
    <row r="192" ht="12.75">
      <c r="A192" s="378"/>
    </row>
    <row r="193" ht="12.75">
      <c r="A193" s="378"/>
    </row>
    <row r="194" ht="12.75">
      <c r="A194" s="378"/>
    </row>
    <row r="195" ht="12.75">
      <c r="A195" s="378"/>
    </row>
    <row r="196" ht="12.75">
      <c r="A196" s="378"/>
    </row>
    <row r="197" ht="12.75">
      <c r="A197" s="378"/>
    </row>
    <row r="198" ht="12.75">
      <c r="A198" s="378"/>
    </row>
    <row r="199" ht="12.75">
      <c r="A199" s="378"/>
    </row>
    <row r="200" ht="12.75">
      <c r="A200" s="378"/>
    </row>
    <row r="201" ht="12.75">
      <c r="A201" s="378"/>
    </row>
    <row r="202" ht="12.75">
      <c r="A202" s="378"/>
    </row>
    <row r="203" ht="12.75">
      <c r="A203" s="378"/>
    </row>
    <row r="204" ht="12.75">
      <c r="A204" s="378"/>
    </row>
    <row r="205" ht="12.75">
      <c r="A205" s="378"/>
    </row>
    <row r="206" ht="12.75">
      <c r="A206" s="378"/>
    </row>
    <row r="207" ht="12.75">
      <c r="A207" s="378"/>
    </row>
    <row r="208" ht="12.75">
      <c r="A208" s="378"/>
    </row>
    <row r="209" ht="12.75">
      <c r="A209" s="378"/>
    </row>
    <row r="210" ht="12.75">
      <c r="A210" s="378"/>
    </row>
    <row r="211" ht="12.75">
      <c r="A211" s="378"/>
    </row>
    <row r="212" ht="12.75">
      <c r="A212" s="378"/>
    </row>
    <row r="213" ht="12.75">
      <c r="A213" s="378"/>
    </row>
    <row r="214" ht="12.75">
      <c r="A214" s="378"/>
    </row>
    <row r="215" ht="12.75">
      <c r="A215" s="378"/>
    </row>
    <row r="216" ht="12.75">
      <c r="A216" s="378"/>
    </row>
    <row r="217" ht="12.75">
      <c r="A217" s="378"/>
    </row>
    <row r="218" ht="12.75">
      <c r="A218" s="378"/>
    </row>
    <row r="219" ht="12.75">
      <c r="A219" s="378"/>
    </row>
    <row r="220" ht="12.75">
      <c r="A220" s="378"/>
    </row>
    <row r="221" ht="12.75">
      <c r="A221" s="378"/>
    </row>
    <row r="222" ht="12.75">
      <c r="A222" s="378"/>
    </row>
    <row r="223" ht="12.75">
      <c r="A223" s="378"/>
    </row>
    <row r="224" ht="12.75">
      <c r="A224" s="378"/>
    </row>
    <row r="225" ht="12.75">
      <c r="A225" s="378"/>
    </row>
    <row r="226" ht="12.75">
      <c r="A226" s="378"/>
    </row>
    <row r="227" ht="12.75">
      <c r="A227" s="378"/>
    </row>
    <row r="228" ht="12.75">
      <c r="A228" s="378"/>
    </row>
    <row r="229" ht="12.75">
      <c r="A229" s="378"/>
    </row>
    <row r="230" ht="12.75">
      <c r="A230" s="378"/>
    </row>
    <row r="231" ht="12.75">
      <c r="A231" s="378"/>
    </row>
    <row r="232" ht="12.75">
      <c r="A232" s="378"/>
    </row>
    <row r="233" ht="12.75">
      <c r="A233" s="378"/>
    </row>
    <row r="234" ht="12.75">
      <c r="A234" s="378"/>
    </row>
    <row r="235" ht="12.75">
      <c r="A235" s="378"/>
    </row>
    <row r="236" ht="12.75">
      <c r="A236" s="378"/>
    </row>
    <row r="237" ht="12.75">
      <c r="A237" s="378"/>
    </row>
    <row r="238" ht="12.75">
      <c r="A238" s="378"/>
    </row>
    <row r="239" ht="12.75">
      <c r="A239" s="378"/>
    </row>
    <row r="240" ht="12.75">
      <c r="A240" s="378"/>
    </row>
    <row r="241" ht="12.75">
      <c r="A241" s="378"/>
    </row>
    <row r="242" ht="12.75">
      <c r="A242" s="378"/>
    </row>
    <row r="243" ht="12.75">
      <c r="A243" s="378"/>
    </row>
    <row r="244" ht="12.75">
      <c r="A244" s="378"/>
    </row>
    <row r="245" ht="12.75">
      <c r="A245" s="378"/>
    </row>
    <row r="246" ht="12.75">
      <c r="A246" s="378"/>
    </row>
    <row r="247" ht="12.75">
      <c r="A247" s="378"/>
    </row>
    <row r="248" ht="12.75">
      <c r="A248" s="378"/>
    </row>
    <row r="249" ht="12.75">
      <c r="A249" s="378"/>
    </row>
    <row r="250" ht="12.75">
      <c r="A250" s="378"/>
    </row>
    <row r="251" ht="12.75">
      <c r="A251" s="378"/>
    </row>
    <row r="252" ht="12.75">
      <c r="A252" s="378"/>
    </row>
    <row r="253" ht="12.75">
      <c r="A253" s="378"/>
    </row>
    <row r="254" ht="12.75">
      <c r="A254" s="378"/>
    </row>
    <row r="255" ht="12.75">
      <c r="A255" s="378"/>
    </row>
    <row r="256" ht="12.75">
      <c r="A256" s="378"/>
    </row>
    <row r="257" ht="12.75">
      <c r="A257" s="378"/>
    </row>
    <row r="258" ht="12.75">
      <c r="A258" s="378"/>
    </row>
    <row r="259" ht="12.75">
      <c r="A259" s="378"/>
    </row>
    <row r="260" ht="12.75">
      <c r="A260" s="378"/>
    </row>
    <row r="261" ht="12.75">
      <c r="A261" s="378"/>
    </row>
    <row r="262" ht="12.75">
      <c r="A262" s="378"/>
    </row>
    <row r="263" ht="12.75">
      <c r="A263" s="378"/>
    </row>
    <row r="264" ht="12.75">
      <c r="A264" s="378"/>
    </row>
    <row r="265" ht="12.75">
      <c r="A265" s="378"/>
    </row>
    <row r="266" ht="12.75">
      <c r="A266" s="378"/>
    </row>
    <row r="267" ht="12.75">
      <c r="A267" s="378"/>
    </row>
    <row r="268" ht="12.75">
      <c r="A268" s="378"/>
    </row>
    <row r="269" ht="12.75">
      <c r="A269" s="378"/>
    </row>
    <row r="270" ht="12.75">
      <c r="A270" s="378"/>
    </row>
    <row r="271" ht="12.75">
      <c r="A271" s="378"/>
    </row>
    <row r="272" ht="12.75">
      <c r="A272" s="378"/>
    </row>
    <row r="273" ht="12.75">
      <c r="A273" s="378"/>
    </row>
    <row r="274" ht="12.75">
      <c r="A274" s="378"/>
    </row>
    <row r="275" ht="12.75">
      <c r="A275" s="378"/>
    </row>
    <row r="276" ht="12.75">
      <c r="A276" s="378"/>
    </row>
    <row r="277" ht="12.75">
      <c r="A277" s="378"/>
    </row>
    <row r="278" ht="12.75">
      <c r="A278" s="378"/>
    </row>
    <row r="279" ht="12.75">
      <c r="A279" s="378"/>
    </row>
    <row r="280" ht="12.75">
      <c r="A280" s="378"/>
    </row>
    <row r="281" spans="1:7" ht="15">
      <c r="A281" s="378"/>
      <c r="C281" s="753"/>
      <c r="D281" s="753"/>
      <c r="E281" s="753"/>
      <c r="F281" s="753"/>
      <c r="G281" s="753"/>
    </row>
    <row r="282" spans="1:7" ht="99.75" customHeight="1">
      <c r="A282" s="378"/>
      <c r="C282" s="753"/>
      <c r="D282" s="753"/>
      <c r="E282" s="753"/>
      <c r="F282" s="753"/>
      <c r="G282" s="753"/>
    </row>
    <row r="283" spans="1:7" ht="15">
      <c r="A283" s="378"/>
      <c r="C283" s="753"/>
      <c r="D283" s="753"/>
      <c r="E283" s="753"/>
      <c r="F283" s="753"/>
      <c r="G283" s="753"/>
    </row>
    <row r="284" spans="1:7" ht="15">
      <c r="A284" s="378"/>
      <c r="C284" s="753"/>
      <c r="D284" s="753"/>
      <c r="E284" s="753"/>
      <c r="F284" s="753"/>
      <c r="G284" s="753"/>
    </row>
    <row r="285" spans="1:7" ht="15">
      <c r="A285" s="378"/>
      <c r="C285" s="753"/>
      <c r="D285" s="753"/>
      <c r="E285" s="753"/>
      <c r="F285" s="753"/>
      <c r="G285" s="753"/>
    </row>
    <row r="286" spans="1:7" ht="15">
      <c r="A286" s="378"/>
      <c r="C286" s="753"/>
      <c r="D286" s="753"/>
      <c r="E286" s="753"/>
      <c r="F286" s="753"/>
      <c r="G286" s="753"/>
    </row>
    <row r="287" spans="1:7" ht="15">
      <c r="A287" s="378"/>
      <c r="C287" s="753"/>
      <c r="D287" s="753"/>
      <c r="E287" s="753"/>
      <c r="F287" s="753"/>
      <c r="G287" s="753"/>
    </row>
    <row r="288" spans="3:7" ht="15">
      <c r="C288" s="753"/>
      <c r="D288" s="753"/>
      <c r="E288" s="753"/>
      <c r="F288" s="753"/>
      <c r="G288" s="753"/>
    </row>
    <row r="289" spans="3:7" ht="15">
      <c r="C289" s="753"/>
      <c r="D289" s="753"/>
      <c r="E289" s="753"/>
      <c r="F289" s="753"/>
      <c r="G289" s="753"/>
    </row>
    <row r="290" spans="3:7" ht="15">
      <c r="C290" s="753"/>
      <c r="D290" s="753"/>
      <c r="E290" s="753"/>
      <c r="F290" s="753"/>
      <c r="G290" s="753"/>
    </row>
    <row r="291" spans="3:7" ht="15">
      <c r="C291" s="753"/>
      <c r="D291" s="753"/>
      <c r="E291" s="753"/>
      <c r="F291" s="753"/>
      <c r="G291" s="753"/>
    </row>
    <row r="292" spans="3:7" ht="15">
      <c r="C292" s="753"/>
      <c r="D292" s="753"/>
      <c r="E292" s="753"/>
      <c r="F292" s="753"/>
      <c r="G292" s="753"/>
    </row>
    <row r="293" spans="3:7" ht="15">
      <c r="C293" s="753"/>
      <c r="D293" s="753"/>
      <c r="E293" s="753"/>
      <c r="F293" s="753"/>
      <c r="G293" s="753"/>
    </row>
    <row r="294" spans="3:7" ht="15">
      <c r="C294" s="753"/>
      <c r="D294" s="753"/>
      <c r="E294" s="753"/>
      <c r="F294" s="753"/>
      <c r="G294" s="753"/>
    </row>
    <row r="295" spans="3:7" ht="15">
      <c r="C295" s="753"/>
      <c r="D295" s="753"/>
      <c r="E295" s="753"/>
      <c r="F295" s="753"/>
      <c r="G295" s="753"/>
    </row>
    <row r="296" spans="3:7" ht="15">
      <c r="C296" s="753"/>
      <c r="D296" s="753"/>
      <c r="E296" s="753"/>
      <c r="F296" s="753"/>
      <c r="G296" s="753"/>
    </row>
    <row r="297" spans="3:7" ht="15">
      <c r="C297" s="753"/>
      <c r="D297" s="753"/>
      <c r="E297" s="753"/>
      <c r="F297" s="753"/>
      <c r="G297" s="753"/>
    </row>
    <row r="298" spans="3:7" ht="15">
      <c r="C298" s="753"/>
      <c r="D298" s="753"/>
      <c r="E298" s="753"/>
      <c r="F298" s="753"/>
      <c r="G298" s="753"/>
    </row>
    <row r="299" spans="3:7" ht="15">
      <c r="C299" s="753"/>
      <c r="D299" s="753"/>
      <c r="E299" s="753"/>
      <c r="F299" s="753"/>
      <c r="G299" s="753"/>
    </row>
    <row r="300" spans="3:7" ht="15">
      <c r="C300" s="753"/>
      <c r="D300" s="753"/>
      <c r="E300" s="753"/>
      <c r="F300" s="753"/>
      <c r="G300" s="753"/>
    </row>
    <row r="301" spans="3:7" ht="15">
      <c r="C301" s="753"/>
      <c r="D301" s="753"/>
      <c r="E301" s="753"/>
      <c r="F301" s="753"/>
      <c r="G301" s="753"/>
    </row>
    <row r="302" spans="2:7" ht="15">
      <c r="B302" s="1344"/>
      <c r="C302" s="753"/>
      <c r="D302" s="753"/>
      <c r="E302" s="753"/>
      <c r="F302" s="753"/>
      <c r="G302" s="753"/>
    </row>
    <row r="303" spans="2:7" ht="40.5" customHeight="1">
      <c r="B303" s="1344"/>
      <c r="C303" s="753"/>
      <c r="D303" s="753"/>
      <c r="E303" s="753"/>
      <c r="F303" s="753"/>
      <c r="G303" s="753"/>
    </row>
    <row r="304" spans="3:7" ht="15" thickBot="1">
      <c r="C304" s="753"/>
      <c r="D304" s="753"/>
      <c r="E304" s="753"/>
      <c r="F304" s="753"/>
      <c r="G304" s="753"/>
    </row>
  </sheetData>
  <sheetProtection/>
  <mergeCells count="1">
    <mergeCell ref="B25:J25"/>
  </mergeCells>
  <printOptions/>
  <pageMargins left="0.5" right="0.5" top="1" bottom="1" header="0.5" footer="0.5"/>
  <pageSetup fitToHeight="2" fitToWidth="1" horizontalDpi="600" verticalDpi="600" orientation="landscape" scale="49" r:id="rId1"/>
  <headerFooter alignWithMargins="0">
    <oddHeader>&amp;CDuquesne Light Company
Attachment H -17A
Attachment 1 - Accumulated Deferred Income Taxes (ADIT) Worksheet Tax Detail&amp;RPage &amp;P of &amp;N</oddHeader>
  </headerFooter>
  <rowBreaks count="1" manualBreakCount="1">
    <brk id="73" max="9" man="1"/>
  </rowBreaks>
</worksheet>
</file>

<file path=xl/worksheets/sheet3.xml><?xml version="1.0" encoding="utf-8"?>
<worksheet xmlns="http://schemas.openxmlformats.org/spreadsheetml/2006/main" xmlns:r="http://schemas.openxmlformats.org/officeDocument/2006/relationships">
  <sheetPr>
    <pageSetUpPr fitToPage="1"/>
  </sheetPr>
  <dimension ref="A1:S304"/>
  <sheetViews>
    <sheetView zoomScale="80" zoomScaleNormal="80" zoomScaleSheetLayoutView="75" workbookViewId="0" topLeftCell="A1">
      <selection activeCell="G271" sqref="G271"/>
    </sheetView>
  </sheetViews>
  <sheetFormatPr defaultColWidth="9.140625" defaultRowHeight="12.75"/>
  <cols>
    <col min="1" max="1" width="4.7109375" style="0" customWidth="1"/>
    <col min="2" max="2" width="5.8515625" style="0" customWidth="1"/>
    <col min="3" max="3" width="39.8515625" style="0" customWidth="1"/>
    <col min="4" max="4" width="10.140625" style="0" bestFit="1" customWidth="1"/>
    <col min="5" max="5" width="14.00390625" style="210" bestFit="1" customWidth="1"/>
    <col min="6" max="6" width="9.8515625" style="0" customWidth="1"/>
    <col min="7" max="7" width="12.00390625" style="0" bestFit="1" customWidth="1"/>
    <col min="14" max="14" width="13.421875" style="0" bestFit="1" customWidth="1"/>
  </cols>
  <sheetData>
    <row r="1" spans="4:8" ht="12.75">
      <c r="D1" s="399" t="s">
        <v>494</v>
      </c>
      <c r="F1" s="203"/>
      <c r="G1" s="203" t="s">
        <v>558</v>
      </c>
      <c r="H1" s="203"/>
    </row>
    <row r="2" spans="1:8" ht="12.75">
      <c r="A2" s="197" t="s">
        <v>326</v>
      </c>
      <c r="B2" s="197"/>
      <c r="D2" s="203" t="s">
        <v>555</v>
      </c>
      <c r="F2" s="203" t="s">
        <v>504</v>
      </c>
      <c r="G2" s="203" t="s">
        <v>559</v>
      </c>
      <c r="H2" s="203"/>
    </row>
    <row r="3" spans="1:8" ht="12.75">
      <c r="A3" s="197"/>
      <c r="B3" s="197"/>
      <c r="D3" s="203" t="s">
        <v>556</v>
      </c>
      <c r="E3" s="226"/>
      <c r="F3" s="203"/>
      <c r="G3" s="203"/>
      <c r="H3" s="203"/>
    </row>
    <row r="4" spans="1:8" ht="12.75">
      <c r="A4" s="197"/>
      <c r="B4" s="197"/>
      <c r="D4" s="203"/>
      <c r="E4" s="226"/>
      <c r="F4" s="203"/>
      <c r="G4" s="203"/>
      <c r="H4" s="203"/>
    </row>
    <row r="5" spans="1:8" ht="12.75">
      <c r="A5" s="197"/>
      <c r="B5" s="197"/>
      <c r="D5" s="203"/>
      <c r="E5" s="226"/>
      <c r="F5" s="203"/>
      <c r="G5" s="203"/>
      <c r="H5" s="203"/>
    </row>
    <row r="6" spans="2:8" ht="12.75">
      <c r="B6" s="197" t="s">
        <v>554</v>
      </c>
      <c r="E6" s="918" t="s">
        <v>301</v>
      </c>
      <c r="G6" s="203"/>
      <c r="H6" s="209"/>
    </row>
    <row r="7" spans="2:8" ht="12.75">
      <c r="B7" s="197"/>
      <c r="F7" s="917"/>
      <c r="G7" s="203"/>
      <c r="H7" s="209"/>
    </row>
    <row r="8" spans="1:8" ht="12.75" customHeight="1">
      <c r="A8" s="2"/>
      <c r="B8">
        <v>1</v>
      </c>
      <c r="C8" s="571" t="s">
        <v>539</v>
      </c>
      <c r="D8" t="s">
        <v>540</v>
      </c>
      <c r="E8" s="1083">
        <v>0</v>
      </c>
      <c r="F8" s="401"/>
      <c r="G8" s="402"/>
      <c r="H8" s="2"/>
    </row>
    <row r="9" spans="1:8" ht="12.75" customHeight="1">
      <c r="A9" s="2"/>
      <c r="B9">
        <v>2</v>
      </c>
      <c r="C9" s="571" t="s">
        <v>541</v>
      </c>
      <c r="D9" t="s">
        <v>542</v>
      </c>
      <c r="E9" s="1083">
        <v>649658</v>
      </c>
      <c r="F9" s="401"/>
      <c r="G9" s="402"/>
      <c r="H9" s="292"/>
    </row>
    <row r="10" spans="1:8" ht="12.75" customHeight="1">
      <c r="A10" s="2"/>
      <c r="B10">
        <v>3</v>
      </c>
      <c r="C10" s="318" t="s">
        <v>543</v>
      </c>
      <c r="D10" t="s">
        <v>544</v>
      </c>
      <c r="E10" s="1084">
        <v>888810</v>
      </c>
      <c r="F10" s="401"/>
      <c r="G10" s="402"/>
      <c r="H10" s="292"/>
    </row>
    <row r="11" spans="1:8" ht="12.75" customHeight="1">
      <c r="A11" s="2"/>
      <c r="B11">
        <f>B10+1</f>
        <v>4</v>
      </c>
      <c r="C11" s="197" t="str">
        <f>"Total Plant Related -- Sum of line "&amp;B8&amp;" through line "&amp;B10&amp;""</f>
        <v>Total Plant Related -- Sum of line 1 through line 3</v>
      </c>
      <c r="E11" s="1023">
        <f>SUM(E8:E10)</f>
        <v>1538468</v>
      </c>
      <c r="F11" s="401">
        <f>'Appendix A'!G20</f>
        <v>0.23862179246825246</v>
      </c>
      <c r="G11" s="403">
        <f>E11*F11</f>
        <v>367111.99181504746</v>
      </c>
      <c r="H11" s="292"/>
    </row>
    <row r="12" spans="1:8" ht="12.75" customHeight="1">
      <c r="A12" s="2"/>
      <c r="E12" s="1023"/>
      <c r="F12" s="292"/>
      <c r="G12" s="402"/>
      <c r="H12" s="292"/>
    </row>
    <row r="13" spans="1:8" ht="12.75" customHeight="1">
      <c r="A13" s="2"/>
      <c r="D13" s="199"/>
      <c r="E13" s="1023"/>
      <c r="F13" s="199"/>
      <c r="G13" s="402"/>
      <c r="H13" s="292"/>
    </row>
    <row r="14" spans="1:8" ht="12.75" customHeight="1">
      <c r="A14" s="2"/>
      <c r="B14" s="197"/>
      <c r="D14" s="199"/>
      <c r="E14" s="919" t="s">
        <v>35</v>
      </c>
      <c r="G14" s="402"/>
      <c r="H14" s="292"/>
    </row>
    <row r="15" spans="1:11" ht="12.75" customHeight="1">
      <c r="A15" s="2"/>
      <c r="D15" s="199"/>
      <c r="E15" s="1023"/>
      <c r="F15" s="199"/>
      <c r="G15" s="402"/>
      <c r="H15" s="292"/>
      <c r="I15" s="2"/>
      <c r="J15" s="2"/>
      <c r="K15" s="2"/>
    </row>
    <row r="16" spans="1:11" ht="12.75" customHeight="1">
      <c r="A16" s="2"/>
      <c r="B16">
        <v>5</v>
      </c>
      <c r="C16" s="318" t="s">
        <v>164</v>
      </c>
      <c r="D16" s="285" t="s">
        <v>163</v>
      </c>
      <c r="E16" s="1083">
        <v>35367</v>
      </c>
      <c r="F16" s="293"/>
      <c r="G16" s="404"/>
      <c r="H16" s="293"/>
      <c r="I16" s="2"/>
      <c r="J16" s="2"/>
      <c r="K16" s="2"/>
    </row>
    <row r="17" spans="1:11" ht="12.75">
      <c r="A17" s="2"/>
      <c r="B17">
        <v>6</v>
      </c>
      <c r="C17" s="318" t="s">
        <v>545</v>
      </c>
      <c r="D17" s="271" t="s">
        <v>242</v>
      </c>
      <c r="E17" s="1083">
        <v>6339968</v>
      </c>
      <c r="F17" s="2"/>
      <c r="G17" s="405"/>
      <c r="H17" s="2"/>
      <c r="I17" s="2"/>
      <c r="J17" s="2"/>
      <c r="K17" s="2"/>
    </row>
    <row r="18" spans="1:11" ht="12.75">
      <c r="A18" s="2"/>
      <c r="B18">
        <v>7</v>
      </c>
      <c r="C18" s="318" t="s">
        <v>161</v>
      </c>
      <c r="D18" s="271" t="s">
        <v>162</v>
      </c>
      <c r="E18" s="1083">
        <v>297805</v>
      </c>
      <c r="F18" s="2"/>
      <c r="G18" s="405"/>
      <c r="H18" s="2"/>
      <c r="I18" s="2"/>
      <c r="J18" s="2"/>
      <c r="K18" s="2"/>
    </row>
    <row r="19" spans="1:11" ht="12.75">
      <c r="A19" s="2"/>
      <c r="B19">
        <v>8</v>
      </c>
      <c r="C19" s="2" t="s">
        <v>546</v>
      </c>
      <c r="D19" t="s">
        <v>547</v>
      </c>
      <c r="E19" s="1084">
        <v>253203</v>
      </c>
      <c r="F19" s="2"/>
      <c r="G19" s="405"/>
      <c r="H19" s="2"/>
      <c r="I19" s="2"/>
      <c r="J19" s="2"/>
      <c r="K19" s="2"/>
    </row>
    <row r="20" spans="1:11" ht="12.75">
      <c r="A20" s="2"/>
      <c r="B20">
        <v>9</v>
      </c>
      <c r="C20" s="197" t="s">
        <v>224</v>
      </c>
      <c r="E20" s="1023">
        <f>SUM(E16:E19)</f>
        <v>6926343</v>
      </c>
      <c r="F20" s="401">
        <f>+'Appendix A'!G12</f>
        <v>0.1717635714936654</v>
      </c>
      <c r="G20" s="403">
        <f>+F20*E20</f>
        <v>1189693.411070149</v>
      </c>
      <c r="H20" s="2"/>
      <c r="I20" s="2"/>
      <c r="J20" s="2"/>
      <c r="K20" s="2"/>
    </row>
    <row r="21" spans="1:11" ht="12.75">
      <c r="A21" s="2"/>
      <c r="B21" s="197"/>
      <c r="C21" s="211"/>
      <c r="E21" s="1024"/>
      <c r="F21" s="2"/>
      <c r="G21" s="405"/>
      <c r="H21" s="2"/>
      <c r="I21" s="2"/>
      <c r="J21" s="2"/>
      <c r="K21" s="2"/>
    </row>
    <row r="22" spans="1:11" ht="12.75">
      <c r="A22" s="2"/>
      <c r="E22" s="1024"/>
      <c r="G22" s="405"/>
      <c r="H22" s="2"/>
      <c r="I22" s="2"/>
      <c r="J22" s="2"/>
      <c r="K22" s="2"/>
    </row>
    <row r="23" spans="1:11" ht="12.75">
      <c r="A23" s="2"/>
      <c r="B23" s="197" t="s">
        <v>674</v>
      </c>
      <c r="E23" s="1024"/>
      <c r="F23" s="213" t="s">
        <v>237</v>
      </c>
      <c r="G23" s="405"/>
      <c r="H23" s="2"/>
      <c r="I23" s="2"/>
      <c r="J23" s="2"/>
      <c r="K23" s="2"/>
    </row>
    <row r="24" spans="1:11" ht="12.75">
      <c r="A24" s="2"/>
      <c r="E24" s="1024"/>
      <c r="G24" s="405"/>
      <c r="H24" s="2"/>
      <c r="I24" s="2"/>
      <c r="J24" s="2"/>
      <c r="K24" s="2"/>
    </row>
    <row r="25" spans="1:11" ht="12.75">
      <c r="A25" s="2"/>
      <c r="B25">
        <v>10</v>
      </c>
      <c r="C25" t="s">
        <v>165</v>
      </c>
      <c r="D25" t="s">
        <v>167</v>
      </c>
      <c r="E25" s="1083">
        <v>0</v>
      </c>
      <c r="F25" s="2"/>
      <c r="G25" s="405"/>
      <c r="H25" s="293"/>
      <c r="I25" s="2"/>
      <c r="J25" s="2"/>
      <c r="K25" s="2"/>
    </row>
    <row r="26" spans="1:11" ht="12.75">
      <c r="A26" s="2"/>
      <c r="B26">
        <v>11</v>
      </c>
      <c r="C26" t="s">
        <v>166</v>
      </c>
      <c r="D26" t="s">
        <v>168</v>
      </c>
      <c r="E26" s="1083">
        <v>0</v>
      </c>
      <c r="F26" s="2"/>
      <c r="G26" s="405"/>
      <c r="H26" s="293"/>
      <c r="I26" s="2"/>
      <c r="J26" s="2"/>
      <c r="K26" s="2"/>
    </row>
    <row r="27" spans="1:11" ht="12.75">
      <c r="A27" s="2"/>
      <c r="B27">
        <v>12</v>
      </c>
      <c r="C27" t="s">
        <v>169</v>
      </c>
      <c r="D27" t="s">
        <v>243</v>
      </c>
      <c r="E27" s="1083">
        <v>50685433</v>
      </c>
      <c r="F27" s="2"/>
      <c r="G27" s="405"/>
      <c r="H27" s="293"/>
      <c r="I27" s="2"/>
      <c r="J27" s="2"/>
      <c r="K27" s="2"/>
    </row>
    <row r="28" spans="1:11" ht="12.75">
      <c r="A28" s="2"/>
      <c r="B28">
        <v>13</v>
      </c>
      <c r="C28" t="s">
        <v>170</v>
      </c>
      <c r="D28" t="s">
        <v>171</v>
      </c>
      <c r="E28" s="1083">
        <v>0</v>
      </c>
      <c r="F28" s="2"/>
      <c r="G28" s="405"/>
      <c r="H28" s="293"/>
      <c r="I28" s="2"/>
      <c r="J28" s="2"/>
      <c r="K28" s="2"/>
    </row>
    <row r="29" spans="1:11" ht="12.75">
      <c r="A29" s="2"/>
      <c r="B29">
        <v>14</v>
      </c>
      <c r="C29" t="s">
        <v>172</v>
      </c>
      <c r="D29" t="s">
        <v>173</v>
      </c>
      <c r="E29" s="1083">
        <v>0</v>
      </c>
      <c r="F29" s="2"/>
      <c r="G29" s="405"/>
      <c r="H29" s="293"/>
      <c r="I29" s="2"/>
      <c r="J29" s="2"/>
      <c r="K29" s="2"/>
    </row>
    <row r="30" spans="1:8" ht="12.75">
      <c r="A30" s="2"/>
      <c r="B30">
        <v>15</v>
      </c>
      <c r="C30" t="s">
        <v>476</v>
      </c>
      <c r="D30" t="s">
        <v>174</v>
      </c>
      <c r="E30" s="1083">
        <v>0</v>
      </c>
      <c r="F30" s="2"/>
      <c r="G30" s="405"/>
      <c r="H30" s="293"/>
    </row>
    <row r="31" spans="1:8" ht="12.75">
      <c r="A31" s="2"/>
      <c r="B31">
        <v>16</v>
      </c>
      <c r="C31" t="s">
        <v>175</v>
      </c>
      <c r="D31" t="s">
        <v>177</v>
      </c>
      <c r="E31" s="1083">
        <v>0</v>
      </c>
      <c r="F31" s="2"/>
      <c r="G31" s="405"/>
      <c r="H31" s="293"/>
    </row>
    <row r="32" spans="1:8" ht="12.75">
      <c r="A32" s="2"/>
      <c r="B32">
        <v>17</v>
      </c>
      <c r="C32" t="s">
        <v>176</v>
      </c>
      <c r="D32" t="s">
        <v>178</v>
      </c>
      <c r="E32" s="1083">
        <v>-67559</v>
      </c>
      <c r="F32" s="2"/>
      <c r="G32" s="405"/>
      <c r="H32" s="293"/>
    </row>
    <row r="33" spans="1:8" ht="12.75">
      <c r="A33" s="2"/>
      <c r="B33">
        <v>18</v>
      </c>
      <c r="C33" t="s">
        <v>179</v>
      </c>
      <c r="D33" t="s">
        <v>181</v>
      </c>
      <c r="E33" s="1083">
        <v>0</v>
      </c>
      <c r="F33" s="2"/>
      <c r="G33" s="405"/>
      <c r="H33" s="293"/>
    </row>
    <row r="34" spans="1:8" ht="12.75">
      <c r="A34" s="2"/>
      <c r="B34">
        <v>19</v>
      </c>
      <c r="C34" t="s">
        <v>180</v>
      </c>
      <c r="D34" t="s">
        <v>182</v>
      </c>
      <c r="E34" s="1083">
        <v>0</v>
      </c>
      <c r="F34" s="2"/>
      <c r="G34" s="405"/>
      <c r="H34" s="293"/>
    </row>
    <row r="35" spans="1:8" ht="12.75">
      <c r="A35" s="2"/>
      <c r="B35">
        <v>20</v>
      </c>
      <c r="C35" t="s">
        <v>574</v>
      </c>
      <c r="D35" t="s">
        <v>183</v>
      </c>
      <c r="E35" s="1084">
        <v>0</v>
      </c>
      <c r="F35" s="2"/>
      <c r="G35" s="405"/>
      <c r="H35" s="293"/>
    </row>
    <row r="36" spans="1:7" ht="12.75">
      <c r="A36" s="2"/>
      <c r="E36" s="1025"/>
      <c r="G36" s="405"/>
    </row>
    <row r="37" spans="1:7" ht="12.75">
      <c r="A37" s="2"/>
      <c r="B37">
        <f>B35+1</f>
        <v>21</v>
      </c>
      <c r="C37" s="197" t="s">
        <v>229</v>
      </c>
      <c r="E37" s="1023">
        <f>SUM(E25:E35)</f>
        <v>50617874</v>
      </c>
      <c r="F37" s="572">
        <v>0</v>
      </c>
      <c r="G37" s="787"/>
    </row>
    <row r="38" spans="1:7" ht="12.75">
      <c r="A38" s="2"/>
      <c r="E38" s="1024"/>
      <c r="G38" s="405"/>
    </row>
    <row r="39" spans="1:14" ht="12.75">
      <c r="A39" s="2"/>
      <c r="B39">
        <f>B37+1</f>
        <v>22</v>
      </c>
      <c r="C39" s="197" t="str">
        <f>"Total    (line "&amp;B11&amp;" + line "&amp;B20&amp;" + line "&amp;B37&amp;""</f>
        <v>Total    (line 4 + line 9 + line 21</v>
      </c>
      <c r="E39" s="1023">
        <f>+E37+E20+E11</f>
        <v>59082685</v>
      </c>
      <c r="G39" s="403">
        <f>+G37+G20+G11</f>
        <v>1556805.4028851963</v>
      </c>
      <c r="N39" s="633"/>
    </row>
    <row r="40" spans="1:8" ht="12.75">
      <c r="A40" s="2"/>
      <c r="B40" s="2"/>
      <c r="C40" s="228"/>
      <c r="D40" s="2"/>
      <c r="E40" s="1025"/>
      <c r="F40" s="302"/>
      <c r="G40" s="2"/>
      <c r="H40" s="2"/>
    </row>
    <row r="41" spans="1:8" ht="12.75">
      <c r="A41" s="2"/>
      <c r="B41" s="2">
        <f>B39+1</f>
        <v>23</v>
      </c>
      <c r="C41" s="267" t="str">
        <f>"Total 'Other' Taxes included on p.114.14c"</f>
        <v>Total 'Other' Taxes included on p.114.14c</v>
      </c>
      <c r="D41" s="271"/>
      <c r="E41" s="1084">
        <v>59082685</v>
      </c>
      <c r="F41" s="1357"/>
      <c r="G41" s="286"/>
      <c r="H41" s="2"/>
    </row>
    <row r="42" spans="1:8" ht="12.75">
      <c r="A42" s="2"/>
      <c r="B42" s="2"/>
      <c r="C42" s="267"/>
      <c r="D42" s="271"/>
      <c r="E42" s="303"/>
      <c r="F42" s="303"/>
      <c r="G42" s="286"/>
      <c r="H42" s="2"/>
    </row>
    <row r="43" spans="1:8" ht="12.75">
      <c r="A43" s="2"/>
      <c r="B43" s="2"/>
      <c r="C43" s="267" t="s">
        <v>351</v>
      </c>
      <c r="D43" s="271"/>
      <c r="E43" s="303">
        <f>E41-E39</f>
        <v>0</v>
      </c>
      <c r="F43" s="303"/>
      <c r="G43" s="286"/>
      <c r="H43" s="2"/>
    </row>
    <row r="44" spans="1:19" ht="12.75">
      <c r="A44" s="2"/>
      <c r="B44" s="2"/>
      <c r="C44" s="271"/>
      <c r="D44" s="318"/>
      <c r="E44" s="303"/>
      <c r="F44" s="304"/>
      <c r="G44" s="287"/>
      <c r="H44" s="288"/>
      <c r="I44" s="288"/>
      <c r="J44" s="273"/>
      <c r="K44" s="2"/>
      <c r="L44" s="2"/>
      <c r="M44" s="2"/>
      <c r="N44" s="2"/>
      <c r="O44" s="2"/>
      <c r="P44" s="2"/>
      <c r="Q44" s="2"/>
      <c r="R44" s="2"/>
      <c r="S44" s="2"/>
    </row>
    <row r="45" spans="1:19" ht="12.75">
      <c r="A45" s="2"/>
      <c r="B45" s="2" t="s">
        <v>34</v>
      </c>
      <c r="C45" s="200"/>
      <c r="D45" s="2"/>
      <c r="E45" s="272"/>
      <c r="F45" s="273"/>
      <c r="G45" s="273"/>
      <c r="H45" s="273"/>
      <c r="I45" s="273"/>
      <c r="J45" s="273"/>
      <c r="K45" s="2"/>
      <c r="L45" s="2"/>
      <c r="M45" s="2"/>
      <c r="N45" s="2"/>
      <c r="O45" s="2"/>
      <c r="P45" s="2"/>
      <c r="Q45" s="2"/>
      <c r="R45" s="2"/>
      <c r="S45" s="2"/>
    </row>
    <row r="46" spans="1:19" ht="27" customHeight="1">
      <c r="A46" s="2"/>
      <c r="B46" s="335" t="s">
        <v>318</v>
      </c>
      <c r="C46" s="1382" t="s">
        <v>83</v>
      </c>
      <c r="D46" s="1382"/>
      <c r="E46" s="1382"/>
      <c r="F46" s="1382"/>
      <c r="G46" s="1382"/>
      <c r="H46" s="273"/>
      <c r="I46" s="273"/>
      <c r="J46" s="273"/>
      <c r="K46" s="2"/>
      <c r="L46" s="2"/>
      <c r="M46" s="2"/>
      <c r="N46" s="2"/>
      <c r="O46" s="2"/>
      <c r="P46" s="2"/>
      <c r="Q46" s="2"/>
      <c r="R46" s="2"/>
      <c r="S46" s="2"/>
    </row>
    <row r="47" spans="2:19" ht="27.75" customHeight="1">
      <c r="B47" s="335" t="s">
        <v>450</v>
      </c>
      <c r="C47" s="1387" t="s">
        <v>194</v>
      </c>
      <c r="D47" s="1387"/>
      <c r="E47" s="1387"/>
      <c r="F47" s="1387"/>
      <c r="G47" s="1387"/>
      <c r="H47" s="273"/>
      <c r="I47" s="273"/>
      <c r="J47" s="273"/>
      <c r="K47" s="2"/>
      <c r="L47" s="2"/>
      <c r="M47" s="2"/>
      <c r="N47" s="2"/>
      <c r="O47" s="2"/>
      <c r="P47" s="2"/>
      <c r="Q47" s="2"/>
      <c r="R47" s="2"/>
      <c r="S47" s="2"/>
    </row>
    <row r="48" spans="2:19" ht="42" customHeight="1">
      <c r="B48" s="335" t="s">
        <v>299</v>
      </c>
      <c r="C48" s="1385" t="s">
        <v>244</v>
      </c>
      <c r="D48" s="1385"/>
      <c r="E48" s="1385"/>
      <c r="F48" s="1385"/>
      <c r="G48" s="1385"/>
      <c r="H48" s="273"/>
      <c r="I48" s="273"/>
      <c r="J48" s="273"/>
      <c r="K48" s="2"/>
      <c r="L48" s="2"/>
      <c r="M48" s="2"/>
      <c r="N48" s="2"/>
      <c r="O48" s="2"/>
      <c r="P48" s="2"/>
      <c r="Q48" s="2"/>
      <c r="R48" s="2"/>
      <c r="S48" s="2"/>
    </row>
    <row r="49" spans="2:19" ht="44.25" customHeight="1">
      <c r="B49" s="335" t="s">
        <v>319</v>
      </c>
      <c r="C49" s="1385" t="s">
        <v>245</v>
      </c>
      <c r="D49" s="1385"/>
      <c r="E49" s="1385"/>
      <c r="F49" s="1385"/>
      <c r="G49" s="1385"/>
      <c r="H49" s="273"/>
      <c r="I49" s="273"/>
      <c r="J49" s="273"/>
      <c r="K49" s="2"/>
      <c r="L49" s="2"/>
      <c r="M49" s="2"/>
      <c r="N49" s="2"/>
      <c r="O49" s="2"/>
      <c r="P49" s="2"/>
      <c r="Q49" s="2"/>
      <c r="R49" s="2"/>
      <c r="S49" s="2"/>
    </row>
    <row r="50" spans="2:19" ht="17.25" customHeight="1">
      <c r="B50" s="335" t="s">
        <v>317</v>
      </c>
      <c r="C50" s="657" t="s">
        <v>378</v>
      </c>
      <c r="D50" s="2"/>
      <c r="E50" s="272"/>
      <c r="F50" s="2"/>
      <c r="G50" s="273"/>
      <c r="H50" s="273"/>
      <c r="I50" s="273"/>
      <c r="J50" s="273"/>
      <c r="K50" s="2"/>
      <c r="L50" s="2"/>
      <c r="M50" s="2"/>
      <c r="N50" s="2"/>
      <c r="O50" s="2"/>
      <c r="P50" s="2"/>
      <c r="Q50" s="2"/>
      <c r="R50" s="2"/>
      <c r="S50" s="2"/>
    </row>
    <row r="51" spans="2:10" s="2" customFormat="1" ht="29.25" customHeight="1">
      <c r="B51" s="335" t="s">
        <v>606</v>
      </c>
      <c r="C51" s="1386" t="s">
        <v>379</v>
      </c>
      <c r="D51" s="1386"/>
      <c r="E51" s="1386"/>
      <c r="F51" s="1386"/>
      <c r="G51" s="1386"/>
      <c r="H51" s="273"/>
      <c r="I51" s="273"/>
      <c r="J51" s="273"/>
    </row>
    <row r="52" spans="2:6" s="2" customFormat="1" ht="12.75">
      <c r="B52" s="2" t="s">
        <v>320</v>
      </c>
      <c r="C52" s="1383" t="s">
        <v>249</v>
      </c>
      <c r="D52" s="1384"/>
      <c r="E52" s="1384"/>
      <c r="F52" s="1384"/>
    </row>
    <row r="53" ht="12.75">
      <c r="C53" s="200"/>
    </row>
    <row r="54" ht="12.75">
      <c r="C54" s="200"/>
    </row>
    <row r="55" ht="12.75">
      <c r="C55" s="274"/>
    </row>
    <row r="56" ht="12.75">
      <c r="G56" s="210"/>
    </row>
    <row r="57" ht="12.75">
      <c r="G57" s="284"/>
    </row>
    <row r="58" ht="12.75">
      <c r="G58" s="284"/>
    </row>
    <row r="59" ht="12.75">
      <c r="G59" s="284"/>
    </row>
    <row r="60" ht="12.75">
      <c r="G60" s="210"/>
    </row>
    <row r="281" spans="3:7" ht="15">
      <c r="C281" s="640"/>
      <c r="D281" s="640"/>
      <c r="E281" s="767"/>
      <c r="F281" s="640"/>
      <c r="G281" s="640"/>
    </row>
    <row r="282" spans="3:7" ht="99.75" customHeight="1">
      <c r="C282" s="640"/>
      <c r="D282" s="640"/>
      <c r="E282" s="767"/>
      <c r="F282" s="640"/>
      <c r="G282" s="640"/>
    </row>
    <row r="283" spans="3:7" ht="15">
      <c r="C283" s="640"/>
      <c r="D283" s="640"/>
      <c r="E283" s="767"/>
      <c r="F283" s="640"/>
      <c r="G283" s="640"/>
    </row>
    <row r="284" spans="3:7" ht="15">
      <c r="C284" s="640"/>
      <c r="D284" s="640"/>
      <c r="E284" s="767"/>
      <c r="F284" s="640"/>
      <c r="G284" s="640"/>
    </row>
    <row r="285" spans="3:7" ht="15">
      <c r="C285" s="640"/>
      <c r="D285" s="640"/>
      <c r="E285" s="767"/>
      <c r="F285" s="640"/>
      <c r="G285" s="640"/>
    </row>
    <row r="286" spans="3:7" ht="15">
      <c r="C286" s="640"/>
      <c r="D286" s="640"/>
      <c r="E286" s="767"/>
      <c r="F286" s="640"/>
      <c r="G286" s="640"/>
    </row>
    <row r="287" spans="3:7" ht="15">
      <c r="C287" s="640"/>
      <c r="D287" s="640"/>
      <c r="E287" s="767"/>
      <c r="F287" s="640"/>
      <c r="G287" s="640"/>
    </row>
    <row r="288" spans="3:7" ht="15">
      <c r="C288" s="640"/>
      <c r="D288" s="640"/>
      <c r="E288" s="767"/>
      <c r="F288" s="640"/>
      <c r="G288" s="640"/>
    </row>
    <row r="289" spans="3:7" ht="15">
      <c r="C289" s="640"/>
      <c r="D289" s="640"/>
      <c r="E289" s="767"/>
      <c r="F289" s="640"/>
      <c r="G289" s="640"/>
    </row>
    <row r="290" spans="3:7" ht="15">
      <c r="C290" s="640"/>
      <c r="D290" s="640"/>
      <c r="E290" s="767"/>
      <c r="F290" s="640"/>
      <c r="G290" s="640"/>
    </row>
    <row r="291" spans="3:7" ht="15">
      <c r="C291" s="640"/>
      <c r="D291" s="640"/>
      <c r="E291" s="767"/>
      <c r="F291" s="640"/>
      <c r="G291" s="640"/>
    </row>
    <row r="292" spans="3:7" ht="15">
      <c r="C292" s="640"/>
      <c r="D292" s="640"/>
      <c r="E292" s="767"/>
      <c r="F292" s="640"/>
      <c r="G292" s="640"/>
    </row>
    <row r="293" spans="3:7" ht="15">
      <c r="C293" s="640"/>
      <c r="D293" s="640"/>
      <c r="E293" s="767"/>
      <c r="F293" s="640"/>
      <c r="G293" s="640"/>
    </row>
    <row r="294" spans="3:7" ht="15">
      <c r="C294" s="640"/>
      <c r="D294" s="640"/>
      <c r="E294" s="767"/>
      <c r="F294" s="640"/>
      <c r="G294" s="640"/>
    </row>
    <row r="295" spans="3:7" ht="15">
      <c r="C295" s="640"/>
      <c r="D295" s="640"/>
      <c r="E295" s="767"/>
      <c r="F295" s="640"/>
      <c r="G295" s="640"/>
    </row>
    <row r="296" spans="3:7" ht="15">
      <c r="C296" s="640"/>
      <c r="D296" s="640"/>
      <c r="E296" s="767"/>
      <c r="F296" s="640"/>
      <c r="G296" s="640"/>
    </row>
    <row r="297" spans="3:7" ht="15">
      <c r="C297" s="640"/>
      <c r="D297" s="640"/>
      <c r="E297" s="767"/>
      <c r="F297" s="640"/>
      <c r="G297" s="640"/>
    </row>
    <row r="298" spans="3:7" ht="15">
      <c r="C298" s="640"/>
      <c r="D298" s="640"/>
      <c r="E298" s="767"/>
      <c r="F298" s="640"/>
      <c r="G298" s="640"/>
    </row>
    <row r="299" spans="3:7" ht="15">
      <c r="C299" s="640"/>
      <c r="D299" s="640"/>
      <c r="E299" s="767"/>
      <c r="F299" s="640"/>
      <c r="G299" s="640"/>
    </row>
    <row r="300" spans="3:7" ht="15">
      <c r="C300" s="640"/>
      <c r="D300" s="640"/>
      <c r="E300" s="767"/>
      <c r="F300" s="640"/>
      <c r="G300" s="640"/>
    </row>
    <row r="301" spans="3:7" ht="15">
      <c r="C301" s="640"/>
      <c r="D301" s="640"/>
      <c r="E301" s="767"/>
      <c r="F301" s="640"/>
      <c r="G301" s="640"/>
    </row>
    <row r="302" spans="3:7" ht="15">
      <c r="C302" s="640"/>
      <c r="D302" s="640"/>
      <c r="E302" s="767"/>
      <c r="F302" s="640"/>
      <c r="G302" s="640"/>
    </row>
    <row r="303" spans="2:7" ht="40.5" customHeight="1">
      <c r="B303" s="1340"/>
      <c r="C303" s="640"/>
      <c r="D303" s="640"/>
      <c r="E303" s="767"/>
      <c r="F303" s="640"/>
      <c r="G303" s="640"/>
    </row>
    <row r="304" spans="2:7" ht="15">
      <c r="B304" s="1340"/>
      <c r="C304" s="640"/>
      <c r="D304" s="640"/>
      <c r="E304" s="767"/>
      <c r="F304" s="640"/>
      <c r="G304" s="640"/>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79" r:id="rId1"/>
  <headerFooter alignWithMargins="0">
    <oddHeader>&amp;CDuquesne Light Company
Attachment H -17A
Attachment 2 - Taxes Other Than Income Worksheet&amp;RPage &amp;P of &amp;N</oddHeader>
  </headerFooter>
</worksheet>
</file>

<file path=xl/worksheets/sheet4.xml><?xml version="1.0" encoding="utf-8"?>
<worksheet xmlns="http://schemas.openxmlformats.org/spreadsheetml/2006/main" xmlns:r="http://schemas.openxmlformats.org/officeDocument/2006/relationships">
  <dimension ref="A1:Q304"/>
  <sheetViews>
    <sheetView zoomScale="80" zoomScaleNormal="80" workbookViewId="0" topLeftCell="A1">
      <selection activeCell="G271" sqref="G271"/>
    </sheetView>
  </sheetViews>
  <sheetFormatPr defaultColWidth="9.140625" defaultRowHeight="12.75"/>
  <cols>
    <col min="1" max="1" width="6.140625" style="0" customWidth="1"/>
    <col min="2" max="2" width="74.28125" style="0" customWidth="1"/>
    <col min="3" max="3" width="23.28125" style="0" bestFit="1" customWidth="1"/>
    <col min="4" max="4" width="14.28125" style="279" bestFit="1" customWidth="1"/>
    <col min="5" max="5" width="14.421875" style="0" customWidth="1"/>
    <col min="6" max="6" width="24.421875" style="0" customWidth="1"/>
    <col min="7" max="7" width="11.8515625" style="0" customWidth="1"/>
    <col min="8" max="8" width="10.8515625" style="0" bestFit="1" customWidth="1"/>
    <col min="9" max="9" width="19.57421875" style="0" customWidth="1"/>
    <col min="10" max="10" width="27.28125" style="0" customWidth="1"/>
    <col min="11" max="11" width="3.00390625" style="0" bestFit="1" customWidth="1"/>
    <col min="12" max="12" width="37.28125" style="0" customWidth="1"/>
    <col min="13" max="13" width="2.57421875" style="0" customWidth="1"/>
    <col min="14" max="14" width="15.00390625" style="0" bestFit="1" customWidth="1"/>
    <col min="15" max="15" width="2.57421875" style="0" customWidth="1"/>
    <col min="16" max="16" width="12.28125" style="0" bestFit="1" customWidth="1"/>
    <col min="17" max="17" width="13.421875" style="0" bestFit="1" customWidth="1"/>
  </cols>
  <sheetData>
    <row r="1" spans="1:5" ht="15">
      <c r="A1" s="640"/>
      <c r="B1" s="641" t="s">
        <v>735</v>
      </c>
      <c r="C1" s="640"/>
      <c r="D1" s="642"/>
      <c r="E1" s="640"/>
    </row>
    <row r="2" spans="1:6" ht="15">
      <c r="A2" s="646">
        <v>1</v>
      </c>
      <c r="B2" s="643" t="s">
        <v>358</v>
      </c>
      <c r="C2" s="640"/>
      <c r="D2" s="644">
        <f>D50</f>
        <v>11416219</v>
      </c>
      <c r="E2" s="640"/>
      <c r="F2" s="897" t="s">
        <v>810</v>
      </c>
    </row>
    <row r="3" spans="1:7" ht="15">
      <c r="A3" s="646">
        <f>A2+1</f>
        <v>2</v>
      </c>
      <c r="B3" s="645" t="s">
        <v>359</v>
      </c>
      <c r="C3" s="180"/>
      <c r="D3" s="644">
        <f>C50</f>
        <v>0</v>
      </c>
      <c r="E3" s="646"/>
      <c r="G3" s="199"/>
    </row>
    <row r="4" spans="1:7" s="275" customFormat="1" ht="15">
      <c r="A4" s="646">
        <f>A3+1</f>
        <v>3</v>
      </c>
      <c r="B4" s="772"/>
      <c r="C4" s="646"/>
      <c r="D4" s="647"/>
      <c r="E4" s="648"/>
      <c r="G4" s="276"/>
    </row>
    <row r="5" spans="1:7" ht="15">
      <c r="A5" s="646"/>
      <c r="B5" s="643"/>
      <c r="C5" s="643"/>
      <c r="D5" s="647"/>
      <c r="E5" s="646"/>
      <c r="G5" s="201"/>
    </row>
    <row r="6" spans="1:7" ht="15">
      <c r="A6" s="646"/>
      <c r="B6" s="641"/>
      <c r="C6" s="643"/>
      <c r="D6" s="642"/>
      <c r="E6" s="646"/>
      <c r="G6" s="202"/>
    </row>
    <row r="7" spans="1:7" ht="15">
      <c r="A7" s="646">
        <f>+A4+1</f>
        <v>4</v>
      </c>
      <c r="B7" s="643" t="s">
        <v>152</v>
      </c>
      <c r="C7" s="643" t="str">
        <f>"See "&amp;A36&amp;""</f>
        <v>See Note 5</v>
      </c>
      <c r="D7" s="644">
        <f>D53</f>
        <v>80316885</v>
      </c>
      <c r="E7" s="646"/>
      <c r="F7" s="897" t="s">
        <v>811</v>
      </c>
      <c r="G7" s="202"/>
    </row>
    <row r="8" spans="1:7" ht="15">
      <c r="A8" s="683">
        <f>+A7+1</f>
        <v>5</v>
      </c>
      <c r="B8" s="643" t="s">
        <v>153</v>
      </c>
      <c r="C8" s="643" t="str">
        <f>"See "&amp;A37&amp;""</f>
        <v>See Note 6</v>
      </c>
      <c r="D8" s="644">
        <f>D54</f>
        <v>-4923859</v>
      </c>
      <c r="E8" s="646"/>
      <c r="F8" s="897" t="s">
        <v>812</v>
      </c>
      <c r="G8" s="202"/>
    </row>
    <row r="9" spans="1:16" ht="15">
      <c r="A9" s="683">
        <f aca="true" t="shared" si="0" ref="A9:A21">+A8+1</f>
        <v>6</v>
      </c>
      <c r="B9" s="643" t="s">
        <v>195</v>
      </c>
      <c r="C9" s="643" t="str">
        <f>"See "&amp;A38&amp;""</f>
        <v>See Note 7</v>
      </c>
      <c r="D9" s="644">
        <f>D55</f>
        <v>0</v>
      </c>
      <c r="E9" s="646"/>
      <c r="F9" s="2"/>
      <c r="G9" s="294"/>
      <c r="H9" s="2"/>
      <c r="I9" s="2"/>
      <c r="J9" s="2"/>
      <c r="K9" s="2"/>
      <c r="L9" s="2"/>
      <c r="M9" s="2"/>
      <c r="N9" s="2"/>
      <c r="O9" s="2"/>
      <c r="P9" s="2"/>
    </row>
    <row r="10" spans="1:16" ht="15">
      <c r="A10" s="683">
        <f t="shared" si="0"/>
        <v>7</v>
      </c>
      <c r="B10" s="645" t="s">
        <v>325</v>
      </c>
      <c r="C10" s="649"/>
      <c r="D10" s="1227">
        <v>716868.37</v>
      </c>
      <c r="E10" s="1100"/>
      <c r="F10" s="200"/>
      <c r="G10" s="200"/>
      <c r="H10" s="1110"/>
      <c r="I10" s="2"/>
      <c r="J10" s="2"/>
      <c r="K10" s="2"/>
      <c r="L10" s="2"/>
      <c r="M10" s="2"/>
      <c r="N10" s="2"/>
      <c r="O10" s="2"/>
      <c r="P10" s="2"/>
    </row>
    <row r="11" spans="1:16" ht="46.5">
      <c r="A11" s="683">
        <f t="shared" si="0"/>
        <v>8</v>
      </c>
      <c r="B11" s="649" t="s">
        <v>685</v>
      </c>
      <c r="C11" s="649"/>
      <c r="D11" s="644">
        <f>C58+C59+C60</f>
        <v>1885261</v>
      </c>
      <c r="E11" s="646"/>
      <c r="F11" s="897" t="s">
        <v>803</v>
      </c>
      <c r="G11" s="562"/>
      <c r="H11" s="200"/>
      <c r="I11" s="2"/>
      <c r="J11" s="2"/>
      <c r="K11" s="2"/>
      <c r="L11" s="2"/>
      <c r="M11" s="2"/>
      <c r="N11" s="2"/>
      <c r="O11" s="2"/>
      <c r="P11" s="2"/>
    </row>
    <row r="12" spans="1:16" ht="15">
      <c r="A12" s="683">
        <f t="shared" si="0"/>
        <v>9</v>
      </c>
      <c r="B12" s="643" t="s">
        <v>196</v>
      </c>
      <c r="C12" s="649"/>
      <c r="D12" s="644">
        <f>C56</f>
        <v>0</v>
      </c>
      <c r="E12" s="646"/>
      <c r="F12" s="897" t="s">
        <v>802</v>
      </c>
      <c r="G12" s="292"/>
      <c r="H12" s="2"/>
      <c r="I12" s="2"/>
      <c r="J12" s="2"/>
      <c r="K12" s="2"/>
      <c r="L12" s="2"/>
      <c r="M12" s="2"/>
      <c r="N12" s="2"/>
      <c r="O12" s="2"/>
      <c r="P12" s="2"/>
    </row>
    <row r="13" spans="1:7" ht="15">
      <c r="A13" s="683">
        <f t="shared" si="0"/>
        <v>10</v>
      </c>
      <c r="B13" s="643" t="s">
        <v>686</v>
      </c>
      <c r="C13" s="650"/>
      <c r="D13" s="644">
        <v>0</v>
      </c>
      <c r="E13" s="646"/>
      <c r="F13" s="2"/>
      <c r="G13" s="293"/>
    </row>
    <row r="14" spans="1:7" ht="15">
      <c r="A14" s="683">
        <f t="shared" si="0"/>
        <v>11</v>
      </c>
      <c r="B14" s="643" t="s">
        <v>687</v>
      </c>
      <c r="C14" s="649"/>
      <c r="D14" s="644">
        <v>0</v>
      </c>
      <c r="E14" s="646"/>
      <c r="F14" s="2"/>
      <c r="G14" s="292"/>
    </row>
    <row r="15" spans="1:7" ht="15">
      <c r="A15" s="683">
        <f t="shared" si="0"/>
        <v>12</v>
      </c>
      <c r="B15" s="643" t="s">
        <v>688</v>
      </c>
      <c r="C15" s="180"/>
      <c r="D15" s="644">
        <v>0</v>
      </c>
      <c r="E15" s="646"/>
      <c r="F15" s="2"/>
      <c r="G15" s="294"/>
    </row>
    <row r="16" spans="1:6" ht="15">
      <c r="A16" s="683">
        <f t="shared" si="0"/>
        <v>13</v>
      </c>
      <c r="B16" s="643" t="s">
        <v>689</v>
      </c>
      <c r="C16" s="646"/>
      <c r="D16" s="644">
        <f>C57</f>
        <v>288000</v>
      </c>
      <c r="E16" s="646"/>
      <c r="F16" s="972" t="s">
        <v>804</v>
      </c>
    </row>
    <row r="17" spans="1:5" ht="15">
      <c r="A17" s="683">
        <f t="shared" si="0"/>
        <v>14</v>
      </c>
      <c r="B17" s="643" t="s">
        <v>690</v>
      </c>
      <c r="C17" s="646"/>
      <c r="D17" s="644">
        <v>0</v>
      </c>
      <c r="E17" s="646"/>
    </row>
    <row r="18" spans="1:5" ht="15">
      <c r="A18" s="683"/>
      <c r="B18" s="643"/>
      <c r="C18" s="640"/>
      <c r="D18" s="651"/>
      <c r="E18" s="646"/>
    </row>
    <row r="19" spans="1:6" ht="15">
      <c r="A19" s="683">
        <f>A17+1</f>
        <v>15</v>
      </c>
      <c r="B19" s="643" t="s">
        <v>26</v>
      </c>
      <c r="C19" s="640" t="str">
        <f>"Sum Lines "&amp;A10&amp;" to "&amp;A17&amp;" + line "&amp;A4&amp;""</f>
        <v>Sum Lines 7 to 14 + line 3</v>
      </c>
      <c r="D19" s="321">
        <f>SUM(D10:D18)+D3</f>
        <v>2890129.37</v>
      </c>
      <c r="E19" s="646"/>
      <c r="F19" s="972" t="s">
        <v>805</v>
      </c>
    </row>
    <row r="20" spans="1:5" ht="15">
      <c r="A20" s="683">
        <f t="shared" si="0"/>
        <v>16</v>
      </c>
      <c r="B20" s="837" t="s">
        <v>277</v>
      </c>
      <c r="C20" s="838" t="str">
        <f>" - line "&amp;A29&amp;""</f>
        <v> - line 23</v>
      </c>
      <c r="D20" s="839">
        <f>-D29</f>
        <v>0</v>
      </c>
      <c r="E20" s="646"/>
    </row>
    <row r="21" spans="1:6" ht="15">
      <c r="A21" s="683">
        <f t="shared" si="0"/>
        <v>17</v>
      </c>
      <c r="B21" s="180" t="s">
        <v>12</v>
      </c>
      <c r="C21" s="646" t="str">
        <f>"line "&amp;A19&amp;" + line "&amp;A20&amp;""</f>
        <v>line 15 + line 16</v>
      </c>
      <c r="D21" s="321">
        <f>+D19+D20</f>
        <v>2890129.37</v>
      </c>
      <c r="E21" s="646"/>
      <c r="F21" s="973" t="s">
        <v>806</v>
      </c>
    </row>
    <row r="22" spans="1:5" ht="15">
      <c r="A22" s="646"/>
      <c r="B22" s="640"/>
      <c r="C22" s="646"/>
      <c r="D22" s="321"/>
      <c r="E22" s="646"/>
    </row>
    <row r="23" spans="1:5" ht="15">
      <c r="A23" s="646"/>
      <c r="B23" s="652"/>
      <c r="C23" s="640"/>
      <c r="D23" s="651"/>
      <c r="E23" s="646"/>
    </row>
    <row r="24" spans="1:7" ht="30.75">
      <c r="A24" s="683">
        <f>A21+1</f>
        <v>18</v>
      </c>
      <c r="B24" s="319" t="s">
        <v>278</v>
      </c>
      <c r="C24" s="319"/>
      <c r="D24" s="320">
        <f>+D3+D15+D17</f>
        <v>0</v>
      </c>
      <c r="E24" s="646"/>
      <c r="F24" s="322"/>
      <c r="G24" s="322"/>
    </row>
    <row r="25" spans="1:7" ht="15">
      <c r="A25" s="683">
        <f>A24+1</f>
        <v>19</v>
      </c>
      <c r="B25" s="319" t="s">
        <v>670</v>
      </c>
      <c r="C25" s="319"/>
      <c r="D25" s="880">
        <f>+'Appendix A'!G207*'3 - Revenue Credits'!D24</f>
        <v>0</v>
      </c>
      <c r="E25" s="646"/>
      <c r="F25" s="322"/>
      <c r="G25" s="322"/>
    </row>
    <row r="26" spans="1:17" ht="15">
      <c r="A26" s="683">
        <f>A25+1</f>
        <v>20</v>
      </c>
      <c r="B26" s="319" t="s">
        <v>672</v>
      </c>
      <c r="C26" s="319"/>
      <c r="D26" s="320">
        <f>(D24-D25)/2</f>
        <v>0</v>
      </c>
      <c r="E26" s="646"/>
      <c r="F26" s="322"/>
      <c r="G26" s="322"/>
      <c r="K26" s="267"/>
      <c r="L26" s="1388"/>
      <c r="M26" s="1388"/>
      <c r="N26" s="1388"/>
      <c r="O26" s="1388"/>
      <c r="P26" s="1388"/>
      <c r="Q26" s="1388"/>
    </row>
    <row r="27" spans="1:17" ht="46.5">
      <c r="A27" s="683">
        <f>+A26+1</f>
        <v>21</v>
      </c>
      <c r="B27" s="319" t="s">
        <v>669</v>
      </c>
      <c r="C27" s="789"/>
      <c r="D27" s="321">
        <v>0</v>
      </c>
      <c r="E27" s="646"/>
      <c r="F27" s="322"/>
      <c r="G27" s="322"/>
      <c r="K27" s="267"/>
      <c r="L27" s="267"/>
      <c r="M27" s="267"/>
      <c r="N27" s="267"/>
      <c r="O27" s="267"/>
      <c r="P27" s="267"/>
      <c r="Q27" s="267"/>
    </row>
    <row r="28" spans="1:17" ht="15">
      <c r="A28" s="683">
        <f>A27+1</f>
        <v>22</v>
      </c>
      <c r="B28" s="180" t="s">
        <v>671</v>
      </c>
      <c r="C28" s="646"/>
      <c r="D28" s="321">
        <f>+D26+D27</f>
        <v>0</v>
      </c>
      <c r="E28" s="646"/>
      <c r="F28" s="322"/>
      <c r="G28" s="322"/>
      <c r="K28" s="267"/>
      <c r="L28" s="1034"/>
      <c r="M28" s="267"/>
      <c r="N28" s="267"/>
      <c r="O28" s="993"/>
      <c r="P28" s="267"/>
      <c r="Q28" s="1031"/>
    </row>
    <row r="29" spans="1:17" ht="15">
      <c r="A29" s="683">
        <f>A28+1</f>
        <v>23</v>
      </c>
      <c r="B29" s="319" t="s">
        <v>673</v>
      </c>
      <c r="C29" s="640"/>
      <c r="D29" s="321">
        <f>+D24-D28</f>
        <v>0</v>
      </c>
      <c r="E29" s="684"/>
      <c r="K29" s="267"/>
      <c r="L29" s="994"/>
      <c r="M29" s="267"/>
      <c r="N29" s="993"/>
      <c r="O29" s="267"/>
      <c r="P29" s="267"/>
      <c r="Q29" s="1031"/>
    </row>
    <row r="30" spans="1:17" ht="12.75">
      <c r="A30" s="2"/>
      <c r="B30" s="2"/>
      <c r="D30" s="280"/>
      <c r="E30" s="198"/>
      <c r="K30" s="267"/>
      <c r="L30" s="994"/>
      <c r="M30" s="267"/>
      <c r="N30" s="993"/>
      <c r="O30" s="267"/>
      <c r="P30" s="267"/>
      <c r="Q30" s="1031"/>
    </row>
    <row r="31" spans="1:17" s="275" customFormat="1" ht="15.75" customHeight="1">
      <c r="A31" s="2"/>
      <c r="B31" s="200"/>
      <c r="C31" s="200"/>
      <c r="D31" s="416"/>
      <c r="E31" s="291"/>
      <c r="K31" s="267"/>
      <c r="L31" s="994"/>
      <c r="M31" s="267"/>
      <c r="N31" s="993"/>
      <c r="O31" s="267"/>
      <c r="P31" s="1035"/>
      <c r="Q31" s="1031"/>
    </row>
    <row r="32" spans="1:17" ht="37.5" customHeight="1">
      <c r="A32" s="335" t="s">
        <v>253</v>
      </c>
      <c r="B32" s="1390" t="s">
        <v>155</v>
      </c>
      <c r="C32" s="1389"/>
      <c r="D32" s="1389"/>
      <c r="E32" s="2"/>
      <c r="K32" s="267"/>
      <c r="L32" s="994"/>
      <c r="M32" s="267"/>
      <c r="N32" s="993"/>
      <c r="O32" s="267"/>
      <c r="P32" s="267"/>
      <c r="Q32" s="1031"/>
    </row>
    <row r="33" spans="1:17" ht="39.75" customHeight="1">
      <c r="A33" s="335" t="s">
        <v>248</v>
      </c>
      <c r="B33" s="1391" t="s">
        <v>156</v>
      </c>
      <c r="C33" s="1389"/>
      <c r="D33" s="1389"/>
      <c r="E33" s="2"/>
      <c r="K33" s="267"/>
      <c r="L33" s="994"/>
      <c r="M33" s="267"/>
      <c r="N33" s="993"/>
      <c r="O33" s="267"/>
      <c r="P33" s="267"/>
      <c r="Q33" s="1031"/>
    </row>
    <row r="34" spans="1:17" ht="104.25" customHeight="1">
      <c r="A34" s="328" t="s">
        <v>247</v>
      </c>
      <c r="B34" s="1392" t="s">
        <v>157</v>
      </c>
      <c r="C34" s="1389"/>
      <c r="D34" s="1389"/>
      <c r="E34" s="319"/>
      <c r="F34" s="322"/>
      <c r="G34" s="322"/>
      <c r="K34" s="267"/>
      <c r="L34" s="994"/>
      <c r="M34" s="267"/>
      <c r="N34" s="993"/>
      <c r="O34" s="267"/>
      <c r="P34" s="267"/>
      <c r="Q34" s="1031"/>
    </row>
    <row r="35" spans="1:17" ht="37.5" customHeight="1">
      <c r="A35" s="407" t="s">
        <v>276</v>
      </c>
      <c r="B35" s="1391" t="s">
        <v>158</v>
      </c>
      <c r="C35" s="1389"/>
      <c r="D35" s="1389"/>
      <c r="E35" s="289"/>
      <c r="K35" s="267"/>
      <c r="L35" s="994"/>
      <c r="M35" s="267"/>
      <c r="N35" s="993"/>
      <c r="O35" s="267"/>
      <c r="P35" s="267"/>
      <c r="Q35" s="1031"/>
    </row>
    <row r="36" spans="1:17" ht="25.5" customHeight="1">
      <c r="A36" s="328" t="s">
        <v>197</v>
      </c>
      <c r="B36" s="1389" t="s">
        <v>198</v>
      </c>
      <c r="C36" s="1389"/>
      <c r="D36" s="1389"/>
      <c r="E36" s="2"/>
      <c r="J36" s="633"/>
      <c r="K36" s="267"/>
      <c r="L36" s="994"/>
      <c r="M36" s="267"/>
      <c r="N36" s="993"/>
      <c r="O36" s="267"/>
      <c r="P36" s="267"/>
      <c r="Q36" s="1032"/>
    </row>
    <row r="37" spans="1:17" ht="24.75" customHeight="1">
      <c r="A37" s="328" t="s">
        <v>199</v>
      </c>
      <c r="B37" s="1389" t="s">
        <v>159</v>
      </c>
      <c r="C37" s="1389"/>
      <c r="D37" s="1389"/>
      <c r="J37" s="633"/>
      <c r="K37" s="267"/>
      <c r="L37" s="994"/>
      <c r="M37" s="267"/>
      <c r="N37" s="993"/>
      <c r="O37" s="267"/>
      <c r="P37" s="267"/>
      <c r="Q37" s="1036"/>
    </row>
    <row r="38" spans="1:17" s="275" customFormat="1" ht="24" customHeight="1">
      <c r="A38" s="328" t="s">
        <v>200</v>
      </c>
      <c r="B38" s="1390" t="s">
        <v>380</v>
      </c>
      <c r="C38" s="1389"/>
      <c r="D38" s="1389"/>
      <c r="J38" s="995"/>
      <c r="K38" s="267"/>
      <c r="L38" s="992"/>
      <c r="M38" s="267"/>
      <c r="N38" s="993"/>
      <c r="O38" s="267"/>
      <c r="P38" s="1035"/>
      <c r="Q38" s="1031"/>
    </row>
    <row r="39" spans="1:17" ht="12.75">
      <c r="A39" s="2"/>
      <c r="B39" s="200"/>
      <c r="K39" s="267"/>
      <c r="L39" s="992"/>
      <c r="M39" s="267"/>
      <c r="N39" s="993"/>
      <c r="O39" s="267"/>
      <c r="P39" s="267"/>
      <c r="Q39" s="1031"/>
    </row>
    <row r="40" spans="1:17" ht="12.75">
      <c r="A40" s="2" t="s">
        <v>675</v>
      </c>
      <c r="B40" s="2" t="s">
        <v>676</v>
      </c>
      <c r="C40" s="2"/>
      <c r="D40" s="680"/>
      <c r="I40" s="1063"/>
      <c r="K40" s="267"/>
      <c r="L40" s="992"/>
      <c r="M40" s="267"/>
      <c r="N40" s="993"/>
      <c r="O40" s="267"/>
      <c r="P40" s="267"/>
      <c r="Q40" s="1031"/>
    </row>
    <row r="41" spans="1:17" ht="12.75">
      <c r="A41" s="2"/>
      <c r="B41" s="2" t="s">
        <v>250</v>
      </c>
      <c r="C41" s="317" t="s">
        <v>678</v>
      </c>
      <c r="D41" s="303" t="s">
        <v>679</v>
      </c>
      <c r="E41" s="2"/>
      <c r="F41" s="277"/>
      <c r="G41" s="277"/>
      <c r="H41" s="277"/>
      <c r="I41" s="798"/>
      <c r="J41" s="1111"/>
      <c r="K41" s="267"/>
      <c r="L41" s="992"/>
      <c r="M41" s="267"/>
      <c r="N41" s="993"/>
      <c r="O41" s="267"/>
      <c r="P41" s="267"/>
      <c r="Q41" s="1036"/>
    </row>
    <row r="42" spans="1:17" ht="12.75">
      <c r="A42" s="2"/>
      <c r="B42" s="681" t="s">
        <v>352</v>
      </c>
      <c r="C42" s="334">
        <v>0</v>
      </c>
      <c r="D42" s="334">
        <v>10662452</v>
      </c>
      <c r="E42" s="798"/>
      <c r="F42" s="200"/>
      <c r="G42" s="200"/>
      <c r="H42" s="200"/>
      <c r="I42" s="798"/>
      <c r="J42" s="2"/>
      <c r="K42" s="267"/>
      <c r="L42" s="992"/>
      <c r="M42" s="267"/>
      <c r="N42" s="993"/>
      <c r="O42" s="267"/>
      <c r="P42" s="267"/>
      <c r="Q42" s="1031"/>
    </row>
    <row r="43" spans="1:17" ht="12.75">
      <c r="A43" s="2"/>
      <c r="B43" s="681" t="s">
        <v>100</v>
      </c>
      <c r="C43" s="334">
        <v>0</v>
      </c>
      <c r="D43" s="334">
        <v>0</v>
      </c>
      <c r="E43" s="2"/>
      <c r="F43" s="200"/>
      <c r="G43" s="200"/>
      <c r="H43" s="200"/>
      <c r="I43" s="798"/>
      <c r="J43" s="2"/>
      <c r="K43" s="267"/>
      <c r="L43" s="992"/>
      <c r="M43" s="267"/>
      <c r="N43" s="993"/>
      <c r="O43" s="267"/>
      <c r="P43" s="267"/>
      <c r="Q43" s="1031"/>
    </row>
    <row r="44" spans="1:17" ht="12.75">
      <c r="A44" s="2"/>
      <c r="B44" s="681" t="s">
        <v>353</v>
      </c>
      <c r="C44" s="334">
        <v>0</v>
      </c>
      <c r="D44" s="334">
        <v>0</v>
      </c>
      <c r="E44" s="2"/>
      <c r="F44" s="200"/>
      <c r="G44" s="200"/>
      <c r="H44" s="200"/>
      <c r="I44" s="2"/>
      <c r="J44" s="2"/>
      <c r="K44" s="267"/>
      <c r="L44" s="992"/>
      <c r="M44" s="267"/>
      <c r="N44" s="993"/>
      <c r="O44" s="267"/>
      <c r="P44" s="267"/>
      <c r="Q44" s="1031"/>
    </row>
    <row r="45" spans="1:17" ht="12.75">
      <c r="A45" s="2"/>
      <c r="B45" s="212" t="s">
        <v>809</v>
      </c>
      <c r="C45" s="334">
        <v>0</v>
      </c>
      <c r="D45" s="334">
        <v>0</v>
      </c>
      <c r="E45" s="2"/>
      <c r="F45" s="200"/>
      <c r="G45" s="200"/>
      <c r="H45" s="200"/>
      <c r="I45" s="2"/>
      <c r="J45" s="2"/>
      <c r="K45" s="267"/>
      <c r="L45" s="992"/>
      <c r="M45" s="267"/>
      <c r="N45" s="993"/>
      <c r="O45" s="267"/>
      <c r="P45" s="267"/>
      <c r="Q45" s="1031"/>
    </row>
    <row r="46" spans="1:17" ht="12.75">
      <c r="A46" s="2"/>
      <c r="B46" s="681" t="s">
        <v>356</v>
      </c>
      <c r="C46" s="334">
        <v>0</v>
      </c>
      <c r="D46" s="334">
        <v>0</v>
      </c>
      <c r="E46" s="2"/>
      <c r="F46" s="200"/>
      <c r="G46" s="200"/>
      <c r="H46" s="200"/>
      <c r="I46" s="2"/>
      <c r="J46" s="2"/>
      <c r="K46" s="267"/>
      <c r="L46" s="992"/>
      <c r="M46" s="267"/>
      <c r="N46" s="993"/>
      <c r="O46" s="267"/>
      <c r="P46" s="267"/>
      <c r="Q46" s="1031"/>
    </row>
    <row r="47" spans="1:17" ht="12.75">
      <c r="A47" s="2"/>
      <c r="B47" s="681" t="s">
        <v>357</v>
      </c>
      <c r="C47" s="334">
        <v>0</v>
      </c>
      <c r="D47" s="334">
        <v>0</v>
      </c>
      <c r="E47" s="2"/>
      <c r="F47" s="200"/>
      <c r="G47" s="200"/>
      <c r="H47" s="200"/>
      <c r="I47" s="2"/>
      <c r="J47" s="2"/>
      <c r="K47" s="267"/>
      <c r="L47" s="992"/>
      <c r="M47" s="267"/>
      <c r="N47" s="993"/>
      <c r="O47" s="267"/>
      <c r="P47" s="267"/>
      <c r="Q47" s="1033"/>
    </row>
    <row r="48" spans="1:17" ht="12.75">
      <c r="A48" s="2"/>
      <c r="B48" s="212" t="s">
        <v>226</v>
      </c>
      <c r="C48" s="334">
        <v>0</v>
      </c>
      <c r="D48" s="334"/>
      <c r="E48" s="2"/>
      <c r="F48" s="897"/>
      <c r="G48" s="200"/>
      <c r="H48" s="200"/>
      <c r="I48" s="2"/>
      <c r="J48" s="2"/>
      <c r="K48" s="267"/>
      <c r="L48" s="992"/>
      <c r="M48" s="267"/>
      <c r="N48" s="993"/>
      <c r="O48" s="267"/>
      <c r="P48" s="267"/>
      <c r="Q48" s="1033"/>
    </row>
    <row r="49" spans="1:17" ht="12.75">
      <c r="A49" s="2"/>
      <c r="B49" s="920" t="s">
        <v>814</v>
      </c>
      <c r="C49" s="1348">
        <v>0</v>
      </c>
      <c r="D49" s="1348">
        <v>753767</v>
      </c>
      <c r="E49" s="1100"/>
      <c r="F49" s="897"/>
      <c r="G49" s="1149"/>
      <c r="H49" s="200"/>
      <c r="I49" s="2"/>
      <c r="J49" s="2"/>
      <c r="K49" s="2"/>
      <c r="L49" s="992"/>
      <c r="M49" s="267"/>
      <c r="N49" s="993"/>
      <c r="O49" s="267"/>
      <c r="P49" s="267"/>
      <c r="Q49" s="1036"/>
    </row>
    <row r="50" spans="1:17" ht="12.75">
      <c r="A50" s="2"/>
      <c r="B50" s="681" t="s">
        <v>449</v>
      </c>
      <c r="C50" s="698">
        <f>SUM(C42:C49)</f>
        <v>0</v>
      </c>
      <c r="D50" s="698">
        <f>SUM(D42:D49)</f>
        <v>11416219</v>
      </c>
      <c r="E50" s="897"/>
      <c r="F50" s="661"/>
      <c r="G50" s="1352"/>
      <c r="K50" s="2"/>
      <c r="L50" s="267"/>
      <c r="M50" s="267"/>
      <c r="N50" s="267"/>
      <c r="O50" s="267"/>
      <c r="P50" s="267"/>
      <c r="Q50" s="267"/>
    </row>
    <row r="51" spans="1:17" ht="12.75">
      <c r="A51" s="2"/>
      <c r="B51" s="681"/>
      <c r="C51" s="698"/>
      <c r="D51" s="682"/>
      <c r="E51" s="2"/>
      <c r="F51" s="661"/>
      <c r="G51" s="897"/>
      <c r="H51" s="2"/>
      <c r="J51" s="2"/>
      <c r="K51" s="267"/>
      <c r="L51" s="267"/>
      <c r="M51" s="267"/>
      <c r="N51" s="267"/>
      <c r="O51" s="267"/>
      <c r="P51" s="267"/>
      <c r="Q51" s="267"/>
    </row>
    <row r="52" spans="1:17" ht="12.75">
      <c r="A52" s="2"/>
      <c r="B52" s="681" t="s">
        <v>680</v>
      </c>
      <c r="C52" s="334" t="str">
        <f>+C41</f>
        <v>Include</v>
      </c>
      <c r="D52" s="334" t="str">
        <f>+D41</f>
        <v>Exclude</v>
      </c>
      <c r="E52" s="2"/>
      <c r="J52" s="2"/>
      <c r="K52" s="267"/>
      <c r="L52" s="267"/>
      <c r="M52" s="267"/>
      <c r="N52" s="267"/>
      <c r="O52" s="267"/>
      <c r="P52" s="267"/>
      <c r="Q52" s="267"/>
    </row>
    <row r="53" spans="1:17" ht="12.75">
      <c r="A53" s="2"/>
      <c r="B53" s="212" t="s">
        <v>797</v>
      </c>
      <c r="C53" s="334">
        <v>0</v>
      </c>
      <c r="D53" s="334">
        <v>80316885</v>
      </c>
      <c r="E53" s="935"/>
      <c r="F53" s="2"/>
      <c r="H53" s="2"/>
      <c r="I53" s="979"/>
      <c r="J53" s="971"/>
      <c r="K53" s="1388"/>
      <c r="L53" s="1388"/>
      <c r="M53" s="1388"/>
      <c r="N53" s="1388"/>
      <c r="O53" s="1388"/>
      <c r="P53" s="1388"/>
      <c r="Q53" s="267"/>
    </row>
    <row r="54" spans="1:17" ht="12.75">
      <c r="A54" s="2"/>
      <c r="B54" s="212" t="s">
        <v>840</v>
      </c>
      <c r="C54" s="334">
        <v>0</v>
      </c>
      <c r="D54" s="334">
        <v>-4923859</v>
      </c>
      <c r="E54" s="935"/>
      <c r="F54" s="1100"/>
      <c r="H54" s="1100"/>
      <c r="I54" s="1100"/>
      <c r="J54" s="971"/>
      <c r="K54" s="267"/>
      <c r="L54" s="992"/>
      <c r="M54" s="267"/>
      <c r="N54" s="993"/>
      <c r="O54" s="267"/>
      <c r="P54" s="1031"/>
      <c r="Q54" s="267"/>
    </row>
    <row r="55" spans="1:17" ht="12.75">
      <c r="A55" s="2"/>
      <c r="B55" s="681" t="s">
        <v>360</v>
      </c>
      <c r="C55" s="334">
        <v>0</v>
      </c>
      <c r="D55" s="334">
        <v>0</v>
      </c>
      <c r="E55" s="935"/>
      <c r="F55" s="416"/>
      <c r="H55" s="2"/>
      <c r="I55" s="2"/>
      <c r="J55" s="2"/>
      <c r="K55" s="267"/>
      <c r="L55" s="992"/>
      <c r="M55" s="267"/>
      <c r="N55" s="993"/>
      <c r="O55" s="267"/>
      <c r="P55" s="1033"/>
      <c r="Q55" s="267"/>
    </row>
    <row r="56" spans="1:17" ht="12.75">
      <c r="A56" s="2"/>
      <c r="B56" s="1085" t="s">
        <v>106</v>
      </c>
      <c r="C56" s="334">
        <v>0</v>
      </c>
      <c r="D56" s="334">
        <v>0</v>
      </c>
      <c r="E56" s="935"/>
      <c r="F56" s="2"/>
      <c r="H56" s="2"/>
      <c r="I56" s="200"/>
      <c r="J56" s="2"/>
      <c r="K56" s="2"/>
      <c r="L56" s="2"/>
      <c r="M56" s="2"/>
      <c r="N56" s="993"/>
      <c r="O56" s="267"/>
      <c r="P56" s="1033"/>
      <c r="Q56" s="267"/>
    </row>
    <row r="57" spans="1:17" ht="12.75">
      <c r="A57" s="2"/>
      <c r="B57" s="1086" t="s">
        <v>251</v>
      </c>
      <c r="C57" s="334">
        <v>288000</v>
      </c>
      <c r="D57" s="334">
        <v>0</v>
      </c>
      <c r="E57" s="935"/>
      <c r="F57" s="2"/>
      <c r="H57" s="2"/>
      <c r="I57" s="200"/>
      <c r="J57" s="2"/>
      <c r="K57" s="2"/>
      <c r="L57" s="2"/>
      <c r="M57" s="2"/>
      <c r="N57" s="993"/>
      <c r="O57" s="267"/>
      <c r="P57" s="1031"/>
      <c r="Q57" s="267"/>
    </row>
    <row r="58" spans="1:17" ht="12.75">
      <c r="A58" s="2"/>
      <c r="B58" s="1085" t="s">
        <v>107</v>
      </c>
      <c r="C58" s="334">
        <v>1885261</v>
      </c>
      <c r="D58" s="334">
        <v>0</v>
      </c>
      <c r="E58" s="935"/>
      <c r="F58" s="2"/>
      <c r="H58" s="2"/>
      <c r="I58" s="2"/>
      <c r="J58" s="2"/>
      <c r="K58" s="267"/>
      <c r="L58" s="992"/>
      <c r="M58" s="267"/>
      <c r="N58" s="993"/>
      <c r="O58" s="267"/>
      <c r="P58" s="1031"/>
      <c r="Q58" s="267"/>
    </row>
    <row r="59" spans="1:17" ht="12.75">
      <c r="A59" s="2"/>
      <c r="B59" s="1086" t="s">
        <v>252</v>
      </c>
      <c r="C59" s="334">
        <v>0</v>
      </c>
      <c r="D59" s="334">
        <v>0</v>
      </c>
      <c r="E59" s="935"/>
      <c r="F59" s="2"/>
      <c r="H59" s="2"/>
      <c r="I59" s="2"/>
      <c r="J59" s="2"/>
      <c r="K59" s="267"/>
      <c r="L59" s="992"/>
      <c r="M59" s="267"/>
      <c r="N59" s="993"/>
      <c r="O59" s="267"/>
      <c r="P59" s="1033"/>
      <c r="Q59" s="267"/>
    </row>
    <row r="60" spans="1:17" ht="12.75">
      <c r="A60" s="2"/>
      <c r="B60" s="1085" t="s">
        <v>677</v>
      </c>
      <c r="C60" s="1349"/>
      <c r="D60" s="1349"/>
      <c r="E60" s="935"/>
      <c r="F60" s="661"/>
      <c r="G60" s="200"/>
      <c r="H60" s="2"/>
      <c r="I60" s="2"/>
      <c r="J60" s="2"/>
      <c r="K60" s="267"/>
      <c r="L60" s="992"/>
      <c r="M60" s="267"/>
      <c r="N60" s="993"/>
      <c r="O60" s="267"/>
      <c r="P60" s="1033"/>
      <c r="Q60" s="267"/>
    </row>
    <row r="61" spans="1:17" ht="12.75">
      <c r="A61" s="2"/>
      <c r="B61" s="932" t="s">
        <v>677</v>
      </c>
      <c r="C61" s="334"/>
      <c r="D61" s="334"/>
      <c r="E61" s="935"/>
      <c r="F61" s="661"/>
      <c r="G61" s="200"/>
      <c r="H61" s="2"/>
      <c r="I61" s="979"/>
      <c r="J61" s="971"/>
      <c r="K61" s="267"/>
      <c r="L61" s="992"/>
      <c r="M61" s="267"/>
      <c r="N61" s="993"/>
      <c r="O61" s="267"/>
      <c r="P61" s="1033"/>
      <c r="Q61" s="267"/>
    </row>
    <row r="62" spans="1:17" ht="12.75">
      <c r="A62" s="2"/>
      <c r="B62" s="932" t="s">
        <v>677</v>
      </c>
      <c r="C62" s="334"/>
      <c r="D62" s="334"/>
      <c r="E62" s="935"/>
      <c r="F62" s="2"/>
      <c r="G62" s="200"/>
      <c r="H62" s="2"/>
      <c r="I62" s="889"/>
      <c r="J62" s="2"/>
      <c r="K62" s="267"/>
      <c r="L62" s="992"/>
      <c r="M62" s="267"/>
      <c r="N62" s="993"/>
      <c r="O62" s="267"/>
      <c r="P62" s="1033"/>
      <c r="Q62" s="267"/>
    </row>
    <row r="63" spans="1:17" ht="12.75">
      <c r="A63" s="2"/>
      <c r="B63" s="771" t="s">
        <v>677</v>
      </c>
      <c r="C63" s="1348"/>
      <c r="D63" s="1348"/>
      <c r="E63" s="935"/>
      <c r="F63" s="2"/>
      <c r="G63" s="1148"/>
      <c r="H63" s="2"/>
      <c r="I63" s="1038"/>
      <c r="J63" s="2"/>
      <c r="K63" s="267"/>
      <c r="L63" s="992"/>
      <c r="M63" s="267"/>
      <c r="N63" s="993"/>
      <c r="O63" s="267"/>
      <c r="P63" s="1031"/>
      <c r="Q63" s="267"/>
    </row>
    <row r="64" spans="1:17" ht="12.75">
      <c r="A64" s="2"/>
      <c r="B64" s="681" t="s">
        <v>449</v>
      </c>
      <c r="C64" s="698">
        <f>SUM(C53:C63)</f>
        <v>2173261</v>
      </c>
      <c r="D64" s="698">
        <f>SUM(D53:D63)</f>
        <v>75393026</v>
      </c>
      <c r="E64" s="935"/>
      <c r="F64" s="1350"/>
      <c r="G64" s="1351"/>
      <c r="H64" s="889"/>
      <c r="I64" s="267"/>
      <c r="J64" s="2"/>
      <c r="K64" s="267"/>
      <c r="L64" s="992"/>
      <c r="M64" s="267"/>
      <c r="N64" s="993"/>
      <c r="O64" s="267"/>
      <c r="P64" s="1033"/>
      <c r="Q64" s="267"/>
    </row>
    <row r="65" spans="6:17" ht="12.75">
      <c r="F65" s="1350"/>
      <c r="G65" s="897"/>
      <c r="H65" s="889"/>
      <c r="I65" s="267"/>
      <c r="K65" s="267"/>
      <c r="L65" s="992"/>
      <c r="M65" s="267"/>
      <c r="N65" s="993"/>
      <c r="O65" s="267"/>
      <c r="P65" s="1036"/>
      <c r="Q65" s="267"/>
    </row>
    <row r="66" spans="5:17" ht="12.75">
      <c r="E66" s="1319"/>
      <c r="F66" s="897"/>
      <c r="G66" s="889"/>
      <c r="H66" s="798"/>
      <c r="I66" s="278"/>
      <c r="K66" s="267"/>
      <c r="L66" s="267"/>
      <c r="M66" s="267"/>
      <c r="N66" s="267"/>
      <c r="O66" s="267"/>
      <c r="P66" s="267"/>
      <c r="Q66" s="267"/>
    </row>
    <row r="67" spans="2:17" ht="12.75">
      <c r="B67" s="329"/>
      <c r="D67" s="1000"/>
      <c r="E67" s="999"/>
      <c r="F67" s="633"/>
      <c r="G67" s="633"/>
      <c r="K67" s="267"/>
      <c r="L67" s="267"/>
      <c r="M67" s="267"/>
      <c r="N67" s="267"/>
      <c r="O67" s="267"/>
      <c r="P67" s="267"/>
      <c r="Q67" s="267"/>
    </row>
    <row r="68" spans="2:17" ht="12.75">
      <c r="B68" s="329"/>
      <c r="C68" s="1037"/>
      <c r="D68" s="998"/>
      <c r="E68" s="267"/>
      <c r="G68" s="267"/>
      <c r="H68" s="267"/>
      <c r="I68" s="267"/>
      <c r="J68" s="267"/>
      <c r="K68" s="267"/>
      <c r="L68" s="267"/>
      <c r="M68" s="267"/>
      <c r="N68" s="267"/>
      <c r="O68" s="267"/>
      <c r="P68" s="267"/>
      <c r="Q68" s="267"/>
    </row>
    <row r="69" spans="2:17" ht="12.75">
      <c r="B69" s="329"/>
      <c r="C69" s="267"/>
      <c r="D69" s="998"/>
      <c r="E69" s="267"/>
      <c r="F69" s="267"/>
      <c r="G69" s="267"/>
      <c r="H69" s="267"/>
      <c r="I69" s="267"/>
      <c r="J69" s="267"/>
      <c r="K69" s="267"/>
      <c r="L69" s="267"/>
      <c r="M69" s="267"/>
      <c r="N69" s="267"/>
      <c r="O69" s="267"/>
      <c r="P69" s="267"/>
      <c r="Q69" s="267"/>
    </row>
    <row r="70" spans="2:17" ht="12.75">
      <c r="B70" s="329"/>
      <c r="C70" s="1038"/>
      <c r="D70" s="997"/>
      <c r="I70" s="267"/>
      <c r="J70" s="267"/>
      <c r="K70" s="267"/>
      <c r="L70" s="267"/>
      <c r="M70" s="267"/>
      <c r="N70" s="267"/>
      <c r="O70" s="267"/>
      <c r="P70" s="267"/>
      <c r="Q70" s="267"/>
    </row>
    <row r="71" spans="2:17" ht="12.75">
      <c r="B71" s="329"/>
      <c r="C71" s="329"/>
      <c r="D71" s="1039"/>
      <c r="I71" s="267"/>
      <c r="J71" s="267"/>
      <c r="K71" s="267"/>
      <c r="L71" s="267"/>
      <c r="M71" s="267"/>
      <c r="N71" s="267"/>
      <c r="O71" s="267"/>
      <c r="P71" s="267"/>
      <c r="Q71" s="267"/>
    </row>
    <row r="72" spans="2:17" ht="12.75">
      <c r="B72" s="329"/>
      <c r="C72" s="329"/>
      <c r="D72" s="329"/>
      <c r="E72" s="267"/>
      <c r="F72" s="1038"/>
      <c r="G72" s="267"/>
      <c r="H72" s="267"/>
      <c r="I72" s="267"/>
      <c r="J72" s="267"/>
      <c r="K72" s="267"/>
      <c r="L72" s="267"/>
      <c r="M72" s="267"/>
      <c r="N72" s="267"/>
      <c r="O72" s="267"/>
      <c r="P72" s="267"/>
      <c r="Q72" s="267"/>
    </row>
    <row r="73" spans="2:17" ht="12.75">
      <c r="B73" s="329"/>
      <c r="C73" s="451"/>
      <c r="D73" s="998"/>
      <c r="E73" s="267"/>
      <c r="F73" s="267"/>
      <c r="G73" s="267"/>
      <c r="H73" s="267"/>
      <c r="I73" s="267"/>
      <c r="J73" s="267"/>
      <c r="K73" s="267"/>
      <c r="L73" s="267"/>
      <c r="M73" s="267"/>
      <c r="N73" s="267"/>
      <c r="O73" s="267"/>
      <c r="P73" s="267"/>
      <c r="Q73" s="267"/>
    </row>
    <row r="74" spans="2:12" ht="12.75">
      <c r="B74" s="329"/>
      <c r="C74" s="329"/>
      <c r="D74" s="998"/>
      <c r="E74" s="267"/>
      <c r="F74" s="267"/>
      <c r="G74" s="267"/>
      <c r="H74" s="267"/>
      <c r="I74" s="267"/>
      <c r="J74" s="267"/>
      <c r="K74" s="267"/>
      <c r="L74" s="267"/>
    </row>
    <row r="75" spans="2:10" ht="12.75">
      <c r="B75" s="329"/>
      <c r="C75" s="1159"/>
      <c r="D75" s="998"/>
      <c r="E75" s="267"/>
      <c r="F75" s="267"/>
      <c r="G75" s="267"/>
      <c r="H75" s="2"/>
      <c r="I75" s="2"/>
      <c r="J75" s="2"/>
    </row>
    <row r="76" spans="2:10" ht="12.75">
      <c r="B76" s="329"/>
      <c r="C76" s="1159"/>
      <c r="D76" s="998"/>
      <c r="E76" s="267"/>
      <c r="F76" s="267"/>
      <c r="G76" s="267"/>
      <c r="H76" s="2"/>
      <c r="I76" s="2"/>
      <c r="J76" s="2"/>
    </row>
    <row r="77" spans="2:7" ht="12.75">
      <c r="B77" s="329"/>
      <c r="C77" s="1159"/>
      <c r="D77" s="329"/>
      <c r="E77" s="1157"/>
      <c r="F77" s="991"/>
      <c r="G77" s="991"/>
    </row>
    <row r="78" spans="2:7" ht="12.75">
      <c r="B78" s="267"/>
      <c r="C78" s="1026"/>
      <c r="D78" s="997"/>
      <c r="E78" s="991"/>
      <c r="F78" s="1158"/>
      <c r="G78" s="991"/>
    </row>
    <row r="79" spans="2:7" ht="12.75">
      <c r="B79" s="991"/>
      <c r="C79" s="1027"/>
      <c r="D79" s="1028"/>
      <c r="E79" s="991"/>
      <c r="F79" s="1158"/>
      <c r="G79" s="991"/>
    </row>
    <row r="80" spans="2:7" ht="12.75">
      <c r="B80" s="991"/>
      <c r="C80" s="1027"/>
      <c r="D80" s="1028"/>
      <c r="E80" s="991"/>
      <c r="F80" s="991"/>
      <c r="G80" s="991"/>
    </row>
    <row r="81" spans="2:7" ht="12.75">
      <c r="B81" s="991"/>
      <c r="C81" s="1027"/>
      <c r="D81" s="1028"/>
      <c r="E81" s="991"/>
      <c r="F81" s="991"/>
      <c r="G81" s="991"/>
    </row>
    <row r="82" spans="2:7" ht="12.75">
      <c r="B82" s="991"/>
      <c r="C82" s="1027"/>
      <c r="D82" s="1028"/>
      <c r="E82" s="991"/>
      <c r="F82" s="991"/>
      <c r="G82" s="991"/>
    </row>
    <row r="83" spans="2:7" ht="13.5">
      <c r="B83" s="991"/>
      <c r="C83" s="1029"/>
      <c r="D83" s="1030"/>
      <c r="E83" s="991"/>
      <c r="F83" s="991"/>
      <c r="G83" s="991"/>
    </row>
    <row r="84" spans="2:7" ht="12.75">
      <c r="B84" s="991"/>
      <c r="C84" s="267"/>
      <c r="D84" s="997"/>
      <c r="E84" s="991"/>
      <c r="F84" s="991"/>
      <c r="G84" s="991"/>
    </row>
    <row r="85" spans="2:7" ht="12.75">
      <c r="B85" s="991"/>
      <c r="C85" s="991"/>
      <c r="D85" s="280"/>
      <c r="E85" s="991"/>
      <c r="F85" s="991"/>
      <c r="G85" s="991"/>
    </row>
    <row r="86" spans="2:7" ht="12.75">
      <c r="B86" s="991"/>
      <c r="C86" s="991"/>
      <c r="D86" s="280"/>
      <c r="E86" s="991"/>
      <c r="F86" s="991"/>
      <c r="G86" s="991"/>
    </row>
    <row r="87" spans="2:7" ht="12.75">
      <c r="B87" s="991"/>
      <c r="C87" s="991"/>
      <c r="D87" s="280"/>
      <c r="E87" s="991"/>
      <c r="F87" s="991"/>
      <c r="G87" s="991"/>
    </row>
    <row r="273" spans="3:7" ht="15">
      <c r="C273" s="640"/>
      <c r="D273" s="642"/>
      <c r="E273" s="640"/>
      <c r="F273" s="640"/>
      <c r="G273" s="640"/>
    </row>
    <row r="274" spans="3:7" ht="99.75" customHeight="1">
      <c r="C274" s="640"/>
      <c r="D274" s="642"/>
      <c r="E274" s="640"/>
      <c r="F274" s="640"/>
      <c r="G274" s="640"/>
    </row>
    <row r="275" spans="3:7" ht="15">
      <c r="C275" s="640"/>
      <c r="D275" s="642"/>
      <c r="E275" s="640"/>
      <c r="F275" s="640"/>
      <c r="G275" s="640"/>
    </row>
    <row r="276" spans="3:7" ht="15">
      <c r="C276" s="640"/>
      <c r="D276" s="642"/>
      <c r="E276" s="640"/>
      <c r="F276" s="640"/>
      <c r="G276" s="640"/>
    </row>
    <row r="277" spans="3:7" ht="15">
      <c r="C277" s="640"/>
      <c r="D277" s="642"/>
      <c r="E277" s="640"/>
      <c r="F277" s="640"/>
      <c r="G277" s="640"/>
    </row>
    <row r="278" spans="3:7" ht="15">
      <c r="C278" s="640"/>
      <c r="D278" s="642"/>
      <c r="E278" s="640"/>
      <c r="F278" s="640"/>
      <c r="G278" s="640"/>
    </row>
    <row r="279" spans="3:7" ht="15">
      <c r="C279" s="640"/>
      <c r="D279" s="642"/>
      <c r="E279" s="640"/>
      <c r="F279" s="640"/>
      <c r="G279" s="640"/>
    </row>
    <row r="280" spans="3:7" ht="15">
      <c r="C280" s="640"/>
      <c r="D280" s="642"/>
      <c r="E280" s="640"/>
      <c r="F280" s="640"/>
      <c r="G280" s="640"/>
    </row>
    <row r="281" spans="3:7" ht="15">
      <c r="C281" s="640"/>
      <c r="D281" s="642"/>
      <c r="E281" s="640"/>
      <c r="F281" s="640"/>
      <c r="G281" s="640"/>
    </row>
    <row r="282" spans="3:7" ht="15">
      <c r="C282" s="640"/>
      <c r="D282" s="642"/>
      <c r="E282" s="640"/>
      <c r="F282" s="640"/>
      <c r="G282" s="640"/>
    </row>
    <row r="283" spans="3:7" ht="15">
      <c r="C283" s="640"/>
      <c r="D283" s="642"/>
      <c r="E283" s="640"/>
      <c r="F283" s="640"/>
      <c r="G283" s="640"/>
    </row>
    <row r="284" spans="3:7" ht="15">
      <c r="C284" s="640"/>
      <c r="D284" s="642"/>
      <c r="E284" s="640"/>
      <c r="F284" s="640"/>
      <c r="G284" s="640"/>
    </row>
    <row r="285" spans="3:7" ht="15">
      <c r="C285" s="640"/>
      <c r="D285" s="642"/>
      <c r="E285" s="640"/>
      <c r="F285" s="640"/>
      <c r="G285" s="640"/>
    </row>
    <row r="286" spans="3:7" ht="15">
      <c r="C286" s="640"/>
      <c r="D286" s="642"/>
      <c r="E286" s="640"/>
      <c r="F286" s="640"/>
      <c r="G286" s="640"/>
    </row>
    <row r="287" spans="3:7" ht="15">
      <c r="C287" s="640"/>
      <c r="D287" s="642"/>
      <c r="E287" s="640"/>
      <c r="F287" s="640"/>
      <c r="G287" s="640"/>
    </row>
    <row r="288" spans="3:7" ht="15">
      <c r="C288" s="640"/>
      <c r="D288" s="642"/>
      <c r="E288" s="640"/>
      <c r="F288" s="640"/>
      <c r="G288" s="640"/>
    </row>
    <row r="289" spans="3:7" ht="15">
      <c r="C289" s="640"/>
      <c r="D289" s="642"/>
      <c r="E289" s="640"/>
      <c r="F289" s="640"/>
      <c r="G289" s="640"/>
    </row>
    <row r="290" spans="3:7" ht="15">
      <c r="C290" s="640"/>
      <c r="D290" s="642"/>
      <c r="E290" s="640"/>
      <c r="F290" s="640"/>
      <c r="G290" s="640"/>
    </row>
    <row r="291" spans="3:7" ht="15">
      <c r="C291" s="640"/>
      <c r="D291" s="642"/>
      <c r="E291" s="640"/>
      <c r="F291" s="640"/>
      <c r="G291" s="640"/>
    </row>
    <row r="292" spans="3:7" ht="15">
      <c r="C292" s="640"/>
      <c r="D292" s="642"/>
      <c r="E292" s="640"/>
      <c r="F292" s="640"/>
      <c r="G292" s="640"/>
    </row>
    <row r="293" spans="3:7" ht="15">
      <c r="C293" s="640"/>
      <c r="D293" s="642"/>
      <c r="E293" s="640"/>
      <c r="F293" s="640"/>
      <c r="G293" s="640"/>
    </row>
    <row r="294" spans="3:7" ht="15">
      <c r="C294" s="640"/>
      <c r="D294" s="642"/>
      <c r="E294" s="640"/>
      <c r="F294" s="640"/>
      <c r="G294" s="640"/>
    </row>
    <row r="295" spans="3:7" ht="40.5" customHeight="1">
      <c r="C295" s="640"/>
      <c r="D295" s="642"/>
      <c r="E295" s="640"/>
      <c r="F295" s="640"/>
      <c r="G295" s="640"/>
    </row>
    <row r="296" spans="3:7" ht="15">
      <c r="C296" s="640"/>
      <c r="D296" s="642"/>
      <c r="E296" s="640"/>
      <c r="F296" s="640"/>
      <c r="G296" s="640"/>
    </row>
    <row r="303" ht="12.75">
      <c r="B303" s="1340"/>
    </row>
    <row r="304" ht="12.75">
      <c r="B304" s="1340"/>
    </row>
  </sheetData>
  <sheetProtection/>
  <mergeCells count="9">
    <mergeCell ref="K53:P53"/>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5.xml><?xml version="1.0" encoding="utf-8"?>
<worksheet xmlns="http://schemas.openxmlformats.org/spreadsheetml/2006/main" xmlns:r="http://schemas.openxmlformats.org/officeDocument/2006/relationships">
  <sheetPr>
    <pageSetUpPr fitToPage="1"/>
  </sheetPr>
  <dimension ref="A1:L305"/>
  <sheetViews>
    <sheetView zoomScale="70" zoomScaleNormal="70" zoomScaleSheetLayoutView="66" workbookViewId="0" topLeftCell="A1">
      <selection activeCell="M18" sqref="M18"/>
    </sheetView>
  </sheetViews>
  <sheetFormatPr defaultColWidth="9.140625" defaultRowHeight="12.75"/>
  <cols>
    <col min="1" max="1" width="9.421875" style="2" bestFit="1" customWidth="1"/>
    <col min="2" max="2" width="3.00390625" style="2" customWidth="1"/>
    <col min="3" max="3" width="50.140625" style="2" customWidth="1"/>
    <col min="4" max="4" width="41.28125" style="2" bestFit="1" customWidth="1"/>
    <col min="5" max="5" width="40.140625" style="2" bestFit="1" customWidth="1"/>
    <col min="6" max="6" width="3.8515625" style="2" customWidth="1"/>
    <col min="7" max="7" width="16.140625" style="2" bestFit="1" customWidth="1"/>
    <col min="8" max="8" width="11.00390625" style="2" bestFit="1" customWidth="1"/>
    <col min="9" max="10" width="9.140625" style="2" customWidth="1"/>
    <col min="11" max="11" width="13.421875" style="2" bestFit="1" customWidth="1"/>
    <col min="12" max="12" width="11.140625" style="2" bestFit="1" customWidth="1"/>
    <col min="13" max="16384" width="9.140625" style="2" customWidth="1"/>
  </cols>
  <sheetData>
    <row r="1" spans="1:7" s="53" customFormat="1" ht="15">
      <c r="A1" s="86" t="s">
        <v>318</v>
      </c>
      <c r="B1" s="86"/>
      <c r="C1" s="53" t="s">
        <v>729</v>
      </c>
      <c r="E1" s="53" t="str">
        <f>"Line "&amp;A21&amp;" + Line "&amp;A42&amp;""</f>
        <v>Line 12 + Line 23</v>
      </c>
      <c r="G1" s="316">
        <f>+G21+G42</f>
        <v>71429787.25116625</v>
      </c>
    </row>
    <row r="2" spans="1:2" s="53" customFormat="1" ht="15">
      <c r="A2" s="86"/>
      <c r="B2" s="86"/>
    </row>
    <row r="3" spans="1:7" s="53" customFormat="1" ht="15">
      <c r="A3" s="86" t="s">
        <v>450</v>
      </c>
      <c r="B3" s="86"/>
      <c r="C3" s="53" t="str">
        <f>G3*10000&amp;" Basis Point increase in ROE"</f>
        <v>100 Basis Point increase in ROE</v>
      </c>
      <c r="G3" s="221">
        <v>0.01</v>
      </c>
    </row>
    <row r="4" spans="1:7" s="53" customFormat="1" ht="15">
      <c r="A4" s="86"/>
      <c r="B4" s="86"/>
      <c r="G4" s="221"/>
    </row>
    <row r="5" spans="1:7" s="53" customFormat="1" ht="15">
      <c r="A5" s="268" t="s">
        <v>661</v>
      </c>
      <c r="B5" s="115"/>
      <c r="C5" s="115"/>
      <c r="D5" s="115"/>
      <c r="E5" s="115"/>
      <c r="F5" s="115"/>
      <c r="G5" s="115"/>
    </row>
    <row r="6" spans="1:7" s="53" customFormat="1" ht="15">
      <c r="A6" s="86">
        <v>1</v>
      </c>
      <c r="C6" s="63" t="str">
        <f>+'Appendix A'!B92</f>
        <v>Rate Base</v>
      </c>
      <c r="E6" s="63" t="str">
        <f>"Appendix A, Line "&amp;'Appendix A'!A92&amp;""</f>
        <v>Appendix A, Line 51</v>
      </c>
      <c r="G6" s="316">
        <f>+'Appendix A'!G92</f>
        <v>651329429.8814622</v>
      </c>
    </row>
    <row r="7" spans="6:7" s="53" customFormat="1" ht="15">
      <c r="F7" s="63"/>
      <c r="G7" s="339"/>
    </row>
    <row r="8" spans="1:7" s="53" customFormat="1" ht="15">
      <c r="A8" s="26">
        <f>A6+1</f>
        <v>2</v>
      </c>
      <c r="B8" s="71"/>
      <c r="C8" s="281" t="str">
        <f>+'Appendix A'!C186</f>
        <v>Debt %</v>
      </c>
      <c r="D8" s="42" t="str">
        <f>+'Appendix A'!E186</f>
        <v>(Line 109 / Line 112)</v>
      </c>
      <c r="E8" s="98" t="str">
        <f>"Appendix A, Line "&amp;'Appendix A'!A186&amp;""</f>
        <v>Appendix A, Line 113</v>
      </c>
      <c r="F8" s="9"/>
      <c r="G8" s="362">
        <f>'Appendix A'!G186</f>
        <v>0.46463426549708786</v>
      </c>
    </row>
    <row r="9" spans="1:7" s="53" customFormat="1" ht="15">
      <c r="A9" s="26">
        <f>A8+1</f>
        <v>3</v>
      </c>
      <c r="B9" s="71"/>
      <c r="C9" s="281" t="str">
        <f>+'Appendix A'!C187</f>
        <v>Preferred %</v>
      </c>
      <c r="D9" s="42" t="str">
        <f>+'Appendix A'!E187</f>
        <v>(Line 110 / Line 112)</v>
      </c>
      <c r="E9" s="98" t="str">
        <f>"Appendix A, Line "&amp;'Appendix A'!A187&amp;""</f>
        <v>Appendix A, Line 114</v>
      </c>
      <c r="F9" s="9"/>
      <c r="G9" s="362">
        <f>'Appendix A'!G187</f>
        <v>0</v>
      </c>
    </row>
    <row r="10" spans="1:7" s="53" customFormat="1" ht="15">
      <c r="A10" s="26">
        <f>A9+1</f>
        <v>4</v>
      </c>
      <c r="B10" s="71"/>
      <c r="C10" s="281" t="str">
        <f>+'Appendix A'!C188</f>
        <v>Common %</v>
      </c>
      <c r="D10" s="42" t="str">
        <f>+'Appendix A'!E188</f>
        <v>(Line 111 / Line 112)</v>
      </c>
      <c r="E10" s="98" t="str">
        <f>"Appendix A, Line "&amp;'Appendix A'!A188&amp;""</f>
        <v>Appendix A, Line 115</v>
      </c>
      <c r="F10" s="9"/>
      <c r="G10" s="362">
        <f>'Appendix A'!G188</f>
        <v>0.5353657345029122</v>
      </c>
    </row>
    <row r="11" spans="1:7" s="53" customFormat="1" ht="15">
      <c r="A11" s="26"/>
      <c r="B11" s="71"/>
      <c r="C11" s="341"/>
      <c r="D11" s="9"/>
      <c r="E11" s="98"/>
      <c r="F11" s="9"/>
      <c r="G11" s="25"/>
    </row>
    <row r="12" spans="1:7" s="53" customFormat="1" ht="15">
      <c r="A12" s="26">
        <f>A10+1</f>
        <v>5</v>
      </c>
      <c r="B12" s="71"/>
      <c r="C12" s="341" t="str">
        <f>+'Appendix A'!C190</f>
        <v>Debt Cost</v>
      </c>
      <c r="D12" s="42" t="str">
        <f>+'Appendix A'!E190</f>
        <v>(Line 98 / Line 109)</v>
      </c>
      <c r="E12" s="98" t="str">
        <f>"Appendix A, Line "&amp;'Appendix A'!A190&amp;""</f>
        <v>Appendix A, Line 116</v>
      </c>
      <c r="F12" s="9"/>
      <c r="G12" s="192">
        <f>'Appendix A'!G190</f>
        <v>0.04549840608855754</v>
      </c>
    </row>
    <row r="13" spans="1:7" s="53" customFormat="1" ht="15">
      <c r="A13" s="26">
        <f>A12+1</f>
        <v>6</v>
      </c>
      <c r="B13" s="71"/>
      <c r="C13" s="341" t="str">
        <f>+'Appendix A'!C191</f>
        <v>Preferred Cost</v>
      </c>
      <c r="D13" s="42" t="str">
        <f>+'Appendix A'!E191</f>
        <v>(Line 99 / Line 110)</v>
      </c>
      <c r="E13" s="98" t="str">
        <f>"Appendix A, Line "&amp;'Appendix A'!A191&amp;""</f>
        <v>Appendix A, Line 117</v>
      </c>
      <c r="F13" s="9"/>
      <c r="G13" s="192">
        <f>'Appendix A'!G191</f>
        <v>0</v>
      </c>
    </row>
    <row r="14" spans="1:7" s="53" customFormat="1" ht="15">
      <c r="A14" s="26">
        <f>A13+1</f>
        <v>7</v>
      </c>
      <c r="B14" s="71"/>
      <c r="C14" s="341" t="str">
        <f>+'Appendix A'!C192</f>
        <v>Common Cost</v>
      </c>
      <c r="D14" s="184" t="s">
        <v>730</v>
      </c>
      <c r="E14" s="98" t="str">
        <f>"Appendix A, Line "&amp;'Appendix A'!A192&amp;" + 1%"</f>
        <v>Appendix A, Line 118 + 1%</v>
      </c>
      <c r="F14" s="9"/>
      <c r="G14" s="192">
        <f>+'Appendix A'!G192+'4 - 100 Basis Pt ROE'!G3</f>
        <v>0.124</v>
      </c>
    </row>
    <row r="15" spans="1:7" s="53" customFormat="1" ht="15">
      <c r="A15" s="26"/>
      <c r="B15" s="71"/>
      <c r="C15" s="341"/>
      <c r="D15" s="342"/>
      <c r="E15" s="9"/>
      <c r="F15" s="9"/>
      <c r="G15" s="744"/>
    </row>
    <row r="16" spans="1:8" s="53" customFormat="1" ht="15">
      <c r="A16" s="26">
        <f>A14+1</f>
        <v>8</v>
      </c>
      <c r="B16" s="71"/>
      <c r="C16" s="281" t="str">
        <f>+'Appendix A'!C194</f>
        <v>Weighted Cost of Debt</v>
      </c>
      <c r="D16" s="42" t="str">
        <f>+'Appendix A'!E194</f>
        <v>(Line 113 * Line 116)</v>
      </c>
      <c r="E16" s="98" t="str">
        <f>"Appendix A, Line "&amp;'Appendix A'!A194&amp;""</f>
        <v>Appendix A, Line 119</v>
      </c>
      <c r="F16" s="343"/>
      <c r="G16" s="719">
        <f>+'Appendix A'!G194</f>
        <v>0.021140118494245165</v>
      </c>
      <c r="H16" s="775"/>
    </row>
    <row r="17" spans="1:8" s="53" customFormat="1" ht="15">
      <c r="A17" s="26">
        <f>A16+1</f>
        <v>9</v>
      </c>
      <c r="B17" s="71"/>
      <c r="C17" s="281" t="str">
        <f>+'Appendix A'!C195</f>
        <v>Weighted Cost of Preferred</v>
      </c>
      <c r="D17" s="42" t="str">
        <f>+'Appendix A'!E195</f>
        <v>(Line 114 * Line 117)</v>
      </c>
      <c r="E17" s="98" t="str">
        <f>"Appendix A, Line "&amp;'Appendix A'!A195&amp;""</f>
        <v>Appendix A, Line 120</v>
      </c>
      <c r="F17" s="97"/>
      <c r="G17" s="719">
        <f>+'Appendix A'!G195</f>
        <v>0</v>
      </c>
      <c r="H17" s="775"/>
    </row>
    <row r="18" spans="1:8" s="53" customFormat="1" ht="15">
      <c r="A18" s="26">
        <f>A17+1</f>
        <v>10</v>
      </c>
      <c r="B18" s="158"/>
      <c r="C18" s="282" t="str">
        <f>+'Appendix A'!C196</f>
        <v>Weighted Cost of Common</v>
      </c>
      <c r="D18" s="103" t="str">
        <f>+'Appendix A'!E196</f>
        <v>(Line 115 * Line 118)</v>
      </c>
      <c r="E18" s="241" t="str">
        <f>"Line "&amp;A10&amp;" * Line "&amp;A14&amp;""</f>
        <v>Line 4 * Line 7</v>
      </c>
      <c r="F18" s="340"/>
      <c r="G18" s="773">
        <f>G14*G10</f>
        <v>0.06638535107836112</v>
      </c>
      <c r="H18" s="775"/>
    </row>
    <row r="19" spans="1:8" s="53" customFormat="1" ht="15">
      <c r="A19" s="26">
        <f>A18+1</f>
        <v>11</v>
      </c>
      <c r="B19" s="46"/>
      <c r="C19" s="46"/>
      <c r="D19" s="42" t="str">
        <f>+'Appendix A'!E197</f>
        <v>(Sum Lines 119 to 121)</v>
      </c>
      <c r="E19" s="98" t="str">
        <f>"Sum Lines "&amp;A16&amp;" to "&amp;A18&amp;""</f>
        <v>Sum Lines 8 to 10</v>
      </c>
      <c r="F19" s="345"/>
      <c r="G19" s="774">
        <f>SUM(G16:G18)</f>
        <v>0.08752546957260629</v>
      </c>
      <c r="H19" s="775"/>
    </row>
    <row r="20" spans="1:7" s="53" customFormat="1" ht="15">
      <c r="A20" s="44"/>
      <c r="B20" s="44"/>
      <c r="C20" s="46"/>
      <c r="D20" s="344"/>
      <c r="E20" s="119"/>
      <c r="F20" s="345"/>
      <c r="G20" s="223"/>
    </row>
    <row r="21" spans="1:7" s="53" customFormat="1" ht="15.75" thickBot="1">
      <c r="A21" s="71">
        <f>A19+1</f>
        <v>12</v>
      </c>
      <c r="B21" s="346"/>
      <c r="C21" s="347"/>
      <c r="D21" s="348" t="str">
        <f>+'Appendix A'!E199</f>
        <v>(Line 51 * Line 122)</v>
      </c>
      <c r="E21" s="347" t="str">
        <f>"Line "&amp;A19&amp;" * Line "&amp;A6&amp;""</f>
        <v>Line 11 * Line 1</v>
      </c>
      <c r="F21" s="349"/>
      <c r="G21" s="745">
        <f>+G19*G6</f>
        <v>57007914.196832925</v>
      </c>
    </row>
    <row r="22" spans="1:7" s="53" customFormat="1" ht="15" thickTop="1">
      <c r="A22" s="26"/>
      <c r="B22" s="71"/>
      <c r="C22" s="23"/>
      <c r="D22" s="86"/>
      <c r="E22" s="9"/>
      <c r="F22" s="9"/>
      <c r="G22" s="42"/>
    </row>
    <row r="23" spans="1:7" s="53" customFormat="1" ht="15">
      <c r="A23" s="129" t="str">
        <f>'Appendix A'!A201</f>
        <v>Composite Income Taxes                                                                                                       </v>
      </c>
      <c r="B23" s="112"/>
      <c r="C23" s="113"/>
      <c r="D23" s="235"/>
      <c r="E23" s="115"/>
      <c r="F23" s="115"/>
      <c r="G23" s="296"/>
    </row>
    <row r="24" spans="1:7" s="53" customFormat="1" ht="15">
      <c r="A24" s="26"/>
      <c r="B24" s="350"/>
      <c r="C24" s="52"/>
      <c r="D24" s="25"/>
      <c r="E24" s="9"/>
      <c r="F24" s="351"/>
      <c r="G24" s="42"/>
    </row>
    <row r="25" spans="1:7" s="53" customFormat="1" ht="15">
      <c r="A25" s="26">
        <f>A21+1</f>
        <v>13</v>
      </c>
      <c r="B25" s="71"/>
      <c r="C25" s="52" t="str">
        <f>'Appendix A'!C204</f>
        <v>FIT=Federal Income Tax Rate</v>
      </c>
      <c r="D25" s="86"/>
      <c r="E25" s="53" t="str">
        <f>"Appendix A, Line "&amp;'Appendix A'!A204&amp;""</f>
        <v>Appendix A, Line 124</v>
      </c>
      <c r="F25" s="30"/>
      <c r="G25" s="225">
        <f>+'Appendix A'!G204</f>
        <v>0.21</v>
      </c>
    </row>
    <row r="26" spans="1:7" s="53" customFormat="1" ht="15">
      <c r="A26" s="26">
        <f>A25+1</f>
        <v>14</v>
      </c>
      <c r="B26" s="71"/>
      <c r="C26" s="30" t="str">
        <f>'Appendix A'!C205</f>
        <v>SIT=State Income Tax Rate or Composite</v>
      </c>
      <c r="D26" s="175"/>
      <c r="E26" s="53" t="str">
        <f>"Appendix A, Line "&amp;'Appendix A'!A205&amp;""</f>
        <v>Appendix A, Line 125</v>
      </c>
      <c r="F26" s="30"/>
      <c r="G26" s="225">
        <f>+'Appendix A'!G205</f>
        <v>0.0999</v>
      </c>
    </row>
    <row r="27" spans="1:7" s="53" customFormat="1" ht="15">
      <c r="A27" s="26">
        <f>A26+1</f>
        <v>15</v>
      </c>
      <c r="B27" s="71"/>
      <c r="C27" s="30" t="str">
        <f>'Appendix A'!C206</f>
        <v>p   (percent of federal income tax deductible for state purposes)</v>
      </c>
      <c r="D27" s="86"/>
      <c r="E27" s="53" t="str">
        <f>"Appendix A, Line "&amp;'Appendix A'!A206&amp;""</f>
        <v>Appendix A, Line 126</v>
      </c>
      <c r="F27" s="30"/>
      <c r="G27" s="225">
        <f>+'Appendix A'!G206</f>
        <v>0</v>
      </c>
    </row>
    <row r="28" spans="1:7" s="53" customFormat="1" ht="15">
      <c r="A28" s="26">
        <f>A27+1</f>
        <v>16</v>
      </c>
      <c r="B28" s="71"/>
      <c r="C28" s="30" t="str">
        <f>'Appendix A'!C207</f>
        <v>T   =1 - {[(1 - SIT) * (1 - FIT)] / (1 - SIT * FIT * p)} =</v>
      </c>
      <c r="D28" s="86"/>
      <c r="E28" s="53" t="str">
        <f>"Appendix A, Line "&amp;'Appendix A'!A207&amp;""</f>
        <v>Appendix A, Line 127</v>
      </c>
      <c r="F28" s="30"/>
      <c r="G28" s="16">
        <f>IF(G25&gt;0,1-(((1-G26)*(1-G25))/(1-G26*G25*G27)),0)</f>
        <v>0.288921</v>
      </c>
    </row>
    <row r="29" spans="1:7" s="53" customFormat="1" ht="15">
      <c r="A29" s="26">
        <f>A28+1</f>
        <v>17</v>
      </c>
      <c r="B29" s="71"/>
      <c r="C29" s="30" t="str">
        <f>'Appendix A'!C208</f>
        <v>T/ (1-T)</v>
      </c>
      <c r="D29" s="86"/>
      <c r="E29" s="53" t="str">
        <f>"Appendix A, Line "&amp;'Appendix A'!A208&amp;""</f>
        <v>Appendix A, Line 128</v>
      </c>
      <c r="F29" s="30"/>
      <c r="G29" s="225">
        <f>+G28/(1-G28)</f>
        <v>0.40631350384415793</v>
      </c>
    </row>
    <row r="30" spans="1:7" s="53" customFormat="1" ht="15">
      <c r="A30" s="26"/>
      <c r="B30" s="71"/>
      <c r="C30" s="52"/>
      <c r="D30" s="353"/>
      <c r="E30" s="352"/>
      <c r="F30" s="351"/>
      <c r="G30" s="16"/>
    </row>
    <row r="31" spans="1:8" s="53" customFormat="1" ht="15">
      <c r="A31" s="26"/>
      <c r="B31" s="350" t="str">
        <f>'Appendix A'!B210</f>
        <v>ITC Adjustment</v>
      </c>
      <c r="C31" s="23"/>
      <c r="D31" s="175"/>
      <c r="E31" s="9"/>
      <c r="F31" s="351"/>
      <c r="G31" s="192"/>
      <c r="H31" s="190"/>
    </row>
    <row r="32" spans="1:7" s="53" customFormat="1" ht="15">
      <c r="A32" s="26">
        <f>A29+1</f>
        <v>18</v>
      </c>
      <c r="B32" s="71"/>
      <c r="C32" s="23" t="s">
        <v>279</v>
      </c>
      <c r="D32" s="142" t="str">
        <f>'Appendix A'!E211</f>
        <v>Attachment 1</v>
      </c>
      <c r="E32" s="53" t="str">
        <f>"Appendix A, Line "&amp;'Appendix A'!A211&amp;""</f>
        <v>Appendix A, Line 129</v>
      </c>
      <c r="G32" s="723">
        <f>'Appendix A'!G211</f>
        <v>0</v>
      </c>
    </row>
    <row r="33" spans="1:12" s="53" customFormat="1" ht="15">
      <c r="A33" s="26">
        <f>A32+1</f>
        <v>19</v>
      </c>
      <c r="B33" s="71"/>
      <c r="C33" s="23" t="str">
        <f>'Appendix A'!C212</f>
        <v>1/(1-T)</v>
      </c>
      <c r="D33" s="42" t="str">
        <f>'Appendix A'!E212</f>
        <v>1 / (1 - Line 127)</v>
      </c>
      <c r="E33" s="53" t="str">
        <f>"Appendix A, Line "&amp;'Appendix A'!A212&amp;""</f>
        <v>Appendix A, Line 130</v>
      </c>
      <c r="F33" s="351"/>
      <c r="G33" s="192">
        <f>1/(1-G28)</f>
        <v>1.4063135038441579</v>
      </c>
      <c r="H33" s="190"/>
      <c r="I33" s="190"/>
      <c r="J33" s="190"/>
      <c r="K33" s="344"/>
      <c r="L33" s="344"/>
    </row>
    <row r="34" spans="1:12" s="53" customFormat="1" ht="15">
      <c r="A34" s="26">
        <f>A33+1</f>
        <v>20</v>
      </c>
      <c r="B34" s="169"/>
      <c r="C34" s="137" t="str">
        <f>'Appendix A'!C213</f>
        <v>Net Plant Allocation Factor</v>
      </c>
      <c r="D34" s="103" t="str">
        <f>'Appendix A'!E213</f>
        <v>(Line 12)</v>
      </c>
      <c r="E34" s="241" t="str">
        <f>"Appendix A, Line "&amp;'Appendix A'!A213&amp;""</f>
        <v>Appendix A, Line 131</v>
      </c>
      <c r="F34" s="354"/>
      <c r="G34" s="355">
        <f>+'Appendix A'!G23</f>
        <v>0.243716562484718</v>
      </c>
      <c r="H34" s="190"/>
      <c r="I34" s="190"/>
      <c r="J34" s="190"/>
      <c r="K34" s="736"/>
      <c r="L34" s="191"/>
    </row>
    <row r="35" spans="1:12" s="53" customFormat="1" ht="15">
      <c r="A35" s="26">
        <f>A34+1</f>
        <v>21</v>
      </c>
      <c r="B35" s="71"/>
      <c r="C35" s="356" t="str">
        <f>'Appendix A'!C214</f>
        <v>ITC Adjustment Allocated to Transmission</v>
      </c>
      <c r="D35" s="42" t="str">
        <f>'Appendix A'!E214</f>
        <v>(Line 129 * (1 + Line 130) * Line 131)</v>
      </c>
      <c r="E35" s="53" t="str">
        <f>"Appendix A, Line "&amp;'Appendix A'!A214&amp;""</f>
        <v>Appendix A, Line 132</v>
      </c>
      <c r="F35" s="357"/>
      <c r="G35" s="718">
        <f>+G32*(1+G33)*G34</f>
        <v>0</v>
      </c>
      <c r="H35" s="190"/>
      <c r="I35" s="190"/>
      <c r="J35" s="190"/>
      <c r="K35" s="1190"/>
      <c r="L35" s="191"/>
    </row>
    <row r="36" spans="1:12" s="53" customFormat="1" ht="15">
      <c r="A36" s="26"/>
      <c r="B36" s="71"/>
      <c r="C36" s="266"/>
      <c r="D36" s="42"/>
      <c r="F36" s="354"/>
      <c r="G36" s="736"/>
      <c r="H36" s="190"/>
      <c r="I36" s="190"/>
      <c r="J36" s="190"/>
      <c r="K36" s="1190"/>
      <c r="L36" s="191"/>
    </row>
    <row r="37" spans="1:12" s="53" customFormat="1" ht="15">
      <c r="A37" s="26"/>
      <c r="B37" s="350" t="s">
        <v>881</v>
      </c>
      <c r="C37" s="1049"/>
      <c r="D37" s="42"/>
      <c r="F37" s="354"/>
      <c r="G37" s="736"/>
      <c r="H37" s="190"/>
      <c r="I37" s="190"/>
      <c r="J37" s="190"/>
      <c r="K37" s="742"/>
      <c r="L37" s="191"/>
    </row>
    <row r="38" spans="1:10" s="53" customFormat="1" ht="15">
      <c r="A38" s="71" t="s">
        <v>884</v>
      </c>
      <c r="B38" s="71"/>
      <c r="C38" s="358" t="s">
        <v>881</v>
      </c>
      <c r="D38" s="358" t="s">
        <v>1111</v>
      </c>
      <c r="E38" s="886" t="s">
        <v>1037</v>
      </c>
      <c r="F38" s="354"/>
      <c r="G38" s="740">
        <f>'Appendix A'!G217</f>
        <v>-3146608</v>
      </c>
      <c r="H38" s="190"/>
      <c r="I38" s="190"/>
      <c r="J38" s="190"/>
    </row>
    <row r="39" spans="1:12" s="53" customFormat="1" ht="15">
      <c r="A39" s="26"/>
      <c r="B39" s="71"/>
      <c r="C39" s="266"/>
      <c r="D39" s="42"/>
      <c r="F39" s="354"/>
      <c r="G39" s="736"/>
      <c r="H39" s="190"/>
      <c r="I39" s="190"/>
      <c r="J39" s="190"/>
      <c r="K39" s="190"/>
      <c r="L39" s="190"/>
    </row>
    <row r="40" spans="1:12" ht="15">
      <c r="A40" s="26">
        <f>A35+1</f>
        <v>22</v>
      </c>
      <c r="B40" s="190" t="s">
        <v>280</v>
      </c>
      <c r="C40" s="53"/>
      <c r="D40" s="24"/>
      <c r="E40" s="42" t="str">
        <f>"Line "&amp;A29&amp;"*Line "&amp;A21&amp;"*(1-(Line "&amp;A16&amp;"/Line "&amp;A19&amp;"))"</f>
        <v>Line 17*Line 12*(1-(Line 8/Line 11))</v>
      </c>
      <c r="F40" s="52"/>
      <c r="G40" s="223">
        <f>IF(G19=0,0,G29*G21*(1-(G16/G19)))</f>
        <v>17568481.054333337</v>
      </c>
      <c r="L40" s="889"/>
    </row>
    <row r="41" spans="1:7" ht="15">
      <c r="A41" s="26"/>
      <c r="B41" s="71"/>
      <c r="C41" s="358"/>
      <c r="D41" s="169"/>
      <c r="E41" s="354"/>
      <c r="F41" s="354"/>
      <c r="G41" s="312"/>
    </row>
    <row r="42" spans="1:7" ht="15.75" thickBot="1">
      <c r="A42" s="26">
        <f>A40+1</f>
        <v>23</v>
      </c>
      <c r="B42" s="346" t="str">
        <f>'Appendix A'!B221</f>
        <v>Total Income Taxes</v>
      </c>
      <c r="C42" s="346"/>
      <c r="D42" s="359"/>
      <c r="E42" s="348" t="str">
        <f>'Appendix A'!E221</f>
        <v>(Line 132 + Line 132a + Line 133)</v>
      </c>
      <c r="F42" s="360"/>
      <c r="G42" s="144">
        <f>+G40+G38+G35</f>
        <v>14421873.054333337</v>
      </c>
    </row>
    <row r="43" spans="1:7" ht="15.75" thickTop="1">
      <c r="A43" s="26"/>
      <c r="B43" s="71"/>
      <c r="C43" s="352"/>
      <c r="D43" s="86"/>
      <c r="E43" s="17"/>
      <c r="F43" s="361"/>
      <c r="G43" s="223"/>
    </row>
    <row r="44" ht="15">
      <c r="A44" s="26"/>
    </row>
    <row r="45" spans="1:7" ht="15">
      <c r="A45" s="26"/>
      <c r="G45" s="889"/>
    </row>
    <row r="46" ht="15">
      <c r="A46" s="26"/>
    </row>
    <row r="47" ht="15">
      <c r="A47" s="26"/>
    </row>
    <row r="48" ht="15">
      <c r="A48" s="26"/>
    </row>
    <row r="49" ht="15">
      <c r="A49" s="26"/>
    </row>
    <row r="50" ht="15">
      <c r="A50" s="26"/>
    </row>
    <row r="51" ht="15">
      <c r="A51" s="26"/>
    </row>
    <row r="52" ht="15">
      <c r="A52" s="26"/>
    </row>
    <row r="53" ht="15">
      <c r="A53" s="26"/>
    </row>
    <row r="54" ht="15">
      <c r="A54" s="26"/>
    </row>
    <row r="55" ht="15">
      <c r="A55" s="26"/>
    </row>
    <row r="56" ht="15">
      <c r="A56" s="26"/>
    </row>
    <row r="57" ht="15">
      <c r="A57" s="26"/>
    </row>
    <row r="58" ht="15">
      <c r="A58" s="26"/>
    </row>
    <row r="59" ht="15">
      <c r="A59" s="26"/>
    </row>
    <row r="60" ht="15">
      <c r="A60" s="26"/>
    </row>
    <row r="61" ht="15">
      <c r="A61" s="26"/>
    </row>
    <row r="267" spans="1:5" ht="12.75">
      <c r="A267" s="267"/>
      <c r="B267" s="267"/>
      <c r="C267" s="267"/>
      <c r="D267" s="267"/>
      <c r="E267" s="267"/>
    </row>
    <row r="268" spans="1:5" ht="12.75">
      <c r="A268" s="267"/>
      <c r="B268" s="267"/>
      <c r="C268" s="267"/>
      <c r="D268" s="267"/>
      <c r="E268" s="267"/>
    </row>
    <row r="269" spans="1:5" ht="12.75">
      <c r="A269" s="267"/>
      <c r="B269" s="267"/>
      <c r="C269" s="267"/>
      <c r="D269" s="267"/>
      <c r="E269" s="267"/>
    </row>
    <row r="270" spans="1:5" ht="12.75">
      <c r="A270" s="267"/>
      <c r="B270" s="267"/>
      <c r="C270" s="267"/>
      <c r="D270" s="267"/>
      <c r="E270" s="267"/>
    </row>
    <row r="271" spans="1:5" ht="12.75">
      <c r="A271" s="267"/>
      <c r="B271" s="267"/>
      <c r="C271" s="267"/>
      <c r="D271" s="267"/>
      <c r="E271" s="267"/>
    </row>
    <row r="272" spans="1:5" ht="12.75">
      <c r="A272" s="267"/>
      <c r="B272" s="267"/>
      <c r="C272" s="267"/>
      <c r="D272" s="267"/>
      <c r="E272" s="267"/>
    </row>
    <row r="273" spans="1:5" ht="12.75">
      <c r="A273" s="267"/>
      <c r="B273" s="267"/>
      <c r="C273" s="267"/>
      <c r="D273" s="267"/>
      <c r="E273" s="267"/>
    </row>
    <row r="274" spans="1:5" ht="12.75">
      <c r="A274" s="267"/>
      <c r="B274" s="267"/>
      <c r="C274" s="267"/>
      <c r="D274" s="267"/>
      <c r="E274" s="267"/>
    </row>
    <row r="275" spans="1:5" ht="12.75">
      <c r="A275" s="267"/>
      <c r="B275" s="267"/>
      <c r="C275" s="267"/>
      <c r="D275" s="267"/>
      <c r="E275" s="267"/>
    </row>
    <row r="282" spans="3:7" ht="15">
      <c r="C282" s="646"/>
      <c r="D282" s="646"/>
      <c r="E282" s="646"/>
      <c r="F282" s="646"/>
      <c r="G282" s="646"/>
    </row>
    <row r="283" spans="3:7" ht="99.75" customHeight="1">
      <c r="C283" s="646"/>
      <c r="D283" s="646"/>
      <c r="E283" s="646"/>
      <c r="F283" s="646"/>
      <c r="G283" s="646"/>
    </row>
    <row r="284" spans="3:7" ht="15">
      <c r="C284" s="646"/>
      <c r="D284" s="646"/>
      <c r="E284" s="646"/>
      <c r="F284" s="646"/>
      <c r="G284" s="646"/>
    </row>
    <row r="285" spans="3:7" ht="15">
      <c r="C285" s="646"/>
      <c r="D285" s="646"/>
      <c r="E285" s="646"/>
      <c r="F285" s="646"/>
      <c r="G285" s="646"/>
    </row>
    <row r="286" spans="3:7" ht="15">
      <c r="C286" s="646"/>
      <c r="D286" s="646"/>
      <c r="E286" s="646"/>
      <c r="F286" s="646"/>
      <c r="G286" s="646"/>
    </row>
    <row r="287" spans="3:7" ht="15">
      <c r="C287" s="646"/>
      <c r="D287" s="646"/>
      <c r="E287" s="646"/>
      <c r="F287" s="646"/>
      <c r="G287" s="646"/>
    </row>
    <row r="288" spans="3:7" ht="15">
      <c r="C288" s="646"/>
      <c r="D288" s="646"/>
      <c r="E288" s="646"/>
      <c r="F288" s="646"/>
      <c r="G288" s="646"/>
    </row>
    <row r="289" spans="3:7" ht="15">
      <c r="C289" s="646"/>
      <c r="D289" s="646"/>
      <c r="E289" s="646"/>
      <c r="F289" s="646"/>
      <c r="G289" s="646"/>
    </row>
    <row r="290" spans="3:7" ht="15">
      <c r="C290" s="646"/>
      <c r="D290" s="646"/>
      <c r="E290" s="646"/>
      <c r="F290" s="646"/>
      <c r="G290" s="646"/>
    </row>
    <row r="291" spans="3:7" ht="15">
      <c r="C291" s="646"/>
      <c r="D291" s="646"/>
      <c r="E291" s="646"/>
      <c r="F291" s="646"/>
      <c r="G291" s="646"/>
    </row>
    <row r="292" spans="3:7" ht="15">
      <c r="C292" s="646"/>
      <c r="D292" s="646"/>
      <c r="E292" s="646"/>
      <c r="F292" s="646"/>
      <c r="G292" s="646"/>
    </row>
    <row r="293" spans="3:7" ht="15">
      <c r="C293" s="646"/>
      <c r="D293" s="646"/>
      <c r="E293" s="646"/>
      <c r="F293" s="646"/>
      <c r="G293" s="646"/>
    </row>
    <row r="294" spans="3:7" ht="15">
      <c r="C294" s="646"/>
      <c r="D294" s="646"/>
      <c r="E294" s="646"/>
      <c r="F294" s="646"/>
      <c r="G294" s="646"/>
    </row>
    <row r="295" spans="3:7" ht="15">
      <c r="C295" s="646"/>
      <c r="D295" s="646"/>
      <c r="E295" s="646"/>
      <c r="F295" s="646"/>
      <c r="G295" s="646"/>
    </row>
    <row r="296" spans="3:7" ht="15">
      <c r="C296" s="646"/>
      <c r="D296" s="646"/>
      <c r="E296" s="646"/>
      <c r="F296" s="646"/>
      <c r="G296" s="646"/>
    </row>
    <row r="297" spans="3:7" ht="15">
      <c r="C297" s="646"/>
      <c r="D297" s="646"/>
      <c r="E297" s="646"/>
      <c r="F297" s="646"/>
      <c r="G297" s="646"/>
    </row>
    <row r="298" spans="3:7" ht="15">
      <c r="C298" s="646"/>
      <c r="D298" s="646"/>
      <c r="E298" s="646"/>
      <c r="F298" s="646"/>
      <c r="G298" s="646"/>
    </row>
    <row r="299" spans="3:7" ht="15">
      <c r="C299" s="646"/>
      <c r="D299" s="646"/>
      <c r="E299" s="646"/>
      <c r="F299" s="646"/>
      <c r="G299" s="646"/>
    </row>
    <row r="300" spans="3:7" ht="15">
      <c r="C300" s="646"/>
      <c r="D300" s="646"/>
      <c r="E300" s="646"/>
      <c r="F300" s="646"/>
      <c r="G300" s="646"/>
    </row>
    <row r="301" spans="3:7" ht="15">
      <c r="C301" s="646"/>
      <c r="D301" s="646"/>
      <c r="E301" s="646"/>
      <c r="F301" s="646"/>
      <c r="G301" s="646"/>
    </row>
    <row r="302" spans="3:7" ht="15">
      <c r="C302" s="646"/>
      <c r="D302" s="646"/>
      <c r="E302" s="646"/>
      <c r="F302" s="646"/>
      <c r="G302" s="646"/>
    </row>
    <row r="303" spans="2:7" ht="15">
      <c r="B303" s="407"/>
      <c r="C303" s="646"/>
      <c r="D303" s="646"/>
      <c r="E303" s="646"/>
      <c r="F303" s="646"/>
      <c r="G303" s="646"/>
    </row>
    <row r="304" spans="2:7" ht="40.5" customHeight="1">
      <c r="B304" s="407"/>
      <c r="C304" s="646"/>
      <c r="D304" s="646"/>
      <c r="E304" s="646"/>
      <c r="F304" s="646"/>
      <c r="G304" s="646"/>
    </row>
    <row r="305" spans="3:7" ht="15">
      <c r="C305" s="646"/>
      <c r="D305" s="646"/>
      <c r="E305" s="646"/>
      <c r="F305" s="646"/>
      <c r="G305" s="646"/>
    </row>
  </sheetData>
  <sheetProtection/>
  <printOptions/>
  <pageMargins left="0.75" right="0.75" top="1" bottom="1" header="0.5" footer="0.5"/>
  <pageSetup fitToHeight="1" fitToWidth="1" horizontalDpi="600" verticalDpi="600" orientation="portrait" scale="55" r:id="rId1"/>
  <headerFooter alignWithMargins="0">
    <oddHeader>&amp;CDuquesne Light Company
Attachment H -17A
Attachment 4 - Calculation of 100 Basis Point Increase in ROE&amp;RPage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G357"/>
  <sheetViews>
    <sheetView zoomScale="70" zoomScaleNormal="70" zoomScaleSheetLayoutView="70" workbookViewId="0" topLeftCell="A316">
      <selection activeCell="C343" sqref="C343:D354"/>
    </sheetView>
  </sheetViews>
  <sheetFormatPr defaultColWidth="9.140625" defaultRowHeight="12.75"/>
  <cols>
    <col min="1" max="1" width="6.421875" style="278" customWidth="1"/>
    <col min="2" max="2" width="6.00390625" style="278" customWidth="1"/>
    <col min="3" max="3" width="82.57421875" style="278" customWidth="1"/>
    <col min="4" max="5" width="24.00390625" style="278" customWidth="1"/>
    <col min="6" max="6" width="23.00390625" style="278" customWidth="1"/>
    <col min="7" max="7" width="24.57421875" style="278" bestFit="1" customWidth="1"/>
    <col min="8" max="8" width="25.28125" style="278" bestFit="1" customWidth="1"/>
    <col min="9" max="9" width="26.8515625" style="278" customWidth="1"/>
    <col min="10" max="10" width="14.421875" style="278" customWidth="1"/>
    <col min="11" max="11" width="13.8515625" style="278" customWidth="1"/>
    <col min="12" max="12" width="16.140625" style="278" customWidth="1"/>
    <col min="13" max="13" width="9.7109375" style="278" customWidth="1"/>
    <col min="14" max="14" width="9.140625" style="278" customWidth="1"/>
    <col min="15" max="15" width="14.140625" style="278" customWidth="1"/>
    <col min="16" max="18" width="9.140625" style="278" customWidth="1"/>
    <col min="19" max="19" width="3.00390625" style="278" customWidth="1"/>
    <col min="20" max="20" width="11.00390625" style="278" bestFit="1" customWidth="1"/>
    <col min="21" max="21" width="10.421875" style="278" bestFit="1" customWidth="1"/>
    <col min="22" max="16384" width="9.140625" style="278" customWidth="1"/>
  </cols>
  <sheetData>
    <row r="1" ht="13.5" thickBot="1">
      <c r="A1" s="797" t="s">
        <v>760</v>
      </c>
    </row>
    <row r="2" spans="1:13" ht="12.75">
      <c r="A2" s="1430" t="s">
        <v>50</v>
      </c>
      <c r="B2" s="1431"/>
      <c r="C2" s="1431"/>
      <c r="D2" s="1431"/>
      <c r="E2" s="1431"/>
      <c r="F2" s="1432"/>
      <c r="G2" s="634"/>
      <c r="H2" s="474"/>
      <c r="I2" s="474"/>
      <c r="J2" s="1433" t="s">
        <v>566</v>
      </c>
      <c r="K2" s="1434"/>
      <c r="L2" s="1434"/>
      <c r="M2" s="1435"/>
    </row>
    <row r="3" spans="1:28" ht="17.25">
      <c r="A3" s="500"/>
      <c r="B3" s="537"/>
      <c r="C3" s="550" t="s">
        <v>740</v>
      </c>
      <c r="D3" s="455" t="s">
        <v>748</v>
      </c>
      <c r="E3" s="464"/>
      <c r="F3" s="803" t="s">
        <v>666</v>
      </c>
      <c r="G3" s="556" t="s">
        <v>667</v>
      </c>
      <c r="H3" s="455"/>
      <c r="I3" s="455"/>
      <c r="J3" s="458"/>
      <c r="K3" s="458"/>
      <c r="L3" s="458"/>
      <c r="M3" s="459"/>
      <c r="O3" s="1016"/>
      <c r="P3" s="200"/>
      <c r="Q3" s="200"/>
      <c r="R3" s="200"/>
      <c r="S3" s="200"/>
      <c r="T3" s="200"/>
      <c r="U3" s="200"/>
      <c r="V3" s="200"/>
      <c r="W3" s="200"/>
      <c r="X3" s="200"/>
      <c r="Y3" s="200"/>
      <c r="Z3" s="200"/>
      <c r="AA3" s="200"/>
      <c r="AB3" s="200"/>
    </row>
    <row r="4" spans="1:13" ht="15">
      <c r="A4" s="457"/>
      <c r="B4" s="297"/>
      <c r="C4" s="297" t="s">
        <v>741</v>
      </c>
      <c r="D4" s="74" t="s">
        <v>754</v>
      </c>
      <c r="E4" s="1005" t="s">
        <v>982</v>
      </c>
      <c r="F4" s="1006">
        <v>946921572</v>
      </c>
      <c r="G4" s="679"/>
      <c r="H4" s="409"/>
      <c r="I4" s="461"/>
      <c r="J4" s="458"/>
      <c r="K4" s="458"/>
      <c r="L4" s="458"/>
      <c r="M4" s="459"/>
    </row>
    <row r="5" spans="1:13" ht="12.75">
      <c r="A5" s="500"/>
      <c r="B5" s="537"/>
      <c r="C5" s="507" t="s">
        <v>742</v>
      </c>
      <c r="D5" s="496" t="s">
        <v>85</v>
      </c>
      <c r="E5" s="1005" t="s">
        <v>1106</v>
      </c>
      <c r="F5" s="1008">
        <v>947084194.77</v>
      </c>
      <c r="G5" s="679"/>
      <c r="H5" s="961"/>
      <c r="I5" s="961"/>
      <c r="J5" s="458"/>
      <c r="K5" s="458"/>
      <c r="L5" s="458"/>
      <c r="M5" s="459"/>
    </row>
    <row r="6" spans="1:13" ht="12.75">
      <c r="A6" s="502"/>
      <c r="B6" s="499"/>
      <c r="C6" s="228" t="s">
        <v>743</v>
      </c>
      <c r="D6" s="496" t="s">
        <v>85</v>
      </c>
      <c r="E6" s="1005" t="s">
        <v>1106</v>
      </c>
      <c r="F6" s="1008">
        <v>948030453.11</v>
      </c>
      <c r="G6" s="679"/>
      <c r="H6" s="961"/>
      <c r="I6" s="769"/>
      <c r="J6" s="458"/>
      <c r="K6" s="458"/>
      <c r="L6" s="458"/>
      <c r="M6" s="459"/>
    </row>
    <row r="7" spans="1:13" ht="12.75">
      <c r="A7" s="502"/>
      <c r="B7" s="499"/>
      <c r="C7" s="228" t="s">
        <v>225</v>
      </c>
      <c r="D7" s="496" t="s">
        <v>85</v>
      </c>
      <c r="E7" s="1005" t="s">
        <v>1106</v>
      </c>
      <c r="F7" s="1008">
        <v>947595474.21</v>
      </c>
      <c r="G7" s="679"/>
      <c r="H7" s="961"/>
      <c r="I7" s="769"/>
      <c r="J7" s="458"/>
      <c r="K7" s="458"/>
      <c r="L7" s="458"/>
      <c r="M7" s="459"/>
    </row>
    <row r="8" spans="1:13" ht="12.75">
      <c r="A8" s="500"/>
      <c r="B8" s="455"/>
      <c r="C8" s="507" t="s">
        <v>614</v>
      </c>
      <c r="D8" s="496" t="s">
        <v>85</v>
      </c>
      <c r="E8" s="1005" t="s">
        <v>1106</v>
      </c>
      <c r="F8" s="1008">
        <v>949471894</v>
      </c>
      <c r="G8" s="679"/>
      <c r="H8" s="961"/>
      <c r="I8" s="769"/>
      <c r="J8" s="458"/>
      <c r="K8" s="458"/>
      <c r="L8" s="458"/>
      <c r="M8" s="459"/>
    </row>
    <row r="9" spans="1:13" ht="12.75">
      <c r="A9" s="502"/>
      <c r="B9" s="537"/>
      <c r="C9" s="228" t="s">
        <v>615</v>
      </c>
      <c r="D9" s="496" t="s">
        <v>85</v>
      </c>
      <c r="E9" s="1005" t="s">
        <v>1106</v>
      </c>
      <c r="F9" s="1008">
        <v>962141795.52</v>
      </c>
      <c r="G9" s="679"/>
      <c r="H9" s="496"/>
      <c r="I9" s="496"/>
      <c r="J9" s="455"/>
      <c r="K9" s="455"/>
      <c r="L9" s="455"/>
      <c r="M9" s="492"/>
    </row>
    <row r="10" spans="1:13" ht="12.75">
      <c r="A10" s="502"/>
      <c r="B10" s="455"/>
      <c r="C10" s="228" t="s">
        <v>744</v>
      </c>
      <c r="D10" s="496" t="s">
        <v>85</v>
      </c>
      <c r="E10" s="1005" t="s">
        <v>1106</v>
      </c>
      <c r="F10" s="1008">
        <v>981499267.23</v>
      </c>
      <c r="G10" s="679"/>
      <c r="H10" s="409"/>
      <c r="I10" s="461"/>
      <c r="J10" s="458"/>
      <c r="K10" s="458"/>
      <c r="L10" s="458"/>
      <c r="M10" s="459"/>
    </row>
    <row r="11" spans="1:13" ht="12.75">
      <c r="A11" s="500"/>
      <c r="B11" s="537"/>
      <c r="C11" s="507" t="s">
        <v>745</v>
      </c>
      <c r="D11" s="496" t="s">
        <v>85</v>
      </c>
      <c r="E11" s="1005" t="s">
        <v>1106</v>
      </c>
      <c r="F11" s="1008">
        <v>981323056.34</v>
      </c>
      <c r="G11" s="679"/>
      <c r="H11" s="933"/>
      <c r="I11" s="496"/>
      <c r="J11" s="458"/>
      <c r="K11" s="458"/>
      <c r="L11" s="458"/>
      <c r="M11" s="459"/>
    </row>
    <row r="12" spans="1:13" ht="12.75">
      <c r="A12" s="502"/>
      <c r="B12" s="499"/>
      <c r="C12" s="228" t="s">
        <v>746</v>
      </c>
      <c r="D12" s="496" t="s">
        <v>85</v>
      </c>
      <c r="E12" s="1005" t="s">
        <v>1106</v>
      </c>
      <c r="F12" s="1008">
        <v>982115780.75</v>
      </c>
      <c r="G12" s="679"/>
      <c r="H12" s="409"/>
      <c r="I12" s="409"/>
      <c r="J12" s="458"/>
      <c r="K12" s="458"/>
      <c r="L12" s="458"/>
      <c r="M12" s="459"/>
    </row>
    <row r="13" spans="1:13" ht="12.75">
      <c r="A13" s="502"/>
      <c r="B13" s="499"/>
      <c r="C13" s="228" t="s">
        <v>747</v>
      </c>
      <c r="D13" s="496" t="s">
        <v>85</v>
      </c>
      <c r="E13" s="1005" t="s">
        <v>1106</v>
      </c>
      <c r="F13" s="1008">
        <v>982347482.45</v>
      </c>
      <c r="G13" s="679"/>
      <c r="H13" s="409"/>
      <c r="I13" s="409"/>
      <c r="J13" s="458"/>
      <c r="K13" s="458"/>
      <c r="L13" s="458"/>
      <c r="M13" s="459"/>
    </row>
    <row r="14" spans="1:13" ht="12.75">
      <c r="A14" s="500"/>
      <c r="B14" s="455"/>
      <c r="C14" s="507" t="s">
        <v>646</v>
      </c>
      <c r="D14" s="496" t="s">
        <v>85</v>
      </c>
      <c r="E14" s="1005" t="s">
        <v>1106</v>
      </c>
      <c r="F14" s="1008">
        <v>981992719.93</v>
      </c>
      <c r="G14" s="679"/>
      <c r="H14" s="409"/>
      <c r="I14" s="409"/>
      <c r="J14" s="458"/>
      <c r="K14" s="458"/>
      <c r="L14" s="458"/>
      <c r="M14" s="459"/>
    </row>
    <row r="15" spans="1:13" ht="12.75">
      <c r="A15" s="500"/>
      <c r="B15" s="455"/>
      <c r="C15" s="507" t="s">
        <v>647</v>
      </c>
      <c r="D15" s="496" t="s">
        <v>85</v>
      </c>
      <c r="E15" s="1005" t="s">
        <v>1106</v>
      </c>
      <c r="F15" s="1008">
        <v>983352306.07</v>
      </c>
      <c r="G15" s="679"/>
      <c r="H15" s="409"/>
      <c r="I15" s="409"/>
      <c r="J15" s="458"/>
      <c r="K15" s="458"/>
      <c r="L15" s="458"/>
      <c r="M15" s="459"/>
    </row>
    <row r="16" spans="1:13" ht="15">
      <c r="A16" s="502"/>
      <c r="B16" s="537"/>
      <c r="C16" s="551" t="s">
        <v>741</v>
      </c>
      <c r="D16" s="103" t="s">
        <v>327</v>
      </c>
      <c r="E16" s="1007" t="s">
        <v>1106</v>
      </c>
      <c r="F16" s="1009">
        <v>996230126</v>
      </c>
      <c r="G16" s="982">
        <f>+F16</f>
        <v>996230126</v>
      </c>
      <c r="H16" s="937"/>
      <c r="I16" s="961"/>
      <c r="J16" s="455"/>
      <c r="K16" s="455"/>
      <c r="L16" s="1134"/>
      <c r="M16" s="492"/>
    </row>
    <row r="17" spans="1:13" ht="12.75">
      <c r="A17" s="502">
        <f>'Appendix A'!A28</f>
        <v>13</v>
      </c>
      <c r="B17" s="455"/>
      <c r="C17" s="506" t="str">
        <f>'Appendix A'!C28</f>
        <v>Transmission Plant In Service</v>
      </c>
      <c r="D17" s="455"/>
      <c r="F17" s="552">
        <f>AVERAGE(F4:F16)</f>
        <v>968469701.7215385</v>
      </c>
      <c r="G17" s="933">
        <f>+G16</f>
        <v>996230126</v>
      </c>
      <c r="H17" s="496"/>
      <c r="I17" s="496"/>
      <c r="J17" s="458"/>
      <c r="K17" s="458"/>
      <c r="L17" s="458"/>
      <c r="M17" s="459"/>
    </row>
    <row r="18" spans="1:13" ht="12.75">
      <c r="A18" s="502"/>
      <c r="B18" s="499"/>
      <c r="C18" s="228"/>
      <c r="D18" s="455"/>
      <c r="E18" s="503"/>
      <c r="F18" s="466"/>
      <c r="G18" s="661"/>
      <c r="H18" s="409"/>
      <c r="I18" s="409"/>
      <c r="J18" s="458"/>
      <c r="K18" s="458"/>
      <c r="L18" s="458"/>
      <c r="M18" s="459"/>
    </row>
    <row r="19" spans="1:13" ht="12.75">
      <c r="A19" s="500"/>
      <c r="B19" s="537"/>
      <c r="C19" s="550" t="s">
        <v>755</v>
      </c>
      <c r="D19" s="455" t="s">
        <v>748</v>
      </c>
      <c r="E19" s="409"/>
      <c r="F19" s="466"/>
      <c r="G19" s="661"/>
      <c r="H19" s="496"/>
      <c r="I19" s="496"/>
      <c r="J19" s="458"/>
      <c r="K19" s="458"/>
      <c r="L19" s="458"/>
      <c r="M19" s="459"/>
    </row>
    <row r="20" spans="1:13" ht="15">
      <c r="A20" s="457"/>
      <c r="B20" s="297"/>
      <c r="C20" s="297" t="s">
        <v>741</v>
      </c>
      <c r="D20" s="42" t="s">
        <v>753</v>
      </c>
      <c r="E20" s="1005" t="s">
        <v>982</v>
      </c>
      <c r="F20" s="1006">
        <v>2918899873</v>
      </c>
      <c r="G20" s="693"/>
      <c r="H20" s="693"/>
      <c r="I20" s="769"/>
      <c r="J20" s="458"/>
      <c r="K20" s="458"/>
      <c r="L20" s="458"/>
      <c r="M20" s="459"/>
    </row>
    <row r="21" spans="1:13" ht="12.75">
      <c r="A21" s="500"/>
      <c r="B21" s="537"/>
      <c r="C21" s="507" t="s">
        <v>742</v>
      </c>
      <c r="D21" s="496" t="s">
        <v>85</v>
      </c>
      <c r="E21" s="1005" t="s">
        <v>1106</v>
      </c>
      <c r="F21" s="1008">
        <v>2924398816.52</v>
      </c>
      <c r="G21" s="661"/>
      <c r="H21" s="961"/>
      <c r="I21" s="961"/>
      <c r="J21" s="458"/>
      <c r="K21" s="458"/>
      <c r="L21" s="458"/>
      <c r="M21" s="459"/>
    </row>
    <row r="22" spans="1:13" ht="12.75">
      <c r="A22" s="502"/>
      <c r="B22" s="499"/>
      <c r="C22" s="228" t="s">
        <v>743</v>
      </c>
      <c r="D22" s="496" t="s">
        <v>85</v>
      </c>
      <c r="E22" s="1005" t="s">
        <v>1106</v>
      </c>
      <c r="F22" s="1008">
        <v>2938030254</v>
      </c>
      <c r="G22" s="661"/>
      <c r="H22" s="961"/>
      <c r="I22" s="769"/>
      <c r="J22" s="458"/>
      <c r="K22" s="458"/>
      <c r="L22" s="458"/>
      <c r="M22" s="459"/>
    </row>
    <row r="23" spans="1:13" ht="12.75">
      <c r="A23" s="502"/>
      <c r="B23" s="499"/>
      <c r="C23" s="228" t="s">
        <v>225</v>
      </c>
      <c r="D23" s="496" t="s">
        <v>85</v>
      </c>
      <c r="E23" s="1005" t="s">
        <v>1106</v>
      </c>
      <c r="F23" s="1008">
        <v>2950007002.91</v>
      </c>
      <c r="G23" s="661"/>
      <c r="H23" s="961"/>
      <c r="I23" s="769"/>
      <c r="J23" s="458"/>
      <c r="K23" s="458"/>
      <c r="L23" s="458"/>
      <c r="M23" s="459"/>
    </row>
    <row r="24" spans="1:13" ht="12.75">
      <c r="A24" s="500"/>
      <c r="B24" s="455"/>
      <c r="C24" s="507" t="s">
        <v>614</v>
      </c>
      <c r="D24" s="496" t="s">
        <v>85</v>
      </c>
      <c r="E24" s="1005" t="s">
        <v>1106</v>
      </c>
      <c r="F24" s="1008">
        <v>2965511819.38</v>
      </c>
      <c r="G24" s="661"/>
      <c r="H24" s="961"/>
      <c r="I24" s="769"/>
      <c r="J24" s="458"/>
      <c r="K24" s="458"/>
      <c r="L24" s="458"/>
      <c r="M24" s="459"/>
    </row>
    <row r="25" spans="1:13" ht="12.75">
      <c r="A25" s="502"/>
      <c r="B25" s="537"/>
      <c r="C25" s="228" t="s">
        <v>615</v>
      </c>
      <c r="D25" s="496" t="s">
        <v>85</v>
      </c>
      <c r="E25" s="1005" t="s">
        <v>1106</v>
      </c>
      <c r="F25" s="1008">
        <v>2976137455.37</v>
      </c>
      <c r="G25" s="661"/>
      <c r="H25" s="1358"/>
      <c r="I25" s="549"/>
      <c r="J25" s="455"/>
      <c r="K25" s="455"/>
      <c r="L25" s="496"/>
      <c r="M25" s="492"/>
    </row>
    <row r="26" spans="1:13" ht="12.75">
      <c r="A26" s="502"/>
      <c r="B26" s="455"/>
      <c r="C26" s="228" t="s">
        <v>744</v>
      </c>
      <c r="D26" s="496" t="s">
        <v>85</v>
      </c>
      <c r="E26" s="1005" t="s">
        <v>1106</v>
      </c>
      <c r="F26" s="1008">
        <v>2990441996.61</v>
      </c>
      <c r="G26" s="661"/>
      <c r="H26" s="409"/>
      <c r="I26" s="461"/>
      <c r="J26" s="458"/>
      <c r="K26" s="458"/>
      <c r="L26" s="458"/>
      <c r="M26" s="459"/>
    </row>
    <row r="27" spans="1:13" ht="12.75">
      <c r="A27" s="500"/>
      <c r="B27" s="537"/>
      <c r="C27" s="507" t="s">
        <v>745</v>
      </c>
      <c r="D27" s="496" t="s">
        <v>85</v>
      </c>
      <c r="E27" s="1005" t="s">
        <v>1106</v>
      </c>
      <c r="F27" s="1008">
        <v>2994723637.78</v>
      </c>
      <c r="G27" s="661"/>
      <c r="H27" s="496"/>
      <c r="I27" s="496"/>
      <c r="J27" s="458"/>
      <c r="K27" s="458"/>
      <c r="L27" s="458"/>
      <c r="M27" s="459"/>
    </row>
    <row r="28" spans="1:13" ht="12.75">
      <c r="A28" s="502"/>
      <c r="B28" s="499"/>
      <c r="C28" s="228" t="s">
        <v>746</v>
      </c>
      <c r="D28" s="496" t="s">
        <v>85</v>
      </c>
      <c r="E28" s="1005" t="s">
        <v>1106</v>
      </c>
      <c r="F28" s="1008">
        <v>3021344808.37</v>
      </c>
      <c r="G28" s="661"/>
      <c r="H28" s="409"/>
      <c r="I28" s="409"/>
      <c r="J28" s="458"/>
      <c r="K28" s="458"/>
      <c r="L28" s="458"/>
      <c r="M28" s="459"/>
    </row>
    <row r="29" spans="1:13" ht="12.75">
      <c r="A29" s="502"/>
      <c r="B29" s="499"/>
      <c r="C29" s="228" t="s">
        <v>747</v>
      </c>
      <c r="D29" s="496" t="s">
        <v>85</v>
      </c>
      <c r="E29" s="1005" t="s">
        <v>1106</v>
      </c>
      <c r="F29" s="1008">
        <v>3034477975.28</v>
      </c>
      <c r="G29" s="661"/>
      <c r="H29" s="409"/>
      <c r="I29" s="409"/>
      <c r="J29" s="458"/>
      <c r="K29" s="458"/>
      <c r="L29" s="458"/>
      <c r="M29" s="459"/>
    </row>
    <row r="30" spans="1:13" ht="12.75">
      <c r="A30" s="500"/>
      <c r="B30" s="455"/>
      <c r="C30" s="507" t="s">
        <v>648</v>
      </c>
      <c r="D30" s="496" t="s">
        <v>85</v>
      </c>
      <c r="E30" s="1005" t="s">
        <v>1106</v>
      </c>
      <c r="F30" s="1008">
        <v>3048334443.04</v>
      </c>
      <c r="G30" s="661"/>
      <c r="H30" s="409"/>
      <c r="I30" s="409"/>
      <c r="J30" s="458"/>
      <c r="K30" s="458"/>
      <c r="L30" s="458"/>
      <c r="M30" s="459"/>
    </row>
    <row r="31" spans="1:13" ht="12.75">
      <c r="A31" s="500"/>
      <c r="B31" s="455"/>
      <c r="C31" s="507" t="s">
        <v>647</v>
      </c>
      <c r="D31" s="496" t="s">
        <v>85</v>
      </c>
      <c r="E31" s="1005" t="s">
        <v>1106</v>
      </c>
      <c r="F31" s="1008">
        <v>3060634248.78</v>
      </c>
      <c r="G31" s="661"/>
      <c r="H31" s="409"/>
      <c r="I31" s="409"/>
      <c r="J31" s="458"/>
      <c r="K31" s="458"/>
      <c r="L31" s="458"/>
      <c r="M31" s="459"/>
    </row>
    <row r="32" spans="1:13" ht="15">
      <c r="A32" s="502"/>
      <c r="B32" s="537"/>
      <c r="C32" s="551" t="s">
        <v>741</v>
      </c>
      <c r="D32" s="103" t="s">
        <v>752</v>
      </c>
      <c r="E32" s="1007" t="s">
        <v>1106</v>
      </c>
      <c r="F32" s="1009">
        <v>3076685101</v>
      </c>
      <c r="G32" s="982">
        <f>+F32</f>
        <v>3076685101</v>
      </c>
      <c r="H32" s="693"/>
      <c r="I32" s="961"/>
      <c r="J32" s="455"/>
      <c r="K32" s="455"/>
      <c r="L32" s="1134"/>
      <c r="M32" s="492"/>
    </row>
    <row r="33" spans="1:13" ht="12.75">
      <c r="A33" s="502"/>
      <c r="B33" s="455"/>
      <c r="C33" s="506" t="s">
        <v>759</v>
      </c>
      <c r="D33" s="455"/>
      <c r="E33" s="504"/>
      <c r="F33" s="552">
        <f>AVERAGE(F20:F32)</f>
        <v>2992279033.233846</v>
      </c>
      <c r="G33" s="933">
        <f>+G32</f>
        <v>3076685101</v>
      </c>
      <c r="H33" s="496"/>
      <c r="I33" s="496"/>
      <c r="J33" s="458"/>
      <c r="K33" s="458"/>
      <c r="L33" s="458"/>
      <c r="M33" s="459"/>
    </row>
    <row r="34" spans="1:13" ht="12.75">
      <c r="A34" s="502"/>
      <c r="B34" s="499"/>
      <c r="C34" s="228"/>
      <c r="D34" s="455"/>
      <c r="E34" s="503"/>
      <c r="F34" s="520"/>
      <c r="G34" s="661"/>
      <c r="H34" s="409"/>
      <c r="I34" s="409"/>
      <c r="J34" s="458"/>
      <c r="K34" s="458"/>
      <c r="L34" s="458"/>
      <c r="M34" s="459"/>
    </row>
    <row r="35" spans="1:13" ht="12.75">
      <c r="A35" s="500"/>
      <c r="B35" s="537"/>
      <c r="C35" s="550" t="s">
        <v>750</v>
      </c>
      <c r="D35" s="455" t="s">
        <v>748</v>
      </c>
      <c r="E35" s="409"/>
      <c r="F35" s="492"/>
      <c r="G35" s="496"/>
      <c r="H35" s="496"/>
      <c r="I35" s="496"/>
      <c r="J35" s="458"/>
      <c r="K35" s="458"/>
      <c r="L35" s="458"/>
      <c r="M35" s="459"/>
    </row>
    <row r="36" spans="1:13" ht="15">
      <c r="A36" s="457"/>
      <c r="B36" s="297"/>
      <c r="C36" s="297" t="s">
        <v>741</v>
      </c>
      <c r="D36" s="42" t="s">
        <v>188</v>
      </c>
      <c r="E36" s="1005" t="s">
        <v>982</v>
      </c>
      <c r="F36" s="1010">
        <v>325652222</v>
      </c>
      <c r="G36" s="661"/>
      <c r="H36" s="329"/>
      <c r="I36" s="329"/>
      <c r="J36" s="458"/>
      <c r="K36" s="458"/>
      <c r="L36" s="458"/>
      <c r="M36" s="459"/>
    </row>
    <row r="37" spans="1:13" ht="15">
      <c r="A37" s="502"/>
      <c r="B37" s="537"/>
      <c r="C37" s="551" t="s">
        <v>741</v>
      </c>
      <c r="D37" s="103" t="s">
        <v>189</v>
      </c>
      <c r="E37" s="1007" t="s">
        <v>1106</v>
      </c>
      <c r="F37" s="1011">
        <v>336394159</v>
      </c>
      <c r="G37" s="982">
        <f>+F37</f>
        <v>336394159</v>
      </c>
      <c r="H37" s="409"/>
      <c r="I37" s="496"/>
      <c r="J37" s="455"/>
      <c r="K37" s="455"/>
      <c r="L37" s="455"/>
      <c r="M37" s="492"/>
    </row>
    <row r="38" spans="1:13" ht="12.75">
      <c r="A38" s="502">
        <f>+'Appendix A'!A32</f>
        <v>16</v>
      </c>
      <c r="B38" s="455"/>
      <c r="C38" s="506" t="s">
        <v>757</v>
      </c>
      <c r="D38" s="455"/>
      <c r="E38" s="504"/>
      <c r="F38" s="552">
        <f>AVERAGE(F36:F37)</f>
        <v>331023190.5</v>
      </c>
      <c r="G38" s="933">
        <f>+G37</f>
        <v>336394159</v>
      </c>
      <c r="H38" s="496"/>
      <c r="I38" s="291"/>
      <c r="J38" s="458"/>
      <c r="K38" s="458"/>
      <c r="L38" s="458"/>
      <c r="M38" s="459"/>
    </row>
    <row r="39" spans="1:13" ht="12.75">
      <c r="A39" s="500"/>
      <c r="B39" s="455"/>
      <c r="C39" s="507"/>
      <c r="D39" s="455"/>
      <c r="E39" s="881"/>
      <c r="F39" s="521"/>
      <c r="G39" s="661"/>
      <c r="H39" s="409"/>
      <c r="I39" s="409"/>
      <c r="J39" s="458"/>
      <c r="K39" s="458"/>
      <c r="L39" s="458"/>
      <c r="M39" s="459"/>
    </row>
    <row r="40" spans="1:13" ht="12.75">
      <c r="A40" s="500"/>
      <c r="B40" s="537"/>
      <c r="C40" s="550" t="s">
        <v>751</v>
      </c>
      <c r="D40" s="455" t="s">
        <v>748</v>
      </c>
      <c r="E40" s="409"/>
      <c r="F40" s="492"/>
      <c r="G40" s="496"/>
      <c r="H40" s="937"/>
      <c r="I40" s="496"/>
      <c r="J40" s="458"/>
      <c r="K40" s="458"/>
      <c r="L40" s="458"/>
      <c r="M40" s="459"/>
    </row>
    <row r="41" spans="1:13" ht="15">
      <c r="A41" s="457"/>
      <c r="B41" s="297"/>
      <c r="C41" s="297" t="s">
        <v>741</v>
      </c>
      <c r="D41" s="42" t="s">
        <v>201</v>
      </c>
      <c r="E41" s="1005" t="s">
        <v>982</v>
      </c>
      <c r="F41" s="1010">
        <v>377082641</v>
      </c>
      <c r="G41" s="661"/>
      <c r="H41" s="409"/>
      <c r="I41" s="461"/>
      <c r="J41" s="458"/>
      <c r="K41" s="458"/>
      <c r="L41" s="458"/>
      <c r="M41" s="459"/>
    </row>
    <row r="42" spans="1:13" ht="15">
      <c r="A42" s="502"/>
      <c r="B42" s="537"/>
      <c r="C42" s="551" t="s">
        <v>741</v>
      </c>
      <c r="D42" s="103" t="s">
        <v>202</v>
      </c>
      <c r="E42" s="1007" t="s">
        <v>1106</v>
      </c>
      <c r="F42" s="1011">
        <v>379452438</v>
      </c>
      <c r="G42" s="982">
        <f>+F42</f>
        <v>379452438</v>
      </c>
      <c r="H42" s="937"/>
      <c r="I42" s="496"/>
      <c r="J42" s="455"/>
      <c r="K42" s="455"/>
      <c r="L42" s="455"/>
      <c r="M42" s="492"/>
    </row>
    <row r="43" spans="1:13" ht="12.75">
      <c r="A43" s="502">
        <f>+'Appendix A'!A32</f>
        <v>16</v>
      </c>
      <c r="B43" s="455"/>
      <c r="C43" s="506" t="s">
        <v>758</v>
      </c>
      <c r="D43" s="455"/>
      <c r="E43" s="504"/>
      <c r="F43" s="552">
        <f>AVERAGE(F41:F42)</f>
        <v>378267539.5</v>
      </c>
      <c r="G43" s="933">
        <f>+G42</f>
        <v>379452438</v>
      </c>
      <c r="H43" s="496"/>
      <c r="I43" s="291"/>
      <c r="J43" s="458"/>
      <c r="K43" s="458"/>
      <c r="L43" s="458"/>
      <c r="M43" s="459"/>
    </row>
    <row r="44" spans="1:13" ht="12.75">
      <c r="A44" s="502"/>
      <c r="B44" s="537"/>
      <c r="C44" s="228"/>
      <c r="D44" s="522"/>
      <c r="E44" s="523"/>
      <c r="F44" s="524"/>
      <c r="G44" s="496"/>
      <c r="H44" s="496"/>
      <c r="I44" s="496"/>
      <c r="J44" s="455"/>
      <c r="K44" s="455"/>
      <c r="L44" s="455"/>
      <c r="M44" s="492"/>
    </row>
    <row r="45" spans="1:13" ht="12.75">
      <c r="A45" s="500"/>
      <c r="B45" s="537"/>
      <c r="C45" s="550" t="s">
        <v>749</v>
      </c>
      <c r="D45" s="455" t="s">
        <v>748</v>
      </c>
      <c r="E45" s="464"/>
      <c r="F45" s="492"/>
      <c r="G45" s="496"/>
      <c r="H45" s="496"/>
      <c r="I45" s="496"/>
      <c r="J45" s="458"/>
      <c r="K45" s="458"/>
      <c r="L45" s="458"/>
      <c r="M45" s="459"/>
    </row>
    <row r="46" spans="1:13" ht="15">
      <c r="A46" s="500"/>
      <c r="B46" s="537"/>
      <c r="C46" s="297" t="s">
        <v>741</v>
      </c>
      <c r="D46" s="42" t="s">
        <v>187</v>
      </c>
      <c r="E46" s="1005" t="s">
        <v>982</v>
      </c>
      <c r="F46" s="921">
        <v>0</v>
      </c>
      <c r="G46" s="496"/>
      <c r="H46" s="961"/>
      <c r="I46" s="769"/>
      <c r="J46" s="458"/>
      <c r="K46" s="458"/>
      <c r="L46" s="458"/>
      <c r="M46" s="459"/>
    </row>
    <row r="47" spans="1:13" ht="12.75">
      <c r="A47" s="500"/>
      <c r="B47" s="537"/>
      <c r="C47" s="494" t="s">
        <v>742</v>
      </c>
      <c r="D47" s="496" t="s">
        <v>85</v>
      </c>
      <c r="E47" s="1005" t="s">
        <v>1106</v>
      </c>
      <c r="F47" s="921">
        <v>0</v>
      </c>
      <c r="G47" s="496"/>
      <c r="H47" s="961"/>
      <c r="I47" s="769"/>
      <c r="J47" s="458"/>
      <c r="K47" s="458"/>
      <c r="L47" s="458"/>
      <c r="M47" s="459"/>
    </row>
    <row r="48" spans="1:13" ht="12.75">
      <c r="A48" s="500"/>
      <c r="B48" s="537"/>
      <c r="C48" s="228" t="s">
        <v>743</v>
      </c>
      <c r="D48" s="496" t="s">
        <v>85</v>
      </c>
      <c r="E48" s="1005" t="s">
        <v>1106</v>
      </c>
      <c r="F48" s="921">
        <v>0</v>
      </c>
      <c r="G48" s="496"/>
      <c r="H48" s="961"/>
      <c r="I48" s="769"/>
      <c r="J48" s="458"/>
      <c r="K48" s="458"/>
      <c r="L48" s="458"/>
      <c r="M48" s="459"/>
    </row>
    <row r="49" spans="1:13" ht="12.75">
      <c r="A49" s="500"/>
      <c r="B49" s="537"/>
      <c r="C49" s="228" t="s">
        <v>225</v>
      </c>
      <c r="D49" s="496" t="s">
        <v>85</v>
      </c>
      <c r="E49" s="1005" t="s">
        <v>1106</v>
      </c>
      <c r="F49" s="921">
        <v>0</v>
      </c>
      <c r="G49" s="496"/>
      <c r="H49" s="961"/>
      <c r="I49" s="769"/>
      <c r="J49" s="458"/>
      <c r="K49" s="458"/>
      <c r="L49" s="458"/>
      <c r="M49" s="459"/>
    </row>
    <row r="50" spans="1:13" ht="12.75">
      <c r="A50" s="500"/>
      <c r="B50" s="537"/>
      <c r="C50" s="494" t="s">
        <v>614</v>
      </c>
      <c r="D50" s="496" t="s">
        <v>85</v>
      </c>
      <c r="E50" s="1005" t="s">
        <v>1106</v>
      </c>
      <c r="F50" s="921">
        <v>0</v>
      </c>
      <c r="G50" s="496"/>
      <c r="H50" s="496"/>
      <c r="I50" s="496"/>
      <c r="J50" s="458"/>
      <c r="K50" s="458"/>
      <c r="L50" s="458"/>
      <c r="M50" s="459"/>
    </row>
    <row r="51" spans="1:13" ht="12.75">
      <c r="A51" s="500"/>
      <c r="B51" s="537"/>
      <c r="C51" s="228" t="s">
        <v>615</v>
      </c>
      <c r="D51" s="496" t="s">
        <v>85</v>
      </c>
      <c r="E51" s="1005" t="s">
        <v>1106</v>
      </c>
      <c r="F51" s="921">
        <v>0</v>
      </c>
      <c r="G51" s="496"/>
      <c r="H51" s="496"/>
      <c r="I51" s="496"/>
      <c r="J51" s="458"/>
      <c r="K51" s="458"/>
      <c r="L51" s="458"/>
      <c r="M51" s="459"/>
    </row>
    <row r="52" spans="1:13" ht="12.75">
      <c r="A52" s="500"/>
      <c r="B52" s="537"/>
      <c r="C52" s="228" t="s">
        <v>744</v>
      </c>
      <c r="D52" s="496" t="s">
        <v>85</v>
      </c>
      <c r="E52" s="1005" t="s">
        <v>1106</v>
      </c>
      <c r="F52" s="921">
        <v>0</v>
      </c>
      <c r="G52" s="496"/>
      <c r="H52" s="496"/>
      <c r="I52" s="496"/>
      <c r="J52" s="458"/>
      <c r="K52" s="458"/>
      <c r="L52" s="458"/>
      <c r="M52" s="459"/>
    </row>
    <row r="53" spans="1:13" ht="12.75">
      <c r="A53" s="500"/>
      <c r="B53" s="537"/>
      <c r="C53" s="494" t="s">
        <v>745</v>
      </c>
      <c r="D53" s="496" t="s">
        <v>85</v>
      </c>
      <c r="E53" s="1005" t="s">
        <v>1106</v>
      </c>
      <c r="F53" s="921">
        <v>0</v>
      </c>
      <c r="G53" s="496"/>
      <c r="H53" s="496"/>
      <c r="I53" s="496"/>
      <c r="J53" s="458"/>
      <c r="K53" s="458"/>
      <c r="L53" s="458"/>
      <c r="M53" s="459"/>
    </row>
    <row r="54" spans="1:13" ht="12.75">
      <c r="A54" s="500"/>
      <c r="B54" s="537"/>
      <c r="C54" s="228" t="s">
        <v>746</v>
      </c>
      <c r="D54" s="496" t="s">
        <v>85</v>
      </c>
      <c r="E54" s="1005" t="s">
        <v>1106</v>
      </c>
      <c r="F54" s="921">
        <v>0</v>
      </c>
      <c r="G54" s="496"/>
      <c r="H54" s="496"/>
      <c r="I54" s="496"/>
      <c r="J54" s="458"/>
      <c r="K54" s="458"/>
      <c r="L54" s="458"/>
      <c r="M54" s="459"/>
    </row>
    <row r="55" spans="1:13" ht="12.75">
      <c r="A55" s="500"/>
      <c r="B55" s="537"/>
      <c r="C55" s="228" t="s">
        <v>747</v>
      </c>
      <c r="D55" s="496" t="s">
        <v>85</v>
      </c>
      <c r="E55" s="1005" t="s">
        <v>1106</v>
      </c>
      <c r="F55" s="921">
        <v>0</v>
      </c>
      <c r="G55" s="496"/>
      <c r="H55" s="496"/>
      <c r="I55" s="496"/>
      <c r="J55" s="458"/>
      <c r="K55" s="458"/>
      <c r="L55" s="458"/>
      <c r="M55" s="459"/>
    </row>
    <row r="56" spans="1:13" ht="12.75">
      <c r="A56" s="500"/>
      <c r="B56" s="537"/>
      <c r="C56" s="494" t="s">
        <v>648</v>
      </c>
      <c r="D56" s="496" t="s">
        <v>85</v>
      </c>
      <c r="E56" s="1005" t="s">
        <v>1106</v>
      </c>
      <c r="F56" s="921">
        <v>0</v>
      </c>
      <c r="G56" s="496"/>
      <c r="H56" s="496"/>
      <c r="I56" s="496"/>
      <c r="J56" s="458"/>
      <c r="K56" s="458"/>
      <c r="L56" s="458"/>
      <c r="M56" s="459"/>
    </row>
    <row r="57" spans="1:13" ht="12.75">
      <c r="A57" s="500"/>
      <c r="B57" s="537"/>
      <c r="C57" s="494" t="s">
        <v>647</v>
      </c>
      <c r="D57" s="496" t="s">
        <v>85</v>
      </c>
      <c r="E57" s="1005" t="s">
        <v>1106</v>
      </c>
      <c r="F57" s="921">
        <v>0</v>
      </c>
      <c r="G57" s="496"/>
      <c r="H57" s="496"/>
      <c r="I57" s="496"/>
      <c r="J57" s="458"/>
      <c r="K57" s="458"/>
      <c r="L57" s="458"/>
      <c r="M57" s="459"/>
    </row>
    <row r="58" spans="1:13" ht="15">
      <c r="A58" s="502"/>
      <c r="B58" s="537"/>
      <c r="C58" s="551" t="s">
        <v>741</v>
      </c>
      <c r="D58" s="103" t="s">
        <v>186</v>
      </c>
      <c r="E58" s="1007" t="s">
        <v>1106</v>
      </c>
      <c r="F58" s="1012">
        <v>0</v>
      </c>
      <c r="G58" s="982">
        <f>+F58</f>
        <v>0</v>
      </c>
      <c r="H58" s="937"/>
      <c r="I58" s="496"/>
      <c r="J58" s="455"/>
      <c r="K58" s="455"/>
      <c r="L58" s="455"/>
      <c r="M58" s="492"/>
    </row>
    <row r="59" spans="1:13" ht="12.75">
      <c r="A59" s="502"/>
      <c r="B59" s="455"/>
      <c r="C59" s="506" t="s">
        <v>756</v>
      </c>
      <c r="D59" s="455"/>
      <c r="E59" s="504"/>
      <c r="F59" s="552">
        <f>AVERAGE(F58:F58)</f>
        <v>0</v>
      </c>
      <c r="G59" s="933">
        <f>+G58</f>
        <v>0</v>
      </c>
      <c r="H59" s="496"/>
      <c r="I59" s="291"/>
      <c r="J59" s="458"/>
      <c r="K59" s="458"/>
      <c r="L59" s="458"/>
      <c r="M59" s="459"/>
    </row>
    <row r="60" spans="1:13" ht="12.75">
      <c r="A60" s="502"/>
      <c r="B60" s="455"/>
      <c r="C60" s="228"/>
      <c r="D60" s="455"/>
      <c r="E60" s="503"/>
      <c r="F60" s="520"/>
      <c r="G60" s="661"/>
      <c r="H60" s="409"/>
      <c r="I60" s="461"/>
      <c r="J60" s="458"/>
      <c r="K60" s="458"/>
      <c r="L60" s="458"/>
      <c r="M60" s="459"/>
    </row>
    <row r="61" spans="1:13" ht="12.75">
      <c r="A61" s="500"/>
      <c r="B61" s="537"/>
      <c r="C61" s="550" t="s">
        <v>761</v>
      </c>
      <c r="D61" s="455" t="s">
        <v>748</v>
      </c>
      <c r="E61" s="409"/>
      <c r="F61" s="492"/>
      <c r="G61" s="479"/>
      <c r="H61" s="496"/>
      <c r="I61" s="496"/>
      <c r="J61" s="458"/>
      <c r="K61" s="458"/>
      <c r="L61" s="458"/>
      <c r="M61" s="459"/>
    </row>
    <row r="62" spans="1:13" ht="15">
      <c r="A62" s="502"/>
      <c r="B62" s="499"/>
      <c r="C62" s="297" t="s">
        <v>763</v>
      </c>
      <c r="D62" s="42" t="s">
        <v>315</v>
      </c>
      <c r="E62" s="1005" t="s">
        <v>982</v>
      </c>
      <c r="F62" s="1010">
        <v>0</v>
      </c>
      <c r="G62" s="549"/>
      <c r="H62" s="409"/>
      <c r="I62" s="797"/>
      <c r="J62" s="458"/>
      <c r="K62" s="458"/>
      <c r="L62" s="458"/>
      <c r="M62" s="459"/>
    </row>
    <row r="63" spans="1:13" ht="15">
      <c r="A63" s="502"/>
      <c r="B63" s="499"/>
      <c r="C63" s="551" t="s">
        <v>763</v>
      </c>
      <c r="D63" s="103" t="s">
        <v>315</v>
      </c>
      <c r="E63" s="1007" t="s">
        <v>1106</v>
      </c>
      <c r="F63" s="1011">
        <v>0</v>
      </c>
      <c r="G63" s="983">
        <f>+F63</f>
        <v>0</v>
      </c>
      <c r="H63" s="409"/>
      <c r="I63" s="494"/>
      <c r="J63" s="458"/>
      <c r="K63" s="458"/>
      <c r="L63" s="458"/>
      <c r="M63" s="459"/>
    </row>
    <row r="64" spans="1:13" ht="12.75">
      <c r="A64" s="500">
        <f>+'Appendix A'!A33</f>
        <v>17</v>
      </c>
      <c r="B64" s="455"/>
      <c r="C64" s="506" t="s">
        <v>762</v>
      </c>
      <c r="D64" s="455"/>
      <c r="E64" s="504"/>
      <c r="F64" s="552">
        <f>AVERAGE(F62:F63)</f>
        <v>0</v>
      </c>
      <c r="G64" s="549">
        <f>+G63</f>
        <v>0</v>
      </c>
      <c r="H64" s="409"/>
      <c r="I64" s="410"/>
      <c r="J64" s="458"/>
      <c r="K64" s="458"/>
      <c r="L64" s="458"/>
      <c r="M64" s="459"/>
    </row>
    <row r="65" spans="1:13" ht="12.75">
      <c r="A65" s="500"/>
      <c r="B65" s="455"/>
      <c r="C65" s="506"/>
      <c r="D65" s="455"/>
      <c r="E65" s="504"/>
      <c r="F65" s="552"/>
      <c r="G65" s="549"/>
      <c r="H65" s="660"/>
      <c r="I65" s="494"/>
      <c r="J65" s="458"/>
      <c r="K65" s="458"/>
      <c r="L65" s="458"/>
      <c r="M65" s="459"/>
    </row>
    <row r="66" spans="1:13" ht="12.75">
      <c r="A66" s="502">
        <f>'Appendix A'!A15</f>
        <v>6</v>
      </c>
      <c r="B66" s="537"/>
      <c r="C66" s="553" t="str">
        <f>'Appendix A'!C15</f>
        <v>Total Plant In Service</v>
      </c>
      <c r="D66" s="522" t="s">
        <v>764</v>
      </c>
      <c r="E66" s="523"/>
      <c r="F66" s="747">
        <f>F17+F33+F38+F43+F59+F64</f>
        <v>4670039464.955385</v>
      </c>
      <c r="G66" s="549">
        <f>G17+G33+G38+G43+G59+G64</f>
        <v>4788761824</v>
      </c>
      <c r="H66" s="291"/>
      <c r="I66" s="291"/>
      <c r="J66" s="455"/>
      <c r="K66" s="455"/>
      <c r="L66" s="455"/>
      <c r="M66" s="492"/>
    </row>
    <row r="67" spans="1:15" ht="13.5" thickBot="1">
      <c r="A67" s="511"/>
      <c r="B67" s="525"/>
      <c r="C67" s="513"/>
      <c r="D67" s="498"/>
      <c r="E67" s="515"/>
      <c r="F67" s="518"/>
      <c r="G67" s="816"/>
      <c r="H67" s="467"/>
      <c r="I67" s="467"/>
      <c r="J67" s="462"/>
      <c r="K67" s="462"/>
      <c r="L67" s="462"/>
      <c r="M67" s="463"/>
      <c r="O67" s="549"/>
    </row>
    <row r="68" spans="1:15" ht="12.75">
      <c r="A68" s="509"/>
      <c r="B68" s="499"/>
      <c r="C68" s="228"/>
      <c r="D68" s="455"/>
      <c r="E68" s="503"/>
      <c r="F68" s="228"/>
      <c r="G68" s="549"/>
      <c r="H68" s="464"/>
      <c r="I68" s="464"/>
      <c r="J68" s="458"/>
      <c r="K68" s="458"/>
      <c r="L68" s="458"/>
      <c r="M68" s="458"/>
      <c r="O68" s="549"/>
    </row>
    <row r="69" spans="1:15" ht="13.5" thickBot="1">
      <c r="A69" s="797" t="s">
        <v>765</v>
      </c>
      <c r="O69" s="549"/>
    </row>
    <row r="70" spans="1:15" ht="12.75">
      <c r="A70" s="1430" t="s">
        <v>50</v>
      </c>
      <c r="B70" s="1431"/>
      <c r="C70" s="1431"/>
      <c r="D70" s="1431"/>
      <c r="E70" s="1431"/>
      <c r="F70" s="1432"/>
      <c r="G70" s="474"/>
      <c r="H70" s="474"/>
      <c r="I70" s="474"/>
      <c r="J70" s="1433" t="s">
        <v>566</v>
      </c>
      <c r="K70" s="1434"/>
      <c r="L70" s="1434"/>
      <c r="M70" s="1435"/>
      <c r="O70" s="549"/>
    </row>
    <row r="71" spans="1:29" ht="17.25">
      <c r="A71" s="500"/>
      <c r="B71" s="537"/>
      <c r="C71" s="550" t="s">
        <v>766</v>
      </c>
      <c r="D71" s="455" t="s">
        <v>748</v>
      </c>
      <c r="E71" s="464"/>
      <c r="F71" s="803" t="s">
        <v>666</v>
      </c>
      <c r="G71" s="556" t="s">
        <v>667</v>
      </c>
      <c r="H71" s="455"/>
      <c r="I71" s="455"/>
      <c r="J71" s="458"/>
      <c r="K71" s="458"/>
      <c r="L71" s="458"/>
      <c r="M71" s="459"/>
      <c r="O71" s="549"/>
      <c r="P71" s="200"/>
      <c r="Q71" s="200"/>
      <c r="R71" s="200"/>
      <c r="S71" s="200"/>
      <c r="T71" s="200"/>
      <c r="U71" s="200"/>
      <c r="V71" s="200"/>
      <c r="W71" s="200"/>
      <c r="X71" s="200"/>
      <c r="Y71" s="200"/>
      <c r="Z71" s="200"/>
      <c r="AA71" s="200"/>
      <c r="AB71" s="200"/>
      <c r="AC71" s="1016"/>
    </row>
    <row r="72" spans="1:29" ht="15">
      <c r="A72" s="457"/>
      <c r="B72" s="297"/>
      <c r="C72" s="297" t="s">
        <v>741</v>
      </c>
      <c r="D72" s="42" t="s">
        <v>205</v>
      </c>
      <c r="E72" s="1005" t="s">
        <v>982</v>
      </c>
      <c r="F72" s="1010">
        <v>285546176</v>
      </c>
      <c r="G72" s="496"/>
      <c r="H72" s="200"/>
      <c r="I72" s="1347"/>
      <c r="J72" s="461"/>
      <c r="K72" s="458"/>
      <c r="L72" s="458"/>
      <c r="M72" s="459"/>
      <c r="O72" s="549"/>
      <c r="P72" s="200"/>
      <c r="Q72" s="200"/>
      <c r="R72" s="200"/>
      <c r="S72" s="200"/>
      <c r="T72" s="200"/>
      <c r="U72" s="200"/>
      <c r="V72" s="200"/>
      <c r="W72" s="200"/>
      <c r="X72" s="200"/>
      <c r="Y72" s="200"/>
      <c r="Z72" s="200"/>
      <c r="AA72" s="200"/>
      <c r="AB72" s="200"/>
      <c r="AC72" s="200"/>
    </row>
    <row r="73" spans="1:29" ht="12.75">
      <c r="A73" s="500"/>
      <c r="B73" s="537"/>
      <c r="C73" s="507" t="s">
        <v>742</v>
      </c>
      <c r="D73" s="496" t="s">
        <v>85</v>
      </c>
      <c r="E73" s="1005" t="s">
        <v>1106</v>
      </c>
      <c r="F73" s="1010">
        <v>282422523.52914613</v>
      </c>
      <c r="G73" s="496"/>
      <c r="H73" s="798"/>
      <c r="I73" s="1347"/>
      <c r="J73" s="496"/>
      <c r="K73" s="458"/>
      <c r="L73" s="458"/>
      <c r="M73" s="459"/>
      <c r="O73" s="549"/>
      <c r="P73" s="200"/>
      <c r="Q73" s="200"/>
      <c r="R73" s="200"/>
      <c r="S73" s="200"/>
      <c r="T73" s="200"/>
      <c r="U73" s="200"/>
      <c r="V73" s="200"/>
      <c r="W73" s="200"/>
      <c r="X73" s="200"/>
      <c r="Y73" s="200"/>
      <c r="Z73" s="200"/>
      <c r="AA73" s="200"/>
      <c r="AB73" s="200"/>
      <c r="AC73" s="200"/>
    </row>
    <row r="74" spans="1:15" ht="12.75">
      <c r="A74" s="502"/>
      <c r="B74" s="499"/>
      <c r="C74" s="228" t="s">
        <v>743</v>
      </c>
      <c r="D74" s="496" t="s">
        <v>85</v>
      </c>
      <c r="E74" s="1005" t="s">
        <v>1106</v>
      </c>
      <c r="F74" s="1010">
        <v>284212507.1747092</v>
      </c>
      <c r="G74" s="496"/>
      <c r="H74" s="798"/>
      <c r="I74" s="1347"/>
      <c r="J74" s="409"/>
      <c r="K74" s="458"/>
      <c r="L74" s="458"/>
      <c r="M74" s="459"/>
      <c r="O74" s="549"/>
    </row>
    <row r="75" spans="1:15" ht="12.75">
      <c r="A75" s="502"/>
      <c r="B75" s="499"/>
      <c r="C75" s="228" t="s">
        <v>225</v>
      </c>
      <c r="D75" s="496" t="s">
        <v>85</v>
      </c>
      <c r="E75" s="1005" t="s">
        <v>1106</v>
      </c>
      <c r="F75" s="1010">
        <v>284897810.04543144</v>
      </c>
      <c r="G75" s="496"/>
      <c r="H75" s="798"/>
      <c r="I75" s="1347"/>
      <c r="J75" s="458"/>
      <c r="K75" s="458"/>
      <c r="L75" s="458"/>
      <c r="M75" s="459"/>
      <c r="O75" s="549"/>
    </row>
    <row r="76" spans="1:15" ht="12.75">
      <c r="A76" s="500"/>
      <c r="B76" s="455"/>
      <c r="C76" s="507" t="s">
        <v>614</v>
      </c>
      <c r="D76" s="496" t="s">
        <v>85</v>
      </c>
      <c r="E76" s="1005" t="s">
        <v>1106</v>
      </c>
      <c r="F76" s="1010">
        <v>286223373.9084758</v>
      </c>
      <c r="G76" s="496"/>
      <c r="H76" s="798"/>
      <c r="I76" s="1347"/>
      <c r="J76" s="458"/>
      <c r="K76" s="458"/>
      <c r="L76" s="458"/>
      <c r="M76" s="459"/>
      <c r="O76" s="549"/>
    </row>
    <row r="77" spans="1:15" ht="12.75">
      <c r="A77" s="502"/>
      <c r="B77" s="537"/>
      <c r="C77" s="228" t="s">
        <v>615</v>
      </c>
      <c r="D77" s="496" t="s">
        <v>85</v>
      </c>
      <c r="E77" s="1005" t="s">
        <v>1106</v>
      </c>
      <c r="F77" s="1010">
        <v>287693810.0029039</v>
      </c>
      <c r="G77" s="496"/>
      <c r="H77" s="798"/>
      <c r="I77" s="1347"/>
      <c r="J77" s="455"/>
      <c r="K77" s="455"/>
      <c r="L77" s="455"/>
      <c r="M77" s="492"/>
      <c r="O77" s="549"/>
    </row>
    <row r="78" spans="1:15" ht="12.75">
      <c r="A78" s="502"/>
      <c r="B78" s="455"/>
      <c r="C78" s="228" t="s">
        <v>744</v>
      </c>
      <c r="D78" s="496" t="s">
        <v>85</v>
      </c>
      <c r="E78" s="1005" t="s">
        <v>1106</v>
      </c>
      <c r="F78" s="1010">
        <v>289625773.8419567</v>
      </c>
      <c r="G78" s="496"/>
      <c r="H78" s="798"/>
      <c r="I78" s="1347"/>
      <c r="J78" s="458"/>
      <c r="K78" s="458"/>
      <c r="L78" s="458"/>
      <c r="M78" s="459"/>
      <c r="O78" s="549"/>
    </row>
    <row r="79" spans="1:15" ht="12.75">
      <c r="A79" s="500"/>
      <c r="B79" s="537"/>
      <c r="C79" s="507" t="s">
        <v>745</v>
      </c>
      <c r="D79" s="496" t="s">
        <v>85</v>
      </c>
      <c r="E79" s="1005" t="s">
        <v>1106</v>
      </c>
      <c r="F79" s="1010">
        <v>290464889.3351549</v>
      </c>
      <c r="G79" s="496"/>
      <c r="H79" s="798"/>
      <c r="I79" s="1347"/>
      <c r="J79" s="458"/>
      <c r="K79" s="458"/>
      <c r="L79" s="458"/>
      <c r="M79" s="459"/>
      <c r="O79" s="549"/>
    </row>
    <row r="80" spans="1:15" ht="12.75">
      <c r="A80" s="502"/>
      <c r="B80" s="499"/>
      <c r="C80" s="228" t="s">
        <v>746</v>
      </c>
      <c r="D80" s="496" t="s">
        <v>85</v>
      </c>
      <c r="E80" s="1005" t="s">
        <v>1106</v>
      </c>
      <c r="F80" s="1010">
        <v>291325349.6483234</v>
      </c>
      <c r="G80" s="496"/>
      <c r="H80" s="798"/>
      <c r="I80" s="1347"/>
      <c r="J80" s="458"/>
      <c r="K80" s="458"/>
      <c r="L80" s="458"/>
      <c r="M80" s="459"/>
      <c r="O80" s="549"/>
    </row>
    <row r="81" spans="1:15" ht="12.75">
      <c r="A81" s="502"/>
      <c r="B81" s="499"/>
      <c r="C81" s="228" t="s">
        <v>747</v>
      </c>
      <c r="D81" s="496" t="s">
        <v>85</v>
      </c>
      <c r="E81" s="1005" t="s">
        <v>1106</v>
      </c>
      <c r="F81" s="1010">
        <v>299228375.8938963</v>
      </c>
      <c r="G81" s="496"/>
      <c r="H81" s="798"/>
      <c r="I81" s="1347"/>
      <c r="J81" s="458"/>
      <c r="K81" s="458"/>
      <c r="L81" s="458"/>
      <c r="M81" s="459"/>
      <c r="O81" s="549"/>
    </row>
    <row r="82" spans="1:15" ht="12.75">
      <c r="A82" s="500"/>
      <c r="B82" s="455"/>
      <c r="C82" s="507" t="s">
        <v>648</v>
      </c>
      <c r="D82" s="496" t="s">
        <v>85</v>
      </c>
      <c r="E82" s="1005" t="s">
        <v>1106</v>
      </c>
      <c r="F82" s="1010">
        <v>292785425.6219304</v>
      </c>
      <c r="G82" s="496"/>
      <c r="H82" s="798"/>
      <c r="I82" s="1347"/>
      <c r="J82" s="458"/>
      <c r="K82" s="458"/>
      <c r="L82" s="458"/>
      <c r="M82" s="459"/>
      <c r="O82" s="549"/>
    </row>
    <row r="83" spans="1:15" ht="12.75">
      <c r="A83" s="500"/>
      <c r="B83" s="455"/>
      <c r="C83" s="507" t="s">
        <v>647</v>
      </c>
      <c r="D83" s="496" t="s">
        <v>85</v>
      </c>
      <c r="E83" s="1005" t="s">
        <v>1106</v>
      </c>
      <c r="F83" s="1010">
        <v>294081261.02504444</v>
      </c>
      <c r="G83" s="496"/>
      <c r="H83" s="798"/>
      <c r="I83" s="1347"/>
      <c r="J83" s="458"/>
      <c r="K83" s="458"/>
      <c r="L83" s="458"/>
      <c r="M83" s="459"/>
      <c r="O83" s="549"/>
    </row>
    <row r="84" spans="1:15" ht="15">
      <c r="A84" s="502"/>
      <c r="B84" s="537"/>
      <c r="C84" s="551" t="s">
        <v>741</v>
      </c>
      <c r="D84" s="103" t="s">
        <v>768</v>
      </c>
      <c r="E84" s="1007" t="s">
        <v>1106</v>
      </c>
      <c r="F84" s="1011">
        <v>293970540</v>
      </c>
      <c r="G84" s="974">
        <f>+F84</f>
        <v>293970540</v>
      </c>
      <c r="H84" s="798"/>
      <c r="I84" s="1347"/>
      <c r="J84" s="455"/>
      <c r="K84" s="455"/>
      <c r="L84" s="1134"/>
      <c r="M84" s="492"/>
      <c r="O84" s="549"/>
    </row>
    <row r="85" spans="1:15" ht="12.75">
      <c r="A85" s="502">
        <f>+'Appendix A'!A42</f>
        <v>22</v>
      </c>
      <c r="B85" s="455"/>
      <c r="C85" s="506" t="s">
        <v>496</v>
      </c>
      <c r="D85" s="496"/>
      <c r="E85" s="504"/>
      <c r="F85" s="552">
        <f>AVERAGE(F72:F84)</f>
        <v>289421370.4636133</v>
      </c>
      <c r="G85" s="416">
        <f>+G84</f>
        <v>293970540</v>
      </c>
      <c r="H85" s="496"/>
      <c r="I85" s="496"/>
      <c r="J85" s="458"/>
      <c r="K85" s="458"/>
      <c r="L85" s="458"/>
      <c r="M85" s="459"/>
      <c r="O85" s="549"/>
    </row>
    <row r="86" spans="1:15" ht="12.75">
      <c r="A86" s="502"/>
      <c r="B86" s="499"/>
      <c r="C86" s="228"/>
      <c r="D86" s="496"/>
      <c r="E86" s="503"/>
      <c r="F86" s="520"/>
      <c r="G86" s="679"/>
      <c r="H86" s="409"/>
      <c r="I86" s="409"/>
      <c r="J86" s="458"/>
      <c r="K86" s="458"/>
      <c r="L86" s="458"/>
      <c r="M86" s="459"/>
      <c r="O86" s="549"/>
    </row>
    <row r="87" spans="1:15" ht="12.75">
      <c r="A87" s="500"/>
      <c r="B87" s="537"/>
      <c r="C87" s="550" t="s">
        <v>0</v>
      </c>
      <c r="D87" s="496" t="s">
        <v>748</v>
      </c>
      <c r="E87" s="409"/>
      <c r="F87" s="492"/>
      <c r="G87" s="496"/>
      <c r="H87" s="496"/>
      <c r="I87" s="496"/>
      <c r="J87" s="458"/>
      <c r="K87" s="458"/>
      <c r="L87" s="458"/>
      <c r="M87" s="459"/>
      <c r="O87" s="549"/>
    </row>
    <row r="88" spans="1:15" ht="15">
      <c r="A88" s="457"/>
      <c r="B88" s="297"/>
      <c r="C88" s="297" t="s">
        <v>741</v>
      </c>
      <c r="D88" s="42" t="s">
        <v>204</v>
      </c>
      <c r="E88" s="1005" t="s">
        <v>982</v>
      </c>
      <c r="F88" s="1010">
        <v>863900295</v>
      </c>
      <c r="G88" s="496"/>
      <c r="H88" s="798"/>
      <c r="I88" s="1347"/>
      <c r="J88" s="458"/>
      <c r="K88" s="458"/>
      <c r="L88" s="458"/>
      <c r="M88" s="459"/>
      <c r="O88" s="549"/>
    </row>
    <row r="89" spans="1:15" ht="12.75">
      <c r="A89" s="500"/>
      <c r="B89" s="537"/>
      <c r="C89" s="507" t="s">
        <v>742</v>
      </c>
      <c r="D89" s="496" t="s">
        <v>85</v>
      </c>
      <c r="E89" s="1005" t="s">
        <v>1106</v>
      </c>
      <c r="F89" s="1010">
        <v>873010908.2208539</v>
      </c>
      <c r="G89" s="496"/>
      <c r="H89" s="798"/>
      <c r="I89" s="1347"/>
      <c r="J89" s="458"/>
      <c r="K89" s="458"/>
      <c r="L89" s="458"/>
      <c r="M89" s="459"/>
      <c r="O89" s="549"/>
    </row>
    <row r="90" spans="1:13" ht="12.75">
      <c r="A90" s="502"/>
      <c r="B90" s="499"/>
      <c r="C90" s="228" t="s">
        <v>743</v>
      </c>
      <c r="D90" s="496" t="s">
        <v>85</v>
      </c>
      <c r="E90" s="1005" t="s">
        <v>1106</v>
      </c>
      <c r="F90" s="1010">
        <v>877553183.7252908</v>
      </c>
      <c r="G90" s="496"/>
      <c r="H90" s="798"/>
      <c r="I90" s="1347"/>
      <c r="J90" s="458"/>
      <c r="K90" s="458"/>
      <c r="L90" s="458"/>
      <c r="M90" s="459"/>
    </row>
    <row r="91" spans="1:13" ht="12.75">
      <c r="A91" s="502"/>
      <c r="B91" s="499"/>
      <c r="C91" s="228" t="s">
        <v>225</v>
      </c>
      <c r="D91" s="496" t="s">
        <v>85</v>
      </c>
      <c r="E91" s="1005" t="s">
        <v>1106</v>
      </c>
      <c r="F91" s="1010">
        <v>880342414.1045686</v>
      </c>
      <c r="G91" s="496"/>
      <c r="H91" s="798"/>
      <c r="I91" s="1347"/>
      <c r="J91" s="458"/>
      <c r="K91" s="458"/>
      <c r="L91" s="458"/>
      <c r="M91" s="459"/>
    </row>
    <row r="92" spans="1:13" ht="12.75">
      <c r="A92" s="500"/>
      <c r="B92" s="455"/>
      <c r="C92" s="507" t="s">
        <v>614</v>
      </c>
      <c r="D92" s="496" t="s">
        <v>85</v>
      </c>
      <c r="E92" s="1005" t="s">
        <v>1106</v>
      </c>
      <c r="F92" s="1010">
        <v>882469315.2215241</v>
      </c>
      <c r="G92" s="496"/>
      <c r="H92" s="798"/>
      <c r="I92" s="1347"/>
      <c r="J92" s="458"/>
      <c r="K92" s="458"/>
      <c r="L92" s="458"/>
      <c r="M92" s="459"/>
    </row>
    <row r="93" spans="1:13" ht="12.75">
      <c r="A93" s="502"/>
      <c r="B93" s="537"/>
      <c r="C93" s="228" t="s">
        <v>615</v>
      </c>
      <c r="D93" s="496" t="s">
        <v>85</v>
      </c>
      <c r="E93" s="1005" t="s">
        <v>1106</v>
      </c>
      <c r="F93" s="1010">
        <v>885825880.007096</v>
      </c>
      <c r="G93" s="496"/>
      <c r="H93" s="798"/>
      <c r="I93" s="1347"/>
      <c r="J93" s="455"/>
      <c r="K93" s="455"/>
      <c r="L93" s="496"/>
      <c r="M93" s="492"/>
    </row>
    <row r="94" spans="1:13" ht="12.75">
      <c r="A94" s="502"/>
      <c r="B94" s="455"/>
      <c r="C94" s="228" t="s">
        <v>744</v>
      </c>
      <c r="D94" s="496" t="s">
        <v>85</v>
      </c>
      <c r="E94" s="1005" t="s">
        <v>1106</v>
      </c>
      <c r="F94" s="1010">
        <v>889464615.2280432</v>
      </c>
      <c r="G94" s="496"/>
      <c r="H94" s="798"/>
      <c r="I94" s="1347"/>
      <c r="J94" s="458"/>
      <c r="K94" s="458"/>
      <c r="L94" s="458"/>
      <c r="M94" s="459"/>
    </row>
    <row r="95" spans="1:13" ht="12.75">
      <c r="A95" s="500"/>
      <c r="B95" s="537"/>
      <c r="C95" s="507" t="s">
        <v>745</v>
      </c>
      <c r="D95" s="496" t="s">
        <v>85</v>
      </c>
      <c r="E95" s="1005" t="s">
        <v>1106</v>
      </c>
      <c r="F95" s="1010">
        <v>892266500.604845</v>
      </c>
      <c r="G95" s="496"/>
      <c r="H95" s="798"/>
      <c r="I95" s="1347"/>
      <c r="J95" s="458"/>
      <c r="K95" s="458"/>
      <c r="L95" s="458"/>
      <c r="M95" s="459"/>
    </row>
    <row r="96" spans="1:13" ht="12.75">
      <c r="A96" s="502"/>
      <c r="B96" s="499"/>
      <c r="C96" s="228" t="s">
        <v>746</v>
      </c>
      <c r="D96" s="496" t="s">
        <v>85</v>
      </c>
      <c r="E96" s="1005" t="s">
        <v>1106</v>
      </c>
      <c r="F96" s="1010">
        <v>894681237.5716766</v>
      </c>
      <c r="G96" s="496"/>
      <c r="H96" s="798"/>
      <c r="I96" s="1347"/>
      <c r="J96" s="458"/>
      <c r="K96" s="458"/>
      <c r="L96" s="458"/>
      <c r="M96" s="459"/>
    </row>
    <row r="97" spans="1:13" ht="12.75">
      <c r="A97" s="502"/>
      <c r="B97" s="499"/>
      <c r="C97" s="228" t="s">
        <v>747</v>
      </c>
      <c r="D97" s="496" t="s">
        <v>85</v>
      </c>
      <c r="E97" s="1005" t="s">
        <v>1106</v>
      </c>
      <c r="F97" s="1010">
        <v>899589026.1961037</v>
      </c>
      <c r="G97" s="496"/>
      <c r="H97" s="798"/>
      <c r="I97" s="1347"/>
      <c r="L97" s="200"/>
      <c r="M97" s="459"/>
    </row>
    <row r="98" spans="1:13" ht="12.75">
      <c r="A98" s="500"/>
      <c r="B98" s="455"/>
      <c r="C98" s="507" t="s">
        <v>646</v>
      </c>
      <c r="D98" s="496" t="s">
        <v>85</v>
      </c>
      <c r="E98" s="1005" t="s">
        <v>1106</v>
      </c>
      <c r="F98" s="1010">
        <v>903651826.0880696</v>
      </c>
      <c r="G98" s="496"/>
      <c r="H98" s="798"/>
      <c r="I98" s="1347"/>
      <c r="L98" s="200"/>
      <c r="M98" s="459"/>
    </row>
    <row r="99" spans="1:13" ht="12.75">
      <c r="A99" s="500"/>
      <c r="B99" s="455"/>
      <c r="C99" s="507" t="s">
        <v>647</v>
      </c>
      <c r="D99" s="496" t="s">
        <v>85</v>
      </c>
      <c r="E99" s="1005" t="s">
        <v>1106</v>
      </c>
      <c r="F99" s="1010">
        <v>905886694.7149557</v>
      </c>
      <c r="G99" s="496"/>
      <c r="H99" s="798"/>
      <c r="I99" s="1347"/>
      <c r="L99" s="200"/>
      <c r="M99" s="459"/>
    </row>
    <row r="100" spans="1:13" ht="15">
      <c r="A100" s="502"/>
      <c r="B100" s="537"/>
      <c r="C100" s="551" t="s">
        <v>741</v>
      </c>
      <c r="D100" s="103" t="s">
        <v>770</v>
      </c>
      <c r="E100" s="1007" t="s">
        <v>1106</v>
      </c>
      <c r="F100" s="1011">
        <v>906612443</v>
      </c>
      <c r="G100" s="974">
        <f>+F100</f>
        <v>906612443</v>
      </c>
      <c r="H100" s="798"/>
      <c r="I100" s="1347"/>
      <c r="L100" s="1134"/>
      <c r="M100" s="492"/>
    </row>
    <row r="101" spans="1:13" ht="12.75">
      <c r="A101" s="502"/>
      <c r="B101" s="455"/>
      <c r="C101" s="506" t="s">
        <v>1</v>
      </c>
      <c r="D101" s="496"/>
      <c r="E101" s="504"/>
      <c r="F101" s="552">
        <f>AVERAGE(F88:F100)</f>
        <v>888865718.437156</v>
      </c>
      <c r="G101" s="416">
        <f>+G100</f>
        <v>906612443</v>
      </c>
      <c r="H101" s="496"/>
      <c r="I101" s="200"/>
      <c r="L101" s="200"/>
      <c r="M101" s="459"/>
    </row>
    <row r="102" spans="1:13" ht="12.75">
      <c r="A102" s="502"/>
      <c r="B102" s="499"/>
      <c r="C102" s="228"/>
      <c r="D102" s="496"/>
      <c r="E102" s="503"/>
      <c r="F102" s="520"/>
      <c r="G102" s="679"/>
      <c r="H102" s="933"/>
      <c r="I102" s="934"/>
      <c r="J102" s="496"/>
      <c r="K102" s="458"/>
      <c r="L102" s="458"/>
      <c r="M102" s="459"/>
    </row>
    <row r="103" spans="1:13" ht="12.75">
      <c r="A103" s="500"/>
      <c r="B103" s="537"/>
      <c r="C103" s="550" t="s">
        <v>775</v>
      </c>
      <c r="D103" s="496" t="s">
        <v>748</v>
      </c>
      <c r="E103" s="464"/>
      <c r="F103" s="492"/>
      <c r="G103" s="496"/>
      <c r="H103" s="933"/>
      <c r="I103" s="935"/>
      <c r="J103" s="458"/>
      <c r="K103" s="458"/>
      <c r="L103" s="458"/>
      <c r="M103" s="459"/>
    </row>
    <row r="104" spans="1:13" ht="15">
      <c r="A104" s="457"/>
      <c r="B104" s="297"/>
      <c r="C104" s="297" t="s">
        <v>741</v>
      </c>
      <c r="D104" s="42" t="s">
        <v>203</v>
      </c>
      <c r="E104" s="1005" t="s">
        <v>982</v>
      </c>
      <c r="F104" s="1010">
        <v>161894981</v>
      </c>
      <c r="G104" s="496"/>
      <c r="H104" s="934"/>
      <c r="I104" s="934"/>
      <c r="J104" s="458"/>
      <c r="K104" s="458"/>
      <c r="L104" s="458"/>
      <c r="M104" s="459"/>
    </row>
    <row r="105" spans="1:13" ht="15">
      <c r="A105" s="502"/>
      <c r="B105" s="537"/>
      <c r="C105" s="551" t="s">
        <v>741</v>
      </c>
      <c r="D105" s="103" t="s">
        <v>509</v>
      </c>
      <c r="E105" s="1007" t="s">
        <v>1106</v>
      </c>
      <c r="F105" s="1011">
        <v>210988726</v>
      </c>
      <c r="G105" s="974">
        <f>+F105</f>
        <v>210988726</v>
      </c>
      <c r="H105" s="933"/>
      <c r="I105" s="934"/>
      <c r="J105" s="496"/>
      <c r="K105" s="496"/>
      <c r="L105" s="496"/>
      <c r="M105" s="492"/>
    </row>
    <row r="106" spans="1:13" ht="12.75">
      <c r="A106" s="502">
        <f>'Appendix A'!A47</f>
        <v>26</v>
      </c>
      <c r="B106" s="455"/>
      <c r="C106" s="506" t="str">
        <f>'Appendix A'!C47</f>
        <v>Accumulated Intangible Depreciation</v>
      </c>
      <c r="D106" s="496"/>
      <c r="E106" s="504"/>
      <c r="F106" s="552">
        <f>AVERAGE(F104:F105)</f>
        <v>186441853.5</v>
      </c>
      <c r="G106" s="416">
        <f>+G105</f>
        <v>210988726</v>
      </c>
      <c r="H106" s="933"/>
      <c r="I106" s="935"/>
      <c r="J106" s="458"/>
      <c r="K106" s="458"/>
      <c r="L106" s="458"/>
      <c r="M106" s="459"/>
    </row>
    <row r="107" spans="1:13" ht="12.75">
      <c r="A107" s="500"/>
      <c r="B107" s="455"/>
      <c r="C107" s="507"/>
      <c r="D107" s="496"/>
      <c r="E107" s="881"/>
      <c r="F107" s="521"/>
      <c r="G107" s="679"/>
      <c r="H107" s="934"/>
      <c r="I107" s="934"/>
      <c r="J107" s="494"/>
      <c r="K107" s="458"/>
      <c r="L107" s="458"/>
      <c r="M107" s="459"/>
    </row>
    <row r="108" spans="1:13" ht="12.75">
      <c r="A108" s="500"/>
      <c r="B108" s="537"/>
      <c r="C108" s="550" t="s">
        <v>776</v>
      </c>
      <c r="D108" s="496" t="s">
        <v>748</v>
      </c>
      <c r="E108" s="409"/>
      <c r="F108" s="492"/>
      <c r="G108" s="496"/>
      <c r="H108" s="329"/>
      <c r="I108" s="496"/>
      <c r="J108" s="496"/>
      <c r="K108" s="458"/>
      <c r="L108" s="458"/>
      <c r="M108" s="459"/>
    </row>
    <row r="109" spans="1:13" ht="15">
      <c r="A109" s="457"/>
      <c r="B109" s="297"/>
      <c r="C109" s="297" t="s">
        <v>741</v>
      </c>
      <c r="D109" s="42" t="s">
        <v>205</v>
      </c>
      <c r="E109" s="1005" t="s">
        <v>982</v>
      </c>
      <c r="F109" s="1010">
        <v>146732733</v>
      </c>
      <c r="G109" s="496"/>
      <c r="H109" s="936"/>
      <c r="I109" s="935"/>
      <c r="J109" s="458"/>
      <c r="K109" s="458"/>
      <c r="L109" s="458"/>
      <c r="M109" s="459"/>
    </row>
    <row r="110" spans="1:13" ht="15">
      <c r="A110" s="502"/>
      <c r="B110" s="537"/>
      <c r="C110" s="551" t="s">
        <v>741</v>
      </c>
      <c r="D110" s="103" t="s">
        <v>206</v>
      </c>
      <c r="E110" s="1007" t="s">
        <v>1106</v>
      </c>
      <c r="F110" s="1011">
        <v>150231940</v>
      </c>
      <c r="G110" s="974">
        <f>+F110</f>
        <v>150231940</v>
      </c>
      <c r="H110" s="936"/>
      <c r="I110" s="1320"/>
      <c r="J110" s="461"/>
      <c r="K110" s="458"/>
      <c r="L110" s="458"/>
      <c r="M110" s="492"/>
    </row>
    <row r="111" spans="1:13" ht="12.75">
      <c r="A111" s="502">
        <f>'Appendix A'!A46</f>
        <v>25</v>
      </c>
      <c r="B111" s="455"/>
      <c r="C111" s="506" t="str">
        <f>'Appendix A'!C46</f>
        <v>Accumulated General Depreciation</v>
      </c>
      <c r="D111" s="496"/>
      <c r="E111" s="504"/>
      <c r="F111" s="552">
        <f>AVERAGE(F109:F110)</f>
        <v>148482336.5</v>
      </c>
      <c r="G111" s="416">
        <f>+G110</f>
        <v>150231940</v>
      </c>
      <c r="H111" s="522"/>
      <c r="I111" s="934"/>
      <c r="J111" s="458"/>
      <c r="K111" s="458"/>
      <c r="L111" s="458"/>
      <c r="M111" s="459"/>
    </row>
    <row r="112" spans="1:13" ht="12.75">
      <c r="A112" s="502"/>
      <c r="B112" s="537"/>
      <c r="C112" s="228"/>
      <c r="D112" s="522"/>
      <c r="E112" s="504"/>
      <c r="F112" s="524"/>
      <c r="G112" s="496"/>
      <c r="H112" s="936"/>
      <c r="I112" s="934"/>
      <c r="J112" s="458"/>
      <c r="K112" s="458"/>
      <c r="L112" s="458"/>
      <c r="M112" s="492"/>
    </row>
    <row r="113" spans="1:13" ht="12.75">
      <c r="A113" s="500"/>
      <c r="B113" s="537"/>
      <c r="C113" s="550" t="s">
        <v>767</v>
      </c>
      <c r="D113" s="496" t="s">
        <v>748</v>
      </c>
      <c r="E113" s="409"/>
      <c r="F113" s="492"/>
      <c r="G113" s="496"/>
      <c r="H113" s="549"/>
      <c r="I113" s="935"/>
      <c r="J113" s="458"/>
      <c r="K113" s="458"/>
      <c r="L113" s="458"/>
      <c r="M113" s="459"/>
    </row>
    <row r="114" spans="1:13" ht="15">
      <c r="A114" s="500"/>
      <c r="B114" s="537"/>
      <c r="C114" s="297" t="s">
        <v>741</v>
      </c>
      <c r="D114" s="42" t="s">
        <v>205</v>
      </c>
      <c r="E114" s="1005" t="s">
        <v>982</v>
      </c>
      <c r="F114" s="921">
        <v>0</v>
      </c>
      <c r="G114" s="496"/>
      <c r="H114" s="937"/>
      <c r="I114" s="934"/>
      <c r="J114" s="458"/>
      <c r="K114" s="458"/>
      <c r="L114" s="458"/>
      <c r="M114" s="459"/>
    </row>
    <row r="115" spans="1:13" ht="12.75">
      <c r="A115" s="500"/>
      <c r="B115" s="537"/>
      <c r="C115" s="494" t="s">
        <v>742</v>
      </c>
      <c r="D115" s="496" t="s">
        <v>85</v>
      </c>
      <c r="E115" s="1005" t="s">
        <v>1106</v>
      </c>
      <c r="F115" s="921">
        <v>0</v>
      </c>
      <c r="G115" s="496"/>
      <c r="H115" s="496"/>
      <c r="I115" s="496"/>
      <c r="J115" s="496"/>
      <c r="K115" s="496"/>
      <c r="L115" s="496"/>
      <c r="M115" s="459"/>
    </row>
    <row r="116" spans="1:13" ht="12.75">
      <c r="A116" s="500"/>
      <c r="B116" s="537"/>
      <c r="C116" s="228" t="s">
        <v>743</v>
      </c>
      <c r="D116" s="496" t="s">
        <v>85</v>
      </c>
      <c r="E116" s="1005" t="s">
        <v>1106</v>
      </c>
      <c r="F116" s="921">
        <v>0</v>
      </c>
      <c r="G116" s="496"/>
      <c r="H116" s="496"/>
      <c r="I116" s="496"/>
      <c r="J116" s="458"/>
      <c r="K116" s="458"/>
      <c r="L116" s="458"/>
      <c r="M116" s="459"/>
    </row>
    <row r="117" spans="1:13" ht="12.75">
      <c r="A117" s="500"/>
      <c r="B117" s="537"/>
      <c r="C117" s="228" t="s">
        <v>225</v>
      </c>
      <c r="D117" s="496" t="s">
        <v>85</v>
      </c>
      <c r="E117" s="1005" t="s">
        <v>1106</v>
      </c>
      <c r="F117" s="921">
        <v>0</v>
      </c>
      <c r="G117" s="496"/>
      <c r="H117" s="200"/>
      <c r="I117" s="200"/>
      <c r="M117" s="459"/>
    </row>
    <row r="118" spans="1:13" ht="12.75">
      <c r="A118" s="500"/>
      <c r="B118" s="537"/>
      <c r="C118" s="494" t="s">
        <v>614</v>
      </c>
      <c r="D118" s="496" t="s">
        <v>85</v>
      </c>
      <c r="E118" s="1005" t="s">
        <v>1106</v>
      </c>
      <c r="F118" s="921">
        <v>0</v>
      </c>
      <c r="G118" s="496"/>
      <c r="H118" s="200"/>
      <c r="I118" s="200"/>
      <c r="M118" s="459"/>
    </row>
    <row r="119" spans="1:13" ht="12.75">
      <c r="A119" s="500"/>
      <c r="B119" s="537"/>
      <c r="C119" s="228" t="s">
        <v>615</v>
      </c>
      <c r="D119" s="496" t="s">
        <v>85</v>
      </c>
      <c r="E119" s="1005" t="s">
        <v>1106</v>
      </c>
      <c r="F119" s="921">
        <v>0</v>
      </c>
      <c r="G119" s="496"/>
      <c r="H119" s="200"/>
      <c r="I119" s="200"/>
      <c r="M119" s="459"/>
    </row>
    <row r="120" spans="1:13" ht="12.75">
      <c r="A120" s="500"/>
      <c r="B120" s="537"/>
      <c r="C120" s="228" t="s">
        <v>744</v>
      </c>
      <c r="D120" s="496" t="s">
        <v>85</v>
      </c>
      <c r="E120" s="1005" t="s">
        <v>1106</v>
      </c>
      <c r="F120" s="921">
        <v>0</v>
      </c>
      <c r="G120" s="496"/>
      <c r="H120" s="200"/>
      <c r="I120" s="200"/>
      <c r="M120" s="459"/>
    </row>
    <row r="121" spans="1:13" ht="12.75">
      <c r="A121" s="500"/>
      <c r="B121" s="537"/>
      <c r="C121" s="494" t="s">
        <v>745</v>
      </c>
      <c r="D121" s="496" t="s">
        <v>85</v>
      </c>
      <c r="E121" s="1005" t="s">
        <v>1106</v>
      </c>
      <c r="F121" s="921">
        <v>0</v>
      </c>
      <c r="G121" s="496"/>
      <c r="H121" s="200"/>
      <c r="I121" s="200"/>
      <c r="M121" s="459"/>
    </row>
    <row r="122" spans="1:13" ht="12.75">
      <c r="A122" s="500"/>
      <c r="B122" s="537"/>
      <c r="C122" s="228" t="s">
        <v>746</v>
      </c>
      <c r="D122" s="496" t="s">
        <v>85</v>
      </c>
      <c r="E122" s="1005" t="s">
        <v>1106</v>
      </c>
      <c r="F122" s="921">
        <v>0</v>
      </c>
      <c r="G122" s="496"/>
      <c r="H122" s="200"/>
      <c r="I122" s="200"/>
      <c r="M122" s="459"/>
    </row>
    <row r="123" spans="1:13" ht="12.75">
      <c r="A123" s="500"/>
      <c r="B123" s="537"/>
      <c r="C123" s="228" t="s">
        <v>747</v>
      </c>
      <c r="D123" s="496" t="s">
        <v>85</v>
      </c>
      <c r="E123" s="1005" t="s">
        <v>1106</v>
      </c>
      <c r="F123" s="921">
        <v>0</v>
      </c>
      <c r="G123" s="496"/>
      <c r="H123" s="200"/>
      <c r="I123" s="200"/>
      <c r="M123" s="459"/>
    </row>
    <row r="124" spans="1:13" ht="12.75">
      <c r="A124" s="500"/>
      <c r="B124" s="537"/>
      <c r="C124" s="494" t="s">
        <v>646</v>
      </c>
      <c r="D124" s="496" t="s">
        <v>85</v>
      </c>
      <c r="E124" s="1005" t="s">
        <v>1106</v>
      </c>
      <c r="F124" s="921">
        <v>0</v>
      </c>
      <c r="G124" s="496"/>
      <c r="H124" s="200"/>
      <c r="I124" s="200"/>
      <c r="M124" s="459"/>
    </row>
    <row r="125" spans="1:13" ht="12.75">
      <c r="A125" s="457"/>
      <c r="B125" s="297"/>
      <c r="C125" s="494" t="s">
        <v>647</v>
      </c>
      <c r="D125" s="496" t="s">
        <v>85</v>
      </c>
      <c r="E125" s="1005" t="s">
        <v>1106</v>
      </c>
      <c r="F125" s="1010">
        <v>0</v>
      </c>
      <c r="G125" s="679"/>
      <c r="H125" s="200"/>
      <c r="I125" s="200"/>
      <c r="M125" s="459"/>
    </row>
    <row r="126" spans="1:13" ht="15">
      <c r="A126" s="502"/>
      <c r="B126" s="537"/>
      <c r="C126" s="551" t="s">
        <v>741</v>
      </c>
      <c r="D126" s="103" t="s">
        <v>769</v>
      </c>
      <c r="E126" s="1007" t="s">
        <v>1106</v>
      </c>
      <c r="F126" s="1012">
        <v>0</v>
      </c>
      <c r="G126" s="974">
        <f>+F126</f>
        <v>0</v>
      </c>
      <c r="H126" s="496"/>
      <c r="I126" s="496"/>
      <c r="J126" s="455"/>
      <c r="K126" s="455"/>
      <c r="L126" s="455"/>
      <c r="M126" s="492"/>
    </row>
    <row r="127" spans="1:13" ht="12.75">
      <c r="A127" s="502"/>
      <c r="B127" s="455"/>
      <c r="C127" s="506" t="s">
        <v>773</v>
      </c>
      <c r="D127" s="496"/>
      <c r="E127" s="504"/>
      <c r="F127" s="552">
        <f>AVERAGE(F125:F126)</f>
        <v>0</v>
      </c>
      <c r="G127" s="416">
        <f>+G126</f>
        <v>0</v>
      </c>
      <c r="H127" s="496"/>
      <c r="I127" s="455"/>
      <c r="J127" s="458"/>
      <c r="K127" s="458"/>
      <c r="L127" s="458"/>
      <c r="M127" s="459"/>
    </row>
    <row r="128" spans="1:13" ht="12.75">
      <c r="A128" s="502"/>
      <c r="B128" s="455"/>
      <c r="C128" s="228"/>
      <c r="D128" s="496"/>
      <c r="E128" s="503"/>
      <c r="F128" s="520"/>
      <c r="G128" s="679"/>
      <c r="H128" s="409"/>
      <c r="I128" s="460"/>
      <c r="J128" s="458"/>
      <c r="K128" s="458"/>
      <c r="L128" s="458"/>
      <c r="M128" s="459"/>
    </row>
    <row r="129" spans="1:13" ht="12.75">
      <c r="A129" s="500"/>
      <c r="B129" s="537"/>
      <c r="C129" s="550" t="s">
        <v>2</v>
      </c>
      <c r="D129" s="496" t="s">
        <v>748</v>
      </c>
      <c r="E129" s="409"/>
      <c r="F129" s="492"/>
      <c r="G129" s="479"/>
      <c r="H129" s="496"/>
      <c r="I129" s="455"/>
      <c r="J129" s="458"/>
      <c r="K129" s="458"/>
      <c r="L129" s="458"/>
      <c r="M129" s="459"/>
    </row>
    <row r="130" spans="1:13" ht="15">
      <c r="A130" s="502"/>
      <c r="B130" s="499"/>
      <c r="C130" s="297" t="s">
        <v>763</v>
      </c>
      <c r="D130" s="42" t="s">
        <v>315</v>
      </c>
      <c r="E130" s="1005" t="s">
        <v>982</v>
      </c>
      <c r="F130" s="1010">
        <v>0</v>
      </c>
      <c r="G130" s="679"/>
      <c r="H130" s="409"/>
      <c r="I130" s="797"/>
      <c r="J130" s="458"/>
      <c r="K130" s="458"/>
      <c r="L130" s="458"/>
      <c r="M130" s="459"/>
    </row>
    <row r="131" spans="1:13" ht="15">
      <c r="A131" s="502"/>
      <c r="B131" s="499"/>
      <c r="C131" s="551" t="s">
        <v>763</v>
      </c>
      <c r="D131" s="103" t="s">
        <v>315</v>
      </c>
      <c r="E131" s="1007" t="s">
        <v>1106</v>
      </c>
      <c r="F131" s="1011">
        <v>0</v>
      </c>
      <c r="G131" s="974">
        <f>+F131</f>
        <v>0</v>
      </c>
      <c r="H131" s="409"/>
      <c r="I131" s="494"/>
      <c r="J131" s="458"/>
      <c r="K131" s="458"/>
      <c r="L131" s="458"/>
      <c r="M131" s="459"/>
    </row>
    <row r="132" spans="1:13" ht="12.75">
      <c r="A132" s="500">
        <f>'Appendix A'!A49</f>
        <v>28</v>
      </c>
      <c r="B132" s="455"/>
      <c r="C132" s="454" t="str">
        <f>'Appendix A'!C49</f>
        <v>Common Plant Accumulated Depreciation (Electric Only)</v>
      </c>
      <c r="D132" s="496"/>
      <c r="E132" s="769"/>
      <c r="F132" s="552">
        <f>AVERAGE(F130:F131)</f>
        <v>0</v>
      </c>
      <c r="G132" s="416">
        <f>+G131</f>
        <v>0</v>
      </c>
      <c r="H132" s="464"/>
      <c r="I132" s="494"/>
      <c r="J132" s="458"/>
      <c r="K132" s="458"/>
      <c r="L132" s="458"/>
      <c r="M132" s="459"/>
    </row>
    <row r="133" spans="1:13" ht="12.75">
      <c r="A133" s="500"/>
      <c r="B133" s="455"/>
      <c r="C133" s="506"/>
      <c r="D133" s="455"/>
      <c r="E133" s="504"/>
      <c r="F133" s="552"/>
      <c r="G133" s="661"/>
      <c r="H133" s="464"/>
      <c r="I133" s="494"/>
      <c r="J133" s="458"/>
      <c r="K133" s="458"/>
      <c r="L133" s="458"/>
      <c r="M133" s="459"/>
    </row>
    <row r="134" spans="1:13" s="483" customFormat="1" ht="13.5" thickBot="1">
      <c r="A134" s="511">
        <f>'Appendix A'!A16</f>
        <v>7</v>
      </c>
      <c r="B134" s="811"/>
      <c r="C134" s="812" t="str">
        <f>'Appendix A'!C16</f>
        <v>Total Accumulated Depreciation</v>
      </c>
      <c r="D134" s="813" t="s">
        <v>764</v>
      </c>
      <c r="E134" s="814"/>
      <c r="F134" s="815">
        <f>F85+F101+F106+F111+F127+F132</f>
        <v>1513211278.9007692</v>
      </c>
      <c r="G134" s="816">
        <f>G85+G101+G106+G111+G127+G132</f>
        <v>1561803649</v>
      </c>
      <c r="H134" s="817"/>
      <c r="I134" s="799"/>
      <c r="J134" s="514"/>
      <c r="K134" s="498"/>
      <c r="L134" s="498"/>
      <c r="M134" s="818"/>
    </row>
    <row r="135" spans="1:13" ht="12.75">
      <c r="A135" s="509"/>
      <c r="B135" s="499"/>
      <c r="C135" s="228"/>
      <c r="D135" s="455"/>
      <c r="E135" s="503"/>
      <c r="F135" s="228"/>
      <c r="G135" s="549"/>
      <c r="H135" s="464"/>
      <c r="I135" s="464"/>
      <c r="J135" s="458"/>
      <c r="K135" s="458"/>
      <c r="L135" s="458"/>
      <c r="M135" s="458"/>
    </row>
    <row r="136" spans="1:17" ht="14.25" thickBot="1">
      <c r="A136" s="797" t="s">
        <v>190</v>
      </c>
      <c r="B136" s="585"/>
      <c r="C136" s="381"/>
      <c r="D136" s="586"/>
      <c r="E136" s="587"/>
      <c r="F136" s="588"/>
      <c r="G136" s="206"/>
      <c r="H136" s="206"/>
      <c r="I136" s="206"/>
      <c r="J136" s="206"/>
      <c r="K136" s="206"/>
      <c r="L136" s="206"/>
      <c r="M136" s="206"/>
      <c r="N136" s="206"/>
      <c r="O136" s="206"/>
      <c r="P136" s="206"/>
      <c r="Q136" s="206"/>
    </row>
    <row r="137" spans="1:13" ht="13.5">
      <c r="A137" s="1393" t="s">
        <v>50</v>
      </c>
      <c r="B137" s="1394"/>
      <c r="C137" s="1394"/>
      <c r="D137" s="1394"/>
      <c r="E137" s="1394"/>
      <c r="F137" s="1395"/>
      <c r="G137" s="805" t="s">
        <v>590</v>
      </c>
      <c r="H137" s="806" t="s">
        <v>191</v>
      </c>
      <c r="I137" s="806" t="s">
        <v>192</v>
      </c>
      <c r="J137" s="806" t="s">
        <v>566</v>
      </c>
      <c r="K137" s="573"/>
      <c r="L137" s="609"/>
      <c r="M137" s="610"/>
    </row>
    <row r="138" spans="1:13" ht="13.5">
      <c r="A138" s="589"/>
      <c r="B138" s="590" t="s">
        <v>438</v>
      </c>
      <c r="C138" s="586"/>
      <c r="D138" s="207"/>
      <c r="E138" s="244"/>
      <c r="F138" s="231"/>
      <c r="G138" s="232"/>
      <c r="H138" s="207"/>
      <c r="I138" s="207"/>
      <c r="J138" s="611"/>
      <c r="K138" s="611"/>
      <c r="L138" s="612"/>
      <c r="M138" s="613"/>
    </row>
    <row r="139" spans="1:13" ht="15" customHeight="1">
      <c r="A139" s="591">
        <f>'Appendix A'!A47</f>
        <v>26</v>
      </c>
      <c r="B139" s="207"/>
      <c r="C139" s="592" t="str">
        <f>'Appendix A'!C47</f>
        <v>Accumulated Intangible Depreciation</v>
      </c>
      <c r="D139" s="586"/>
      <c r="E139" s="601"/>
      <c r="F139" s="1321" t="s">
        <v>193</v>
      </c>
      <c r="G139" s="922">
        <v>210988726</v>
      </c>
      <c r="H139" s="1066">
        <v>210988726</v>
      </c>
      <c r="I139" s="580"/>
      <c r="J139" s="614"/>
      <c r="K139" s="614"/>
      <c r="L139" s="615"/>
      <c r="M139" s="616"/>
    </row>
    <row r="140" spans="1:13" ht="13.5">
      <c r="A140" s="591">
        <f>'Appendix A'!A48</f>
        <v>27</v>
      </c>
      <c r="B140" s="207"/>
      <c r="C140" s="597" t="str">
        <f>'Appendix A'!C48</f>
        <v>Accumulated Common Amortization - Electric</v>
      </c>
      <c r="D140" s="586"/>
      <c r="E140" s="1359"/>
      <c r="F140" s="1322" t="s">
        <v>315</v>
      </c>
      <c r="G140" s="922">
        <v>0</v>
      </c>
      <c r="H140" s="1066">
        <v>0</v>
      </c>
      <c r="I140" s="580"/>
      <c r="J140" s="614"/>
      <c r="K140" s="614"/>
      <c r="L140" s="615"/>
      <c r="M140" s="616"/>
    </row>
    <row r="141" spans="1:13" ht="13.5">
      <c r="A141" s="591">
        <f>'Appendix A'!A49</f>
        <v>28</v>
      </c>
      <c r="B141" s="586"/>
      <c r="C141" s="597" t="str">
        <f>'Appendix A'!C49</f>
        <v>Common Plant Accumulated Depreciation (Electric Only)</v>
      </c>
      <c r="D141" s="586"/>
      <c r="E141" s="1359"/>
      <c r="F141" s="1322" t="s">
        <v>315</v>
      </c>
      <c r="G141" s="922">
        <v>0</v>
      </c>
      <c r="H141" s="1066">
        <v>0</v>
      </c>
      <c r="I141" s="580"/>
      <c r="J141" s="614"/>
      <c r="K141" s="614"/>
      <c r="L141" s="615"/>
      <c r="M141" s="616"/>
    </row>
    <row r="142" spans="1:13" ht="13.5">
      <c r="A142" s="589"/>
      <c r="B142" s="590" t="s">
        <v>398</v>
      </c>
      <c r="C142" s="586"/>
      <c r="D142" s="586"/>
      <c r="E142" s="593"/>
      <c r="F142" s="594"/>
      <c r="G142" s="232"/>
      <c r="H142" s="207"/>
      <c r="I142" s="208"/>
      <c r="J142" s="577"/>
      <c r="K142" s="577"/>
      <c r="L142" s="578"/>
      <c r="M142" s="579"/>
    </row>
    <row r="143" spans="1:13" ht="13.5">
      <c r="A143" s="591">
        <f>'Appendix A'!A33</f>
        <v>17</v>
      </c>
      <c r="B143" s="585"/>
      <c r="C143" s="597" t="str">
        <f>'Appendix A'!C33</f>
        <v>Common Plant (Electric Only)</v>
      </c>
      <c r="D143" s="384"/>
      <c r="E143" s="794"/>
      <c r="F143" s="1322" t="s">
        <v>315</v>
      </c>
      <c r="G143" s="1068">
        <v>0</v>
      </c>
      <c r="H143" s="1066">
        <v>0</v>
      </c>
      <c r="I143" s="580"/>
      <c r="J143" s="617"/>
      <c r="K143" s="617"/>
      <c r="L143" s="618"/>
      <c r="M143" s="619"/>
    </row>
    <row r="144" spans="1:13" ht="13.5">
      <c r="A144" s="591"/>
      <c r="B144" s="595" t="s">
        <v>342</v>
      </c>
      <c r="C144" s="597"/>
      <c r="D144" s="795"/>
      <c r="E144" s="794"/>
      <c r="F144" s="598"/>
      <c r="G144" s="232"/>
      <c r="H144" s="207"/>
      <c r="I144" s="207"/>
      <c r="J144" s="577"/>
      <c r="K144" s="577"/>
      <c r="L144" s="578"/>
      <c r="M144" s="579"/>
    </row>
    <row r="145" spans="1:13" ht="15.75" customHeight="1">
      <c r="A145" s="323">
        <f>'Appendix A'!A78</f>
        <v>42</v>
      </c>
      <c r="B145" s="208"/>
      <c r="C145" s="597" t="str">
        <f>'Appendix A'!C78</f>
        <v>Undistributed Stores Exp</v>
      </c>
      <c r="D145" s="795"/>
      <c r="E145" s="1360"/>
      <c r="F145" s="600" t="s">
        <v>207</v>
      </c>
      <c r="G145" s="922">
        <v>1293344</v>
      </c>
      <c r="H145" s="1066">
        <v>1293344</v>
      </c>
      <c r="I145" s="580"/>
      <c r="J145" s="620"/>
      <c r="K145" s="620"/>
      <c r="L145" s="615"/>
      <c r="M145" s="616"/>
    </row>
    <row r="146" spans="1:13" ht="13.5">
      <c r="A146" s="591"/>
      <c r="B146" s="590" t="s">
        <v>333</v>
      </c>
      <c r="C146" s="597"/>
      <c r="D146" s="795"/>
      <c r="E146" s="796"/>
      <c r="F146" s="600"/>
      <c r="G146" s="232"/>
      <c r="H146" s="207"/>
      <c r="I146" s="207"/>
      <c r="J146" s="577"/>
      <c r="K146" s="577"/>
      <c r="L146" s="578"/>
      <c r="M146" s="579"/>
    </row>
    <row r="147" spans="1:13" ht="13.5">
      <c r="A147" s="591">
        <f>'Appendix A'!A100</f>
        <v>55</v>
      </c>
      <c r="B147" s="590"/>
      <c r="C147" s="597" t="str">
        <f>'Appendix A'!C100</f>
        <v>     Plus Net Transmission Lease Payments</v>
      </c>
      <c r="D147" s="1231"/>
      <c r="E147" s="1361"/>
      <c r="F147" s="600" t="s">
        <v>281</v>
      </c>
      <c r="G147" s="1068">
        <v>0</v>
      </c>
      <c r="H147" s="1068">
        <v>0</v>
      </c>
      <c r="I147" s="208"/>
      <c r="J147" s="577"/>
      <c r="K147" s="577"/>
      <c r="L147" s="578"/>
      <c r="M147" s="579"/>
    </row>
    <row r="148" spans="1:13" ht="13.5">
      <c r="A148" s="591">
        <f>'Appendix A'!A104</f>
        <v>57</v>
      </c>
      <c r="B148" s="601"/>
      <c r="C148" s="597" t="str">
        <f>'Appendix A'!C104</f>
        <v>Common Plant O&amp;M</v>
      </c>
      <c r="D148" s="795"/>
      <c r="E148" s="200"/>
      <c r="F148" s="1322" t="s">
        <v>315</v>
      </c>
      <c r="G148" s="1068">
        <v>0</v>
      </c>
      <c r="H148" s="1065">
        <v>0</v>
      </c>
      <c r="I148" s="580"/>
      <c r="J148" s="614"/>
      <c r="K148" s="614"/>
      <c r="L148" s="615"/>
      <c r="M148" s="616"/>
    </row>
    <row r="149" spans="1:18" ht="13.5">
      <c r="A149" s="589"/>
      <c r="B149" s="602" t="s">
        <v>311</v>
      </c>
      <c r="C149" s="596"/>
      <c r="D149" s="586"/>
      <c r="E149" s="1135"/>
      <c r="F149" s="600"/>
      <c r="G149" s="795"/>
      <c r="H149" s="208"/>
      <c r="I149" s="208"/>
      <c r="J149" s="621"/>
      <c r="K149" s="621"/>
      <c r="L149" s="621"/>
      <c r="M149" s="622"/>
      <c r="N149"/>
      <c r="O149" s="1114"/>
      <c r="P149" s="1114"/>
      <c r="Q149" s="1114"/>
      <c r="R149" s="1114"/>
    </row>
    <row r="150" spans="1:18" ht="15.75" customHeight="1">
      <c r="A150" s="603">
        <f>'Appendix A'!A136</f>
        <v>80</v>
      </c>
      <c r="B150" s="604"/>
      <c r="C150" s="596" t="str">
        <f>'Appendix A'!C136</f>
        <v>Intangible Amortization</v>
      </c>
      <c r="E150" s="1360"/>
      <c r="F150" s="1322" t="s">
        <v>560</v>
      </c>
      <c r="G150" s="922">
        <v>52421018</v>
      </c>
      <c r="H150" s="1066">
        <v>52421018</v>
      </c>
      <c r="I150" s="208"/>
      <c r="J150" s="614"/>
      <c r="K150" s="614"/>
      <c r="L150" s="615"/>
      <c r="M150" s="616"/>
      <c r="N150"/>
      <c r="O150" s="1113"/>
      <c r="P150" s="1113"/>
      <c r="Q150" s="1113"/>
      <c r="R150" s="1113"/>
    </row>
    <row r="151" spans="1:18" ht="13.5">
      <c r="A151" s="603">
        <f>'Appendix A'!A141</f>
        <v>84</v>
      </c>
      <c r="B151" s="605"/>
      <c r="C151" s="596" t="str">
        <f>'Appendix A'!C141</f>
        <v>Common Depreciation - Electric Only</v>
      </c>
      <c r="D151" s="599"/>
      <c r="E151" s="1359"/>
      <c r="F151" s="1322" t="s">
        <v>468</v>
      </c>
      <c r="G151" s="922">
        <v>0</v>
      </c>
      <c r="H151" s="1065">
        <v>0</v>
      </c>
      <c r="I151" s="580"/>
      <c r="J151" s="584"/>
      <c r="K151" s="584"/>
      <c r="L151" s="584"/>
      <c r="M151" s="623"/>
      <c r="N151"/>
      <c r="O151" s="1113"/>
      <c r="P151" s="1113"/>
      <c r="Q151" s="1113"/>
      <c r="R151" s="1113"/>
    </row>
    <row r="152" spans="1:18" ht="14.25" thickBot="1">
      <c r="A152" s="606">
        <f>'Appendix A'!A142</f>
        <v>85</v>
      </c>
      <c r="B152" s="607"/>
      <c r="C152" s="626" t="str">
        <f>'Appendix A'!C142</f>
        <v>Common Amortization - Electric Only</v>
      </c>
      <c r="D152" s="608"/>
      <c r="E152" s="1362"/>
      <c r="F152" s="1323" t="s">
        <v>467</v>
      </c>
      <c r="G152" s="629">
        <v>0</v>
      </c>
      <c r="H152" s="1067">
        <v>0</v>
      </c>
      <c r="I152" s="582"/>
      <c r="J152" s="624"/>
      <c r="K152" s="624"/>
      <c r="L152" s="624"/>
      <c r="M152" s="625"/>
      <c r="N152"/>
      <c r="O152" s="1113"/>
      <c r="P152" s="1113"/>
      <c r="Q152" s="1113"/>
      <c r="R152" s="1113"/>
    </row>
    <row r="153" spans="1:17" ht="15">
      <c r="A153" s="230"/>
      <c r="B153" s="581"/>
      <c r="C153" s="574"/>
      <c r="D153" s="229"/>
      <c r="E153" s="575"/>
      <c r="F153" s="583"/>
      <c r="G153" s="576"/>
      <c r="H153" s="580"/>
      <c r="I153" s="576"/>
      <c r="J153" s="584"/>
      <c r="K153" s="584"/>
      <c r="L153" s="584"/>
      <c r="M153" s="584"/>
      <c r="N153" s="584"/>
      <c r="O153" s="584"/>
      <c r="P153" s="584"/>
      <c r="Q153" s="584"/>
    </row>
    <row r="154" ht="13.5" thickBot="1">
      <c r="A154" s="797" t="s">
        <v>642</v>
      </c>
    </row>
    <row r="155" spans="1:13" ht="50.25" customHeight="1" thickBot="1">
      <c r="A155" s="1401" t="s">
        <v>50</v>
      </c>
      <c r="B155" s="1402"/>
      <c r="C155" s="1402"/>
      <c r="D155" s="1402"/>
      <c r="E155" s="1402"/>
      <c r="F155" s="1409"/>
      <c r="G155" s="904" t="s">
        <v>737</v>
      </c>
      <c r="H155" s="807" t="s">
        <v>736</v>
      </c>
      <c r="I155" s="807" t="s">
        <v>493</v>
      </c>
      <c r="J155" s="1416" t="s">
        <v>566</v>
      </c>
      <c r="K155" s="1416"/>
      <c r="L155" s="1416"/>
      <c r="M155" s="1417"/>
    </row>
    <row r="156" spans="1:13" ht="12.75">
      <c r="A156" s="676">
        <f>+'Appendix A'!A68</f>
        <v>38</v>
      </c>
      <c r="B156" s="546"/>
      <c r="C156" s="677" t="str">
        <f>+'Appendix A'!B68</f>
        <v>Plant Held for Future Use </v>
      </c>
      <c r="D156" s="1363"/>
      <c r="E156" s="1324" t="s">
        <v>477</v>
      </c>
      <c r="F156" s="481" t="s">
        <v>449</v>
      </c>
      <c r="G156" s="1068">
        <v>0</v>
      </c>
      <c r="H156" s="1068">
        <v>0</v>
      </c>
      <c r="I156" s="1068">
        <f>H156</f>
        <v>0</v>
      </c>
      <c r="J156" s="975"/>
      <c r="K156" s="458"/>
      <c r="L156" s="458"/>
      <c r="M156" s="459"/>
    </row>
    <row r="157" spans="1:13" ht="12.75">
      <c r="A157" s="673"/>
      <c r="B157" s="674"/>
      <c r="C157" s="674"/>
      <c r="D157" s="674"/>
      <c r="E157" s="297"/>
      <c r="F157" s="508" t="s">
        <v>637</v>
      </c>
      <c r="G157" s="1068">
        <v>0</v>
      </c>
      <c r="H157" s="1068">
        <v>0</v>
      </c>
      <c r="I157" s="1068"/>
      <c r="J157" s="975"/>
      <c r="K157" s="458"/>
      <c r="L157" s="458"/>
      <c r="M157" s="459"/>
    </row>
    <row r="158" spans="1:13" ht="13.5" thickBot="1">
      <c r="A158" s="482"/>
      <c r="B158" s="483"/>
      <c r="C158" s="483"/>
      <c r="D158" s="483"/>
      <c r="E158" s="483"/>
      <c r="F158" s="518" t="s">
        <v>591</v>
      </c>
      <c r="G158" s="1069">
        <f>G156-G157</f>
        <v>0</v>
      </c>
      <c r="H158" s="1070">
        <f>H156-H157</f>
        <v>0</v>
      </c>
      <c r="I158" s="1071">
        <f>+(G158+H158)/2</f>
        <v>0</v>
      </c>
      <c r="J158" s="1424"/>
      <c r="K158" s="1424"/>
      <c r="L158" s="1424"/>
      <c r="M158" s="1425"/>
    </row>
    <row r="159" spans="1:13" ht="12.75">
      <c r="A159" s="509"/>
      <c r="B159" s="509"/>
      <c r="C159" s="506"/>
      <c r="D159" s="519"/>
      <c r="E159" s="503"/>
      <c r="F159" s="228"/>
      <c r="G159" s="460"/>
      <c r="H159" s="460"/>
      <c r="I159" s="460"/>
      <c r="J159" s="458"/>
      <c r="K159" s="458"/>
      <c r="L159" s="458"/>
      <c r="M159" s="458"/>
    </row>
    <row r="160" ht="13.5" thickBot="1">
      <c r="A160" s="797" t="s">
        <v>660</v>
      </c>
    </row>
    <row r="161" spans="1:13" ht="61.5" customHeight="1" thickBot="1">
      <c r="A161" s="1401" t="s">
        <v>50</v>
      </c>
      <c r="B161" s="1402"/>
      <c r="C161" s="1402"/>
      <c r="D161" s="1402"/>
      <c r="E161" s="1402"/>
      <c r="F161" s="1409"/>
      <c r="G161" s="807" t="s">
        <v>590</v>
      </c>
      <c r="H161" s="807" t="s">
        <v>638</v>
      </c>
      <c r="I161" s="807" t="s">
        <v>592</v>
      </c>
      <c r="J161" s="1416" t="s">
        <v>566</v>
      </c>
      <c r="K161" s="1416"/>
      <c r="L161" s="1416"/>
      <c r="M161" s="1417"/>
    </row>
    <row r="162" spans="1:13" ht="12.75">
      <c r="A162" s="500"/>
      <c r="B162" s="501" t="s">
        <v>438</v>
      </c>
      <c r="C162" s="507"/>
      <c r="D162" s="297"/>
      <c r="E162" s="464"/>
      <c r="F162" s="466"/>
      <c r="G162" s="297"/>
      <c r="H162" s="297"/>
      <c r="I162" s="297"/>
      <c r="J162" s="1428"/>
      <c r="K162" s="1428"/>
      <c r="L162" s="1428"/>
      <c r="M162" s="1429"/>
    </row>
    <row r="163" spans="1:13" ht="12.75">
      <c r="A163" s="502">
        <f>'Appendix A'!A15</f>
        <v>6</v>
      </c>
      <c r="B163" s="297"/>
      <c r="C163" s="228" t="str">
        <f>'Appendix A'!C15</f>
        <v>Total Plant In Service</v>
      </c>
      <c r="D163" s="455"/>
      <c r="E163" s="503"/>
      <c r="F163" s="508" t="s">
        <v>479</v>
      </c>
      <c r="G163" s="922">
        <v>4788761824</v>
      </c>
      <c r="H163" s="409"/>
      <c r="I163" s="460"/>
      <c r="J163" s="1436"/>
      <c r="K163" s="1436"/>
      <c r="L163" s="1436"/>
      <c r="M163" s="1437"/>
    </row>
    <row r="164" spans="1:13" ht="12.75">
      <c r="A164" s="500"/>
      <c r="B164" s="501" t="s">
        <v>398</v>
      </c>
      <c r="C164" s="507"/>
      <c r="D164" s="455"/>
      <c r="E164" s="504"/>
      <c r="F164" s="508"/>
      <c r="G164" s="465"/>
      <c r="H164" s="329"/>
      <c r="I164" s="297"/>
      <c r="J164" s="1436"/>
      <c r="K164" s="1436"/>
      <c r="L164" s="1436"/>
      <c r="M164" s="1437"/>
    </row>
    <row r="165" spans="1:13" ht="12.75">
      <c r="A165" s="502">
        <f>+'Appendix A'!A28</f>
        <v>13</v>
      </c>
      <c r="B165" s="499"/>
      <c r="C165" s="228" t="str">
        <f>+'Appendix A'!C28</f>
        <v>Transmission Plant In Service</v>
      </c>
      <c r="D165" s="455"/>
      <c r="E165" s="503"/>
      <c r="F165" s="508" t="s">
        <v>327</v>
      </c>
      <c r="G165" s="922">
        <v>996230126</v>
      </c>
      <c r="H165" s="409"/>
      <c r="I165" s="464"/>
      <c r="J165" s="1436"/>
      <c r="K165" s="1436"/>
      <c r="L165" s="1436"/>
      <c r="M165" s="1437"/>
    </row>
    <row r="166" spans="1:13" ht="12.75">
      <c r="A166" s="500">
        <f>+'Appendix A'!A33</f>
        <v>17</v>
      </c>
      <c r="B166" s="297"/>
      <c r="C166" s="507" t="str">
        <f>+'Appendix A'!C33</f>
        <v>Common Plant (Electric Only)</v>
      </c>
      <c r="D166" s="297"/>
      <c r="E166" s="881"/>
      <c r="F166" s="508" t="s">
        <v>315</v>
      </c>
      <c r="G166" s="922">
        <v>0</v>
      </c>
      <c r="H166" s="409"/>
      <c r="I166" s="464"/>
      <c r="J166" s="1436"/>
      <c r="K166" s="1436"/>
      <c r="L166" s="1436"/>
      <c r="M166" s="1437"/>
    </row>
    <row r="167" spans="1:13" ht="12.75">
      <c r="A167" s="502"/>
      <c r="B167" s="501" t="s">
        <v>344</v>
      </c>
      <c r="C167" s="506"/>
      <c r="D167" s="522"/>
      <c r="E167" s="504"/>
      <c r="F167" s="508"/>
      <c r="G167" s="297"/>
      <c r="H167" s="329"/>
      <c r="I167" s="297"/>
      <c r="J167" s="297"/>
      <c r="K167" s="297"/>
      <c r="L167" s="297"/>
      <c r="M167" s="466"/>
    </row>
    <row r="168" spans="1:13" ht="13.5" thickBot="1">
      <c r="A168" s="511">
        <f>+'Appendix A'!A42</f>
        <v>22</v>
      </c>
      <c r="B168" s="525"/>
      <c r="C168" s="513" t="str">
        <f>+'Appendix A'!C42</f>
        <v>Transmission Accumulated Depreciation</v>
      </c>
      <c r="D168" s="498"/>
      <c r="E168" s="515"/>
      <c r="F168" s="518" t="s">
        <v>478</v>
      </c>
      <c r="G168" s="629">
        <v>293970540</v>
      </c>
      <c r="H168" s="976"/>
      <c r="I168" s="467"/>
      <c r="J168" s="1424"/>
      <c r="K168" s="1424"/>
      <c r="L168" s="1424"/>
      <c r="M168" s="1425"/>
    </row>
    <row r="170" ht="13.5" thickBot="1">
      <c r="A170" s="797" t="s">
        <v>126</v>
      </c>
    </row>
    <row r="171" spans="1:13" ht="25.5" customHeight="1" thickBot="1">
      <c r="A171" s="1401" t="s">
        <v>50</v>
      </c>
      <c r="B171" s="1402"/>
      <c r="C171" s="1402"/>
      <c r="D171" s="1402"/>
      <c r="E171" s="1402"/>
      <c r="F171" s="1409"/>
      <c r="G171" s="904" t="s">
        <v>590</v>
      </c>
      <c r="H171" s="807" t="s">
        <v>211</v>
      </c>
      <c r="I171" s="807" t="s">
        <v>237</v>
      </c>
      <c r="J171" s="1416" t="s">
        <v>566</v>
      </c>
      <c r="K171" s="1416"/>
      <c r="L171" s="1416"/>
      <c r="M171" s="1417"/>
    </row>
    <row r="172" spans="1:29" ht="17.25">
      <c r="A172" s="502"/>
      <c r="B172" s="501" t="s">
        <v>333</v>
      </c>
      <c r="C172" s="496"/>
      <c r="D172" s="496"/>
      <c r="E172" s="461"/>
      <c r="F172" s="508"/>
      <c r="G172" s="200"/>
      <c r="H172" s="200"/>
      <c r="M172" s="466"/>
      <c r="P172" s="1016"/>
      <c r="Q172" s="1016"/>
      <c r="R172" s="200"/>
      <c r="S172" s="200"/>
      <c r="T172" s="200"/>
      <c r="U172" s="200"/>
      <c r="V172" s="200"/>
      <c r="W172" s="200"/>
      <c r="X172" s="200"/>
      <c r="Y172" s="200"/>
      <c r="Z172" s="200"/>
      <c r="AA172" s="200"/>
      <c r="AB172" s="200"/>
      <c r="AC172" s="200"/>
    </row>
    <row r="173" spans="1:29" ht="12.75">
      <c r="A173" s="502"/>
      <c r="B173" s="662"/>
      <c r="C173" s="537" t="s">
        <v>219</v>
      </c>
      <c r="D173" s="496"/>
      <c r="E173" s="461"/>
      <c r="F173" s="508"/>
      <c r="G173" s="922">
        <v>12838680</v>
      </c>
      <c r="H173" s="628">
        <v>3946340</v>
      </c>
      <c r="I173" s="628">
        <f>G173-H173</f>
        <v>8892340</v>
      </c>
      <c r="J173" s="278" t="s">
        <v>221</v>
      </c>
      <c r="M173" s="466"/>
      <c r="P173" s="200"/>
      <c r="Q173" s="200"/>
      <c r="R173" s="200"/>
      <c r="S173" s="200"/>
      <c r="T173" s="200"/>
      <c r="U173" s="200"/>
      <c r="V173" s="200"/>
      <c r="W173" s="200"/>
      <c r="X173" s="200"/>
      <c r="Y173" s="200"/>
      <c r="Z173" s="200"/>
      <c r="AA173" s="200"/>
      <c r="AB173" s="200"/>
      <c r="AC173" s="200"/>
    </row>
    <row r="174" spans="1:29" ht="18" thickBot="1">
      <c r="A174" s="502"/>
      <c r="B174" s="662"/>
      <c r="C174" s="537" t="s">
        <v>220</v>
      </c>
      <c r="D174" s="496"/>
      <c r="E174" s="461"/>
      <c r="F174" s="508" t="s">
        <v>813</v>
      </c>
      <c r="G174" s="629">
        <v>14905456</v>
      </c>
      <c r="H174" s="629">
        <v>2350542</v>
      </c>
      <c r="I174" s="629">
        <f>G174-H174</f>
        <v>12554914</v>
      </c>
      <c r="J174" s="1426" t="s">
        <v>218</v>
      </c>
      <c r="K174" s="1426"/>
      <c r="L174" s="1426"/>
      <c r="M174" s="1427"/>
      <c r="P174" s="1016"/>
      <c r="Q174" s="1016"/>
      <c r="R174" s="1016"/>
      <c r="S174" s="1016"/>
      <c r="T174" s="1016"/>
      <c r="U174" s="1016"/>
      <c r="V174" s="1016"/>
      <c r="W174" s="1016"/>
      <c r="X174" s="1016"/>
      <c r="Y174" s="1016"/>
      <c r="Z174" s="1016"/>
      <c r="AA174" s="200"/>
      <c r="AB174" s="200"/>
      <c r="AC174" s="200"/>
    </row>
    <row r="175" spans="1:29" ht="17.25">
      <c r="A175" s="502"/>
      <c r="B175" s="662"/>
      <c r="C175" s="496" t="s">
        <v>222</v>
      </c>
      <c r="E175" s="461"/>
      <c r="F175" s="508"/>
      <c r="G175" s="658">
        <f>G174-G173</f>
        <v>2066776</v>
      </c>
      <c r="H175" s="451">
        <f>H174-H173</f>
        <v>-1595798</v>
      </c>
      <c r="I175" s="658">
        <f>I174-I173</f>
        <v>3662574</v>
      </c>
      <c r="J175" s="632"/>
      <c r="K175" s="458"/>
      <c r="L175" s="458"/>
      <c r="M175" s="459"/>
      <c r="P175" s="1016"/>
      <c r="Q175" s="1016"/>
      <c r="R175" s="1016"/>
      <c r="S175" s="1016"/>
      <c r="T175" s="1016"/>
      <c r="U175" s="1016"/>
      <c r="V175" s="1016"/>
      <c r="W175" s="1016"/>
      <c r="X175" s="1016"/>
      <c r="Y175" s="1016"/>
      <c r="Z175" s="1016"/>
      <c r="AA175" s="200"/>
      <c r="AB175" s="200"/>
      <c r="AC175" s="200"/>
    </row>
    <row r="176" spans="1:29" ht="12.75">
      <c r="A176" s="457"/>
      <c r="B176" s="537"/>
      <c r="C176" s="496"/>
      <c r="D176" s="496"/>
      <c r="E176" s="461"/>
      <c r="F176" s="508"/>
      <c r="G176" s="457"/>
      <c r="H176" s="297"/>
      <c r="I176" s="658"/>
      <c r="J176" s="632"/>
      <c r="K176" s="458"/>
      <c r="L176" s="458"/>
      <c r="M176" s="459"/>
      <c r="P176" s="200"/>
      <c r="Q176" s="200"/>
      <c r="R176" s="200"/>
      <c r="S176" s="200"/>
      <c r="T176" s="200"/>
      <c r="U176" s="200"/>
      <c r="V176" s="200"/>
      <c r="W176" s="200"/>
      <c r="X176" s="200"/>
      <c r="Y176" s="200"/>
      <c r="Z176" s="200"/>
      <c r="AA176" s="200"/>
      <c r="AB176" s="200"/>
      <c r="AC176" s="200"/>
    </row>
    <row r="177" spans="1:29" ht="17.25">
      <c r="A177" s="502"/>
      <c r="B177" s="496" t="s">
        <v>212</v>
      </c>
      <c r="D177" s="496"/>
      <c r="E177" s="461"/>
      <c r="F177" s="508"/>
      <c r="G177" s="457"/>
      <c r="H177" s="297"/>
      <c r="I177" s="297"/>
      <c r="J177" s="632"/>
      <c r="K177" s="458"/>
      <c r="L177" s="458"/>
      <c r="M177" s="459"/>
      <c r="P177" s="1016"/>
      <c r="Q177" s="1016"/>
      <c r="R177" s="1016"/>
      <c r="S177" s="1016"/>
      <c r="T177" s="1016"/>
      <c r="U177" s="1016"/>
      <c r="V177" s="1016"/>
      <c r="W177" s="1016"/>
      <c r="X177" s="1016"/>
      <c r="Y177" s="1016"/>
      <c r="Z177" s="1016"/>
      <c r="AA177" s="1016"/>
      <c r="AB177" s="1016"/>
      <c r="AC177" s="1016"/>
    </row>
    <row r="178" spans="1:13" ht="12.75">
      <c r="A178" s="502"/>
      <c r="B178" s="509">
        <v>1</v>
      </c>
      <c r="C178" s="278" t="s">
        <v>214</v>
      </c>
      <c r="E178" s="200">
        <v>0.05</v>
      </c>
      <c r="F178" s="508"/>
      <c r="G178" s="457"/>
      <c r="H178" s="297"/>
      <c r="I178" s="660"/>
      <c r="J178" s="632"/>
      <c r="K178" s="458"/>
      <c r="L178" s="458"/>
      <c r="M178" s="459"/>
    </row>
    <row r="179" spans="1:13" ht="12.75">
      <c r="A179" s="502"/>
      <c r="B179" s="509">
        <v>2</v>
      </c>
      <c r="C179" s="496" t="s">
        <v>213</v>
      </c>
      <c r="D179" s="496"/>
      <c r="E179" s="549">
        <f>IF('Appendix A'!G277=0,0,'Appendix A'!G277/1000/12)</f>
        <v>4.250074591601113</v>
      </c>
      <c r="F179" s="508"/>
      <c r="G179" s="457"/>
      <c r="H179" s="297"/>
      <c r="I179" s="297"/>
      <c r="J179" s="632"/>
      <c r="K179" s="458"/>
      <c r="L179" s="458"/>
      <c r="M179" s="459"/>
    </row>
    <row r="180" spans="1:13" ht="12.75">
      <c r="A180" s="502"/>
      <c r="B180" s="509">
        <v>3</v>
      </c>
      <c r="C180" s="496" t="s">
        <v>215</v>
      </c>
      <c r="D180" s="496"/>
      <c r="E180" s="660">
        <f>IF(E179=0,0,'Appendix A'!G271*E178/E179)</f>
        <v>1600200.0000000002</v>
      </c>
      <c r="F180" s="508"/>
      <c r="G180" s="457"/>
      <c r="H180" s="297"/>
      <c r="I180" s="297"/>
      <c r="J180" s="632"/>
      <c r="K180" s="458"/>
      <c r="L180" s="458"/>
      <c r="M180" s="459"/>
    </row>
    <row r="181" spans="1:13" ht="12.75">
      <c r="A181" s="502"/>
      <c r="B181" s="509">
        <v>4</v>
      </c>
      <c r="C181" s="496" t="s">
        <v>216</v>
      </c>
      <c r="D181" s="496"/>
      <c r="E181" s="660">
        <f>IF('Appendix A'!G12=0,0,E180/'Appendix A'!G12)</f>
        <v>9316294.404480377</v>
      </c>
      <c r="F181" s="508" t="s">
        <v>217</v>
      </c>
      <c r="G181" s="457"/>
      <c r="H181" s="297"/>
      <c r="I181" s="297"/>
      <c r="J181" s="632"/>
      <c r="K181" s="458"/>
      <c r="L181" s="458"/>
      <c r="M181" s="459"/>
    </row>
    <row r="182" spans="1:13" ht="12.75">
      <c r="A182" s="502"/>
      <c r="B182" s="509">
        <v>5</v>
      </c>
      <c r="C182" s="496" t="s">
        <v>223</v>
      </c>
      <c r="D182" s="496"/>
      <c r="E182" s="549">
        <f>H175-E181</f>
        <v>-10912092.404480377</v>
      </c>
      <c r="F182" s="508"/>
      <c r="G182" s="457"/>
      <c r="H182" s="297"/>
      <c r="I182" s="297"/>
      <c r="J182" s="632"/>
      <c r="K182" s="458"/>
      <c r="L182" s="458"/>
      <c r="M182" s="459"/>
    </row>
    <row r="183" spans="1:13" ht="12.75">
      <c r="A183" s="502"/>
      <c r="B183" s="509">
        <v>6</v>
      </c>
      <c r="C183" s="228" t="s">
        <v>483</v>
      </c>
      <c r="D183" s="496"/>
      <c r="E183" s="549"/>
      <c r="F183" s="508"/>
      <c r="G183" s="457"/>
      <c r="H183" s="297"/>
      <c r="I183" s="297"/>
      <c r="J183" s="632"/>
      <c r="K183" s="458"/>
      <c r="L183" s="458"/>
      <c r="M183" s="459"/>
    </row>
    <row r="184" spans="1:13" ht="12.75">
      <c r="A184" s="502"/>
      <c r="B184" s="509"/>
      <c r="C184" s="228"/>
      <c r="D184" s="496"/>
      <c r="E184" s="549"/>
      <c r="F184" s="508"/>
      <c r="G184" s="457"/>
      <c r="H184" s="297"/>
      <c r="I184" s="297"/>
      <c r="J184" s="632"/>
      <c r="K184" s="458"/>
      <c r="L184" s="458"/>
      <c r="M184" s="459"/>
    </row>
    <row r="185" spans="1:13" ht="12.75">
      <c r="A185" s="502">
        <f>'Appendix A'!A106</f>
        <v>59</v>
      </c>
      <c r="B185" s="509"/>
      <c r="C185" s="228" t="str">
        <f>'Appendix A'!C106</f>
        <v>    Less PBOP Expense in Acct. 926 in Excess of Allowed Amount</v>
      </c>
      <c r="D185" s="496"/>
      <c r="E185" s="549">
        <v>0</v>
      </c>
      <c r="F185" s="508"/>
      <c r="G185" s="457"/>
      <c r="H185" s="297"/>
      <c r="I185" s="297"/>
      <c r="J185" s="632"/>
      <c r="K185" s="458"/>
      <c r="L185" s="458"/>
      <c r="M185" s="459"/>
    </row>
    <row r="186" spans="1:13" ht="12.75">
      <c r="A186" s="502"/>
      <c r="B186" s="501"/>
      <c r="C186" s="228"/>
      <c r="D186" s="496"/>
      <c r="E186" s="661"/>
      <c r="F186" s="508"/>
      <c r="G186" s="200"/>
      <c r="H186" s="200"/>
      <c r="I186" s="200"/>
      <c r="J186" s="632"/>
      <c r="K186" s="458"/>
      <c r="L186" s="458"/>
      <c r="M186" s="459"/>
    </row>
    <row r="187" spans="1:13" ht="13.5" thickBot="1">
      <c r="A187" s="511"/>
      <c r="B187" s="516"/>
      <c r="C187" s="513"/>
      <c r="D187" s="445"/>
      <c r="E187" s="515"/>
      <c r="F187" s="655"/>
      <c r="G187" s="663"/>
      <c r="H187" s="664"/>
      <c r="I187" s="491"/>
      <c r="J187" s="1424"/>
      <c r="K187" s="1424"/>
      <c r="L187" s="1424"/>
      <c r="M187" s="1425"/>
    </row>
    <row r="189" ht="13.5" thickBot="1">
      <c r="A189" s="797" t="s">
        <v>643</v>
      </c>
    </row>
    <row r="190" spans="1:13" ht="13.5" thickBot="1">
      <c r="A190" s="1401" t="s">
        <v>50</v>
      </c>
      <c r="B190" s="1402"/>
      <c r="C190" s="1402"/>
      <c r="D190" s="1402"/>
      <c r="E190" s="1402"/>
      <c r="F190" s="1409"/>
      <c r="G190" s="807" t="str">
        <f>+G161</f>
        <v>Form 1 Amount</v>
      </c>
      <c r="H190" s="807" t="s">
        <v>588</v>
      </c>
      <c r="I190" s="807"/>
      <c r="J190" s="1416" t="s">
        <v>566</v>
      </c>
      <c r="K190" s="1416"/>
      <c r="L190" s="1416"/>
      <c r="M190" s="1417"/>
    </row>
    <row r="191" spans="1:13" ht="12.75">
      <c r="A191" s="502"/>
      <c r="B191" s="501" t="s">
        <v>333</v>
      </c>
      <c r="C191" s="496"/>
      <c r="D191" s="496"/>
      <c r="E191" s="461"/>
      <c r="F191" s="508"/>
      <c r="G191" s="297"/>
      <c r="H191" s="297"/>
      <c r="I191" s="297"/>
      <c r="J191" s="1428"/>
      <c r="K191" s="1428"/>
      <c r="L191" s="1428"/>
      <c r="M191" s="1429"/>
    </row>
    <row r="192" spans="1:13" ht="13.5" thickBot="1">
      <c r="A192" s="511">
        <f>'Appendix A'!A110</f>
        <v>63</v>
      </c>
      <c r="B192" s="516"/>
      <c r="C192" s="513" t="str">
        <f>+'Appendix A'!C110</f>
        <v>    Less EPRI Dues</v>
      </c>
      <c r="D192" s="483"/>
      <c r="E192" s="515"/>
      <c r="F192" s="518" t="str">
        <f>+'Appendix A'!E110</f>
        <v>p352-353</v>
      </c>
      <c r="G192" s="629">
        <v>0</v>
      </c>
      <c r="H192" s="1067"/>
      <c r="I192" s="467"/>
      <c r="J192" s="1424"/>
      <c r="K192" s="1424"/>
      <c r="L192" s="1424"/>
      <c r="M192" s="1425"/>
    </row>
    <row r="194" ht="13.5" thickBot="1">
      <c r="A194" s="797" t="s">
        <v>644</v>
      </c>
    </row>
    <row r="195" spans="1:13" ht="13.5" thickBot="1">
      <c r="A195" s="1401" t="s">
        <v>50</v>
      </c>
      <c r="B195" s="1402"/>
      <c r="C195" s="1402"/>
      <c r="D195" s="1402"/>
      <c r="E195" s="1402"/>
      <c r="F195" s="1409"/>
      <c r="G195" s="807" t="s">
        <v>590</v>
      </c>
      <c r="H195" s="807" t="s">
        <v>591</v>
      </c>
      <c r="I195" s="807" t="s">
        <v>637</v>
      </c>
      <c r="J195" s="1416" t="s">
        <v>566</v>
      </c>
      <c r="K195" s="1416"/>
      <c r="L195" s="1416"/>
      <c r="M195" s="1417"/>
    </row>
    <row r="196" spans="1:13" ht="12.75">
      <c r="A196" s="502"/>
      <c r="B196" s="501" t="s">
        <v>332</v>
      </c>
      <c r="C196" s="494"/>
      <c r="D196" s="496"/>
      <c r="E196" s="523"/>
      <c r="F196" s="521"/>
      <c r="G196" s="307"/>
      <c r="H196" s="468"/>
      <c r="I196" s="989"/>
      <c r="J196" s="297"/>
      <c r="K196" s="297"/>
      <c r="L196" s="297"/>
      <c r="M196" s="466"/>
    </row>
    <row r="197" spans="1:13" ht="13.5" customHeight="1" thickBot="1">
      <c r="A197" s="511">
        <f>'Appendix A'!A116</f>
        <v>67</v>
      </c>
      <c r="B197" s="512"/>
      <c r="C197" s="513" t="str">
        <f>+'Appendix A'!C116</f>
        <v>Regulatory Commission Exp Account 928</v>
      </c>
      <c r="D197" s="526"/>
      <c r="E197" s="515"/>
      <c r="F197" s="518" t="s">
        <v>255</v>
      </c>
      <c r="G197" s="629">
        <v>782423</v>
      </c>
      <c r="H197" s="629">
        <v>0</v>
      </c>
      <c r="I197" s="629">
        <f>G197-H197</f>
        <v>782423</v>
      </c>
      <c r="J197" s="1424" t="s">
        <v>282</v>
      </c>
      <c r="K197" s="1424"/>
      <c r="L197" s="1424"/>
      <c r="M197" s="1425"/>
    </row>
    <row r="199" ht="13.5" thickBot="1">
      <c r="A199" s="797" t="s">
        <v>645</v>
      </c>
    </row>
    <row r="200" spans="1:13" ht="12.75">
      <c r="A200" s="1393" t="s">
        <v>50</v>
      </c>
      <c r="B200" s="1394"/>
      <c r="C200" s="1394"/>
      <c r="D200" s="1394"/>
      <c r="E200" s="1394"/>
      <c r="F200" s="1395"/>
      <c r="G200" s="804" t="s">
        <v>590</v>
      </c>
      <c r="H200" s="804" t="s">
        <v>593</v>
      </c>
      <c r="I200" s="804" t="s">
        <v>639</v>
      </c>
      <c r="J200" s="1422" t="s">
        <v>566</v>
      </c>
      <c r="K200" s="1422"/>
      <c r="L200" s="1422"/>
      <c r="M200" s="1423"/>
    </row>
    <row r="201" spans="1:13" ht="12.75">
      <c r="A201" s="502"/>
      <c r="B201" s="501" t="s">
        <v>332</v>
      </c>
      <c r="C201" s="329"/>
      <c r="D201" s="496"/>
      <c r="E201" s="460"/>
      <c r="F201" s="492"/>
      <c r="G201" s="297"/>
      <c r="H201" s="297"/>
      <c r="I201" s="990"/>
      <c r="J201" s="297"/>
      <c r="K201" s="297"/>
      <c r="L201" s="297"/>
      <c r="M201" s="466"/>
    </row>
    <row r="202" spans="1:13" ht="13.5" thickBot="1">
      <c r="A202" s="527">
        <f>'Appendix A'!A117</f>
        <v>68</v>
      </c>
      <c r="B202" s="512"/>
      <c r="C202" s="528" t="str">
        <f>+'Appendix A'!C121</f>
        <v>General Advertising Exp Account 930.1</v>
      </c>
      <c r="D202" s="514"/>
      <c r="E202" s="515"/>
      <c r="F202" s="518" t="s">
        <v>256</v>
      </c>
      <c r="G202" s="629">
        <v>715247</v>
      </c>
      <c r="H202" s="629">
        <v>0</v>
      </c>
      <c r="I202" s="629">
        <f>G202</f>
        <v>715247</v>
      </c>
      <c r="J202" s="1420" t="s">
        <v>4</v>
      </c>
      <c r="K202" s="1420"/>
      <c r="L202" s="1420"/>
      <c r="M202" s="1421"/>
    </row>
    <row r="204" ht="13.5" thickBot="1">
      <c r="A204" s="797" t="s">
        <v>589</v>
      </c>
    </row>
    <row r="205" spans="1:13" ht="12.75">
      <c r="A205" s="1393" t="s">
        <v>50</v>
      </c>
      <c r="B205" s="1394"/>
      <c r="C205" s="1394"/>
      <c r="D205" s="1394"/>
      <c r="E205" s="1394"/>
      <c r="F205" s="1395"/>
      <c r="G205" s="804" t="s">
        <v>594</v>
      </c>
      <c r="H205" s="804" t="s">
        <v>595</v>
      </c>
      <c r="I205" s="804" t="s">
        <v>596</v>
      </c>
      <c r="J205" s="804" t="s">
        <v>597</v>
      </c>
      <c r="K205" s="804" t="s">
        <v>598</v>
      </c>
      <c r="L205" s="1422" t="s">
        <v>566</v>
      </c>
      <c r="M205" s="1423"/>
    </row>
    <row r="206" spans="1:17" ht="12.75">
      <c r="A206" s="510" t="s">
        <v>316</v>
      </c>
      <c r="B206" s="531" t="s">
        <v>414</v>
      </c>
      <c r="C206" s="455"/>
      <c r="D206" s="455"/>
      <c r="E206" s="460"/>
      <c r="F206" s="532"/>
      <c r="G206" s="297"/>
      <c r="H206" s="297"/>
      <c r="I206" s="297"/>
      <c r="J206" s="297"/>
      <c r="K206" s="297"/>
      <c r="L206" s="297"/>
      <c r="M206" s="466"/>
      <c r="Q206" s="469"/>
    </row>
    <row r="207" spans="1:13" ht="12.75">
      <c r="A207" s="510"/>
      <c r="B207" s="531"/>
      <c r="C207" s="455"/>
      <c r="D207" s="455"/>
      <c r="E207" s="460"/>
      <c r="F207" s="532"/>
      <c r="G207" s="470" t="s">
        <v>9</v>
      </c>
      <c r="H207" s="307"/>
      <c r="I207" s="307"/>
      <c r="J207" s="307"/>
      <c r="K207" s="307"/>
      <c r="L207" s="1399"/>
      <c r="M207" s="1400"/>
    </row>
    <row r="208" spans="1:13" ht="13.5" thickBot="1">
      <c r="A208" s="527">
        <f>+'Appendix A'!A205</f>
        <v>125</v>
      </c>
      <c r="B208" s="525"/>
      <c r="C208" s="528" t="str">
        <f>+'Appendix A'!C205</f>
        <v>SIT=State Income Tax Rate or Composite</v>
      </c>
      <c r="D208" s="533"/>
      <c r="E208" s="529"/>
      <c r="F208" s="530"/>
      <c r="G208" s="779">
        <v>0.0999</v>
      </c>
      <c r="H208" s="471"/>
      <c r="I208" s="472"/>
      <c r="J208" s="472"/>
      <c r="K208" s="467"/>
      <c r="L208" s="1424"/>
      <c r="M208" s="1425"/>
    </row>
    <row r="210" ht="13.5" thickBot="1">
      <c r="A210" s="797" t="s">
        <v>657</v>
      </c>
    </row>
    <row r="211" spans="1:13" ht="12.75">
      <c r="A211" s="1393" t="s">
        <v>50</v>
      </c>
      <c r="B211" s="1394"/>
      <c r="C211" s="1394"/>
      <c r="D211" s="1394"/>
      <c r="E211" s="1394"/>
      <c r="F211" s="1395"/>
      <c r="G211" s="804" t="s">
        <v>590</v>
      </c>
      <c r="H211" s="804" t="s">
        <v>599</v>
      </c>
      <c r="I211" s="804" t="s">
        <v>600</v>
      </c>
      <c r="J211" s="1422" t="s">
        <v>566</v>
      </c>
      <c r="K211" s="1422"/>
      <c r="L211" s="1422"/>
      <c r="M211" s="1423"/>
    </row>
    <row r="212" spans="1:13" ht="12.75">
      <c r="A212" s="502"/>
      <c r="B212" s="501" t="s">
        <v>332</v>
      </c>
      <c r="C212" s="329"/>
      <c r="D212" s="496"/>
      <c r="E212" s="460"/>
      <c r="F212" s="492"/>
      <c r="G212" s="297"/>
      <c r="H212" s="297"/>
      <c r="I212" s="989"/>
      <c r="J212" s="297"/>
      <c r="K212" s="297"/>
      <c r="L212" s="297"/>
      <c r="M212" s="466"/>
    </row>
    <row r="213" spans="1:13" ht="13.5" thickBot="1">
      <c r="A213" s="527">
        <f>+'Appendix A'!A117</f>
        <v>68</v>
      </c>
      <c r="B213" s="512"/>
      <c r="C213" s="528" t="str">
        <f>+'Appendix A'!C117</f>
        <v>General Advertising Exp Account 930.1</v>
      </c>
      <c r="D213" s="517"/>
      <c r="E213" s="515"/>
      <c r="F213" s="518" t="s">
        <v>256</v>
      </c>
      <c r="G213" s="629">
        <v>715247</v>
      </c>
      <c r="H213" s="629">
        <v>0</v>
      </c>
      <c r="I213" s="629">
        <f>G213-H213</f>
        <v>715247</v>
      </c>
      <c r="J213" s="1407" t="str">
        <f>+J202</f>
        <v>None</v>
      </c>
      <c r="K213" s="1407"/>
      <c r="L213" s="1407"/>
      <c r="M213" s="1408"/>
    </row>
    <row r="214" ht="12.75">
      <c r="F214" s="200"/>
    </row>
    <row r="215" ht="13.5" thickBot="1">
      <c r="A215" s="797" t="s">
        <v>659</v>
      </c>
    </row>
    <row r="216" spans="1:13" ht="27" thickBot="1">
      <c r="A216" s="1396" t="s">
        <v>50</v>
      </c>
      <c r="B216" s="1397"/>
      <c r="C216" s="1397"/>
      <c r="D216" s="1397"/>
      <c r="E216" s="1397"/>
      <c r="F216" s="1398"/>
      <c r="G216" s="905" t="str">
        <f>+C218</f>
        <v>Excluded Transmission Facilities</v>
      </c>
      <c r="H216" s="1405" t="s">
        <v>602</v>
      </c>
      <c r="I216" s="1405"/>
      <c r="J216" s="1405"/>
      <c r="K216" s="1405"/>
      <c r="L216" s="1405"/>
      <c r="M216" s="1406"/>
    </row>
    <row r="217" spans="1:13" ht="12.75">
      <c r="A217" s="534"/>
      <c r="B217" s="475" t="s">
        <v>335</v>
      </c>
      <c r="C217" s="501"/>
      <c r="D217" s="535"/>
      <c r="E217" s="468"/>
      <c r="F217" s="536"/>
      <c r="G217" s="297"/>
      <c r="H217" s="297"/>
      <c r="I217" s="297"/>
      <c r="J217" s="297"/>
      <c r="K217" s="297"/>
      <c r="L217" s="297"/>
      <c r="M217" s="466"/>
    </row>
    <row r="218" spans="1:13" ht="12.75" customHeight="1">
      <c r="A218" s="502">
        <f>+'Appendix A'!A240</f>
        <v>145</v>
      </c>
      <c r="B218" s="509"/>
      <c r="C218" s="228" t="str">
        <f>+'Appendix A'!C240</f>
        <v>Excluded Transmission Facilities</v>
      </c>
      <c r="D218" s="535"/>
      <c r="E218" s="503"/>
      <c r="F218" s="520"/>
      <c r="G218" s="476">
        <v>0</v>
      </c>
      <c r="H218" s="1399" t="s">
        <v>604</v>
      </c>
      <c r="I218" s="1399"/>
      <c r="J218" s="1399"/>
      <c r="K218" s="1399"/>
      <c r="L218" s="1399"/>
      <c r="M218" s="1400"/>
    </row>
    <row r="219" spans="1:13" ht="12.75">
      <c r="A219" s="502"/>
      <c r="B219" s="509"/>
      <c r="C219" s="537"/>
      <c r="D219" s="535"/>
      <c r="E219" s="504"/>
      <c r="F219" s="505"/>
      <c r="G219" s="297"/>
      <c r="H219" s="297"/>
      <c r="I219" s="297"/>
      <c r="J219" s="297"/>
      <c r="K219" s="297"/>
      <c r="L219" s="297"/>
      <c r="M219" s="466"/>
    </row>
    <row r="220" spans="1:13" ht="12.75">
      <c r="A220" s="502"/>
      <c r="B220" s="509"/>
      <c r="C220" s="537" t="s">
        <v>14</v>
      </c>
      <c r="D220" s="535"/>
      <c r="E220" s="504"/>
      <c r="F220" s="505"/>
      <c r="G220" s="307" t="s">
        <v>601</v>
      </c>
      <c r="H220" s="1399" t="s">
        <v>4</v>
      </c>
      <c r="I220" s="1399"/>
      <c r="J220" s="1399"/>
      <c r="K220" s="1399"/>
      <c r="L220" s="1399"/>
      <c r="M220" s="1400"/>
    </row>
    <row r="221" spans="1:13" ht="49.5" customHeight="1">
      <c r="A221" s="502"/>
      <c r="B221" s="538">
        <v>1</v>
      </c>
      <c r="C221" s="1410" t="s">
        <v>725</v>
      </c>
      <c r="D221" s="1410"/>
      <c r="E221" s="1410"/>
      <c r="F221" s="1411"/>
      <c r="G221" s="477"/>
      <c r="H221" s="1399"/>
      <c r="I221" s="1399"/>
      <c r="J221" s="1399"/>
      <c r="K221" s="1399"/>
      <c r="L221" s="1399"/>
      <c r="M221" s="1400"/>
    </row>
    <row r="222" spans="1:13" ht="12.75">
      <c r="A222" s="502"/>
      <c r="B222" s="509">
        <v>2</v>
      </c>
      <c r="C222" s="537" t="s">
        <v>15</v>
      </c>
      <c r="D222" s="535"/>
      <c r="E222" s="504"/>
      <c r="F222" s="505"/>
      <c r="G222" s="307" t="s">
        <v>46</v>
      </c>
      <c r="H222" s="1399"/>
      <c r="I222" s="1399"/>
      <c r="J222" s="1399"/>
      <c r="K222" s="1399"/>
      <c r="L222" s="1399"/>
      <c r="M222" s="1400"/>
    </row>
    <row r="223" spans="1:13" ht="12.75">
      <c r="A223" s="502"/>
      <c r="B223" s="509"/>
      <c r="C223" s="537" t="s">
        <v>16</v>
      </c>
      <c r="D223" s="330" t="s">
        <v>19</v>
      </c>
      <c r="E223" s="504"/>
      <c r="F223" s="505"/>
      <c r="G223" s="307" t="str">
        <f>+G220</f>
        <v>Enter $</v>
      </c>
      <c r="H223" s="1399"/>
      <c r="I223" s="1399"/>
      <c r="J223" s="1399"/>
      <c r="K223" s="1399"/>
      <c r="L223" s="1399"/>
      <c r="M223" s="1400"/>
    </row>
    <row r="224" spans="1:13" ht="12.75">
      <c r="A224" s="478"/>
      <c r="B224" s="479" t="s">
        <v>318</v>
      </c>
      <c r="C224" s="537" t="s">
        <v>17</v>
      </c>
      <c r="D224" s="480">
        <v>1000000</v>
      </c>
      <c r="E224" s="329"/>
      <c r="F224" s="481"/>
      <c r="G224" s="477"/>
      <c r="H224" s="1399"/>
      <c r="I224" s="1399"/>
      <c r="J224" s="1399"/>
      <c r="K224" s="1399"/>
      <c r="L224" s="1399"/>
      <c r="M224" s="1400"/>
    </row>
    <row r="225" spans="1:13" ht="12.75">
      <c r="A225" s="478"/>
      <c r="B225" s="479" t="s">
        <v>450</v>
      </c>
      <c r="C225" s="537" t="s">
        <v>44</v>
      </c>
      <c r="D225" s="480">
        <v>500000</v>
      </c>
      <c r="E225" s="329"/>
      <c r="F225" s="481"/>
      <c r="G225" s="477"/>
      <c r="H225" s="1399"/>
      <c r="I225" s="1399"/>
      <c r="J225" s="1399"/>
      <c r="K225" s="1399"/>
      <c r="L225" s="1399"/>
      <c r="M225" s="1400"/>
    </row>
    <row r="226" spans="1:13" ht="12.75">
      <c r="A226" s="478"/>
      <c r="B226" s="479" t="s">
        <v>299</v>
      </c>
      <c r="C226" s="537" t="s">
        <v>45</v>
      </c>
      <c r="D226" s="480">
        <v>400000</v>
      </c>
      <c r="E226" s="329"/>
      <c r="F226" s="481"/>
      <c r="G226" s="477"/>
      <c r="H226" s="1399"/>
      <c r="I226" s="1399"/>
      <c r="J226" s="1399"/>
      <c r="K226" s="1399"/>
      <c r="L226" s="1399"/>
      <c r="M226" s="1400"/>
    </row>
    <row r="227" spans="1:13" ht="12.75">
      <c r="A227" s="478"/>
      <c r="B227" s="479" t="s">
        <v>319</v>
      </c>
      <c r="C227" s="537" t="s">
        <v>18</v>
      </c>
      <c r="D227" s="480">
        <f>+D224*(D226/(D225+D226))</f>
        <v>444444.44444444444</v>
      </c>
      <c r="E227" s="329"/>
      <c r="F227" s="481"/>
      <c r="G227" s="477"/>
      <c r="H227" s="1399"/>
      <c r="I227" s="1399"/>
      <c r="J227" s="1399"/>
      <c r="K227" s="1399"/>
      <c r="L227" s="1399"/>
      <c r="M227" s="1400"/>
    </row>
    <row r="228" spans="1:13" ht="13.5" thickBot="1">
      <c r="A228" s="482"/>
      <c r="B228" s="483"/>
      <c r="C228" s="483"/>
      <c r="D228" s="483"/>
      <c r="E228" s="483"/>
      <c r="F228" s="484"/>
      <c r="G228" s="483"/>
      <c r="H228" s="483"/>
      <c r="I228" s="483"/>
      <c r="J228" s="483"/>
      <c r="K228" s="485" t="s">
        <v>603</v>
      </c>
      <c r="L228" s="483"/>
      <c r="M228" s="484"/>
    </row>
    <row r="229" spans="1:13" ht="12.75">
      <c r="A229" s="297"/>
      <c r="B229" s="297"/>
      <c r="C229" s="297"/>
      <c r="D229" s="297"/>
      <c r="E229" s="297"/>
      <c r="F229" s="297"/>
      <c r="G229" s="297"/>
      <c r="H229" s="297"/>
      <c r="I229" s="297"/>
      <c r="J229" s="297"/>
      <c r="K229" s="486"/>
      <c r="L229" s="297"/>
      <c r="M229" s="297"/>
    </row>
    <row r="230" ht="16.5" customHeight="1" thickBot="1">
      <c r="A230" s="797" t="s">
        <v>36</v>
      </c>
    </row>
    <row r="231" spans="1:13" ht="59.25" customHeight="1" thickBot="1">
      <c r="A231" s="1401" t="s">
        <v>50</v>
      </c>
      <c r="B231" s="1402"/>
      <c r="C231" s="1402"/>
      <c r="D231" s="1402"/>
      <c r="E231" s="1402"/>
      <c r="F231" s="1409"/>
      <c r="G231" s="904" t="s">
        <v>737</v>
      </c>
      <c r="H231" s="807" t="s">
        <v>736</v>
      </c>
      <c r="I231" s="807" t="s">
        <v>493</v>
      </c>
      <c r="J231" s="807" t="s">
        <v>37</v>
      </c>
      <c r="K231" s="807" t="s">
        <v>739</v>
      </c>
      <c r="L231" s="807" t="s">
        <v>566</v>
      </c>
      <c r="M231" s="906"/>
    </row>
    <row r="232" spans="1:25" ht="16.5" customHeight="1">
      <c r="A232" s="564">
        <f>'Appendix A'!A71</f>
        <v>39</v>
      </c>
      <c r="B232" s="501" t="s">
        <v>324</v>
      </c>
      <c r="C232" s="329"/>
      <c r="D232" s="496"/>
      <c r="E232" s="461"/>
      <c r="F232" s="674"/>
      <c r="G232" s="487"/>
      <c r="H232" s="488" t="s">
        <v>601</v>
      </c>
      <c r="I232" s="488"/>
      <c r="J232" s="488"/>
      <c r="K232" s="488" t="s">
        <v>559</v>
      </c>
      <c r="L232" s="297"/>
      <c r="M232" s="466"/>
      <c r="P232" s="1015"/>
      <c r="Q232" s="1015"/>
      <c r="R232" s="200"/>
      <c r="S232" s="200"/>
      <c r="T232" s="200"/>
      <c r="U232" s="200"/>
      <c r="V232" s="200"/>
      <c r="W232" s="200"/>
      <c r="X232" s="200"/>
      <c r="Y232" s="200"/>
    </row>
    <row r="233" spans="1:25" ht="16.5" customHeight="1">
      <c r="A233" s="502"/>
      <c r="B233" s="501"/>
      <c r="C233" s="329" t="s">
        <v>38</v>
      </c>
      <c r="D233" s="496"/>
      <c r="E233" s="460"/>
      <c r="F233" s="674"/>
      <c r="G233" s="822"/>
      <c r="I233" s="297"/>
      <c r="J233" s="489"/>
      <c r="K233" s="297"/>
      <c r="L233" s="297"/>
      <c r="M233" s="466"/>
      <c r="P233" s="200"/>
      <c r="Q233" s="200"/>
      <c r="R233" s="200"/>
      <c r="S233" s="200"/>
      <c r="T233" s="200"/>
      <c r="U233" s="200"/>
      <c r="V233" s="200"/>
      <c r="W233" s="200"/>
      <c r="X233" s="200"/>
      <c r="Y233" s="200"/>
    </row>
    <row r="234" spans="1:25" ht="16.5" customHeight="1">
      <c r="A234" s="502"/>
      <c r="B234" s="501"/>
      <c r="C234" s="329"/>
      <c r="D234" s="496" t="s">
        <v>536</v>
      </c>
      <c r="E234" s="460"/>
      <c r="F234" s="674"/>
      <c r="G234" s="922">
        <v>0</v>
      </c>
      <c r="H234" s="628">
        <v>0</v>
      </c>
      <c r="I234" s="565">
        <f>IF('Appendix A'!$I$1=1,('5 - Cost Support 1'!G234+'5 - Cost Support 1'!H234)/2,H234)</f>
        <v>0</v>
      </c>
      <c r="J234" s="489"/>
      <c r="K234" s="297"/>
      <c r="L234" s="297"/>
      <c r="M234" s="466"/>
      <c r="P234" s="1015"/>
      <c r="Q234" s="1016"/>
      <c r="R234" s="1016"/>
      <c r="S234" s="1016"/>
      <c r="T234" s="1016"/>
      <c r="U234" s="1016"/>
      <c r="V234" s="1016"/>
      <c r="W234" s="200"/>
      <c r="X234" s="1016"/>
      <c r="Y234" s="200"/>
    </row>
    <row r="235" spans="1:25" ht="16.5" customHeight="1">
      <c r="A235" s="502"/>
      <c r="B235" s="501"/>
      <c r="C235" s="329"/>
      <c r="D235" s="496" t="s">
        <v>127</v>
      </c>
      <c r="E235" s="460"/>
      <c r="F235" s="565"/>
      <c r="G235" s="820">
        <v>0</v>
      </c>
      <c r="H235" s="780">
        <v>0</v>
      </c>
      <c r="I235" s="883">
        <f>IF('Appendix A'!$I$1=1,('5 - Cost Support 1'!G235+'5 - Cost Support 1'!H235)/2,H235)</f>
        <v>0</v>
      </c>
      <c r="J235" s="297"/>
      <c r="K235" s="297"/>
      <c r="L235" s="297"/>
      <c r="M235" s="466"/>
      <c r="O235" s="278" t="s">
        <v>262</v>
      </c>
      <c r="P235" s="200"/>
      <c r="Q235" s="200"/>
      <c r="R235" s="200"/>
      <c r="S235" s="200"/>
      <c r="T235" s="200"/>
      <c r="U235" s="200"/>
      <c r="V235" s="200"/>
      <c r="W235" s="200"/>
      <c r="X235" s="200"/>
      <c r="Y235" s="200"/>
    </row>
    <row r="236" spans="1:25" ht="16.5" customHeight="1">
      <c r="A236" s="502"/>
      <c r="B236" s="501"/>
      <c r="C236" s="329"/>
      <c r="D236" s="496"/>
      <c r="E236" s="460"/>
      <c r="F236" s="565"/>
      <c r="G236" s="821">
        <f>SUM(G234:G235)</f>
        <v>0</v>
      </c>
      <c r="H236" s="566">
        <f>SUM(H234:H235)</f>
        <v>0</v>
      </c>
      <c r="I236" s="565">
        <f>SUM(I234:I235)</f>
        <v>0</v>
      </c>
      <c r="J236" s="808">
        <v>1</v>
      </c>
      <c r="K236" s="488">
        <f>I236*J236</f>
        <v>0</v>
      </c>
      <c r="L236" s="297"/>
      <c r="M236" s="466"/>
      <c r="P236" s="1015"/>
      <c r="Q236" s="1016"/>
      <c r="R236" s="1016"/>
      <c r="S236" s="1016"/>
      <c r="T236" s="1016"/>
      <c r="U236" s="1016"/>
      <c r="V236" s="1016"/>
      <c r="W236" s="200"/>
      <c r="X236" s="200"/>
      <c r="Y236" s="1016"/>
    </row>
    <row r="237" spans="1:25" ht="16.5" customHeight="1">
      <c r="A237" s="502"/>
      <c r="B237" s="501"/>
      <c r="C237" s="329"/>
      <c r="D237" s="496"/>
      <c r="E237" s="460"/>
      <c r="F237" s="565"/>
      <c r="G237" s="822"/>
      <c r="H237" s="565"/>
      <c r="I237" s="565"/>
      <c r="J237" s="489"/>
      <c r="K237" s="488"/>
      <c r="L237" s="297"/>
      <c r="M237" s="466"/>
      <c r="P237" s="1015"/>
      <c r="Q237" s="1016"/>
      <c r="R237" s="1016"/>
      <c r="S237" s="1016"/>
      <c r="T237" s="1016"/>
      <c r="U237" s="1016"/>
      <c r="V237" s="1016"/>
      <c r="W237" s="200"/>
      <c r="X237" s="200"/>
      <c r="Y237" s="1016"/>
    </row>
    <row r="238" spans="1:25" ht="16.5" customHeight="1">
      <c r="A238" s="502"/>
      <c r="B238" s="501"/>
      <c r="C238" s="329" t="s">
        <v>39</v>
      </c>
      <c r="D238" s="496"/>
      <c r="E238" s="460"/>
      <c r="F238" s="565"/>
      <c r="G238" s="966"/>
      <c r="H238" s="770"/>
      <c r="I238" s="565"/>
      <c r="J238" s="297"/>
      <c r="K238" s="507"/>
      <c r="L238" s="297"/>
      <c r="M238" s="466"/>
      <c r="P238" s="1015"/>
      <c r="Q238" s="1016"/>
      <c r="R238" s="1016"/>
      <c r="S238" s="1016"/>
      <c r="T238" s="1016"/>
      <c r="U238" s="1016"/>
      <c r="V238" s="1016"/>
      <c r="W238" s="200"/>
      <c r="X238" s="200"/>
      <c r="Y238" s="1016"/>
    </row>
    <row r="239" spans="1:25" ht="16.5" customHeight="1">
      <c r="A239" s="502"/>
      <c r="B239" s="501"/>
      <c r="C239" s="329"/>
      <c r="D239" s="496" t="s">
        <v>128</v>
      </c>
      <c r="E239" s="461"/>
      <c r="F239" s="565"/>
      <c r="G239" s="922">
        <v>1160281</v>
      </c>
      <c r="H239" s="628">
        <v>1274766</v>
      </c>
      <c r="I239" s="565">
        <f>IF('Appendix A'!$I$1=1,('5 - Cost Support 1'!G239+'5 - Cost Support 1'!H239)/2,H239)</f>
        <v>1274766</v>
      </c>
      <c r="J239" s="884"/>
      <c r="K239" s="488"/>
      <c r="L239" s="297"/>
      <c r="M239" s="466"/>
      <c r="O239" s="278" t="s">
        <v>262</v>
      </c>
      <c r="P239" s="200"/>
      <c r="Q239" s="200"/>
      <c r="R239" s="200"/>
      <c r="S239" s="200"/>
      <c r="T239" s="200"/>
      <c r="U239" s="200"/>
      <c r="V239" s="200"/>
      <c r="W239" s="200"/>
      <c r="X239" s="200"/>
      <c r="Y239" s="200"/>
    </row>
    <row r="240" spans="1:25" ht="16.5" customHeight="1">
      <c r="A240" s="502"/>
      <c r="B240" s="501"/>
      <c r="C240" s="329"/>
      <c r="D240" s="496" t="s">
        <v>129</v>
      </c>
      <c r="E240" s="200"/>
      <c r="F240" s="200"/>
      <c r="G240" s="922">
        <v>1588883</v>
      </c>
      <c r="H240" s="628">
        <v>2413861</v>
      </c>
      <c r="I240" s="565">
        <f>IF('Appendix A'!$I$1=1,('5 - Cost Support 1'!G240+'5 - Cost Support 1'!H240)/2,H240)</f>
        <v>2413861</v>
      </c>
      <c r="L240" s="658"/>
      <c r="M240" s="466"/>
      <c r="O240" s="278" t="s">
        <v>262</v>
      </c>
      <c r="P240" s="200"/>
      <c r="Q240" s="1014"/>
      <c r="R240" s="1014"/>
      <c r="S240" s="200"/>
      <c r="T240" s="661"/>
      <c r="U240" s="565"/>
      <c r="V240" s="200"/>
      <c r="W240" s="200"/>
      <c r="X240" s="200"/>
      <c r="Y240" s="200"/>
    </row>
    <row r="241" spans="1:25" ht="16.5" customHeight="1">
      <c r="A241" s="502"/>
      <c r="B241" s="501"/>
      <c r="C241" s="893"/>
      <c r="D241" s="496" t="s">
        <v>130</v>
      </c>
      <c r="E241" s="461"/>
      <c r="F241" s="565"/>
      <c r="G241" s="922">
        <v>0</v>
      </c>
      <c r="H241" s="628">
        <v>0</v>
      </c>
      <c r="I241" s="565">
        <f>IF('Appendix A'!$I$1=1,('5 - Cost Support 1'!G241+'5 - Cost Support 1'!H241)/2,H241)</f>
        <v>0</v>
      </c>
      <c r="J241" s="884"/>
      <c r="K241" s="488"/>
      <c r="L241" s="297"/>
      <c r="M241" s="466"/>
      <c r="O241" s="278" t="s">
        <v>262</v>
      </c>
      <c r="P241" s="200"/>
      <c r="Q241" s="200"/>
      <c r="R241" s="200"/>
      <c r="S241" s="200"/>
      <c r="T241" s="200"/>
      <c r="U241" s="200"/>
      <c r="V241" s="200"/>
      <c r="W241" s="200"/>
      <c r="X241" s="200"/>
      <c r="Y241" s="200"/>
    </row>
    <row r="242" spans="1:25" ht="16.5" customHeight="1">
      <c r="A242" s="502"/>
      <c r="B242" s="501"/>
      <c r="C242" s="329"/>
      <c r="D242" s="496" t="s">
        <v>134</v>
      </c>
      <c r="E242" s="461"/>
      <c r="F242" s="200"/>
      <c r="G242" s="922">
        <v>7063557</v>
      </c>
      <c r="H242" s="628">
        <v>8273218</v>
      </c>
      <c r="I242" s="565">
        <f>IF('Appendix A'!$I$1=1,('5 - Cost Support 1'!G242+'5 - Cost Support 1'!H242)/2,H242)</f>
        <v>8273218</v>
      </c>
      <c r="L242" s="658"/>
      <c r="M242" s="466"/>
      <c r="O242" s="278" t="s">
        <v>262</v>
      </c>
      <c r="P242" s="1015"/>
      <c r="Q242" s="1015"/>
      <c r="R242" s="1015"/>
      <c r="S242" s="1015"/>
      <c r="T242" s="1015"/>
      <c r="U242" s="1015"/>
      <c r="V242" s="1015"/>
      <c r="W242" s="200"/>
      <c r="X242" s="200"/>
      <c r="Y242" s="200"/>
    </row>
    <row r="243" spans="1:25" ht="16.5" customHeight="1">
      <c r="A243" s="502"/>
      <c r="B243" s="501"/>
      <c r="C243" s="329"/>
      <c r="D243" s="496" t="s">
        <v>132</v>
      </c>
      <c r="E243" s="461"/>
      <c r="F243" s="565"/>
      <c r="G243" s="922">
        <v>1475319</v>
      </c>
      <c r="H243" s="628">
        <v>1015475</v>
      </c>
      <c r="I243" s="565">
        <f>IF('Appendix A'!$I$1=1,('5 - Cost Support 1'!G243+'5 - Cost Support 1'!H243)/2,H243)</f>
        <v>1015475</v>
      </c>
      <c r="J243" s="884"/>
      <c r="K243" s="488"/>
      <c r="L243" s="297"/>
      <c r="M243" s="466"/>
      <c r="O243" s="278" t="s">
        <v>262</v>
      </c>
      <c r="P243" s="200"/>
      <c r="Q243" s="200"/>
      <c r="R243" s="200"/>
      <c r="S243" s="200"/>
      <c r="T243" s="200"/>
      <c r="U243" s="200"/>
      <c r="V243" s="200"/>
      <c r="W243" s="200"/>
      <c r="X243" s="200"/>
      <c r="Y243" s="200"/>
    </row>
    <row r="244" spans="1:21" ht="16.5" customHeight="1">
      <c r="A244" s="502"/>
      <c r="B244" s="501"/>
      <c r="C244" s="329"/>
      <c r="D244" s="496" t="s">
        <v>131</v>
      </c>
      <c r="E244" s="461"/>
      <c r="F244" s="565"/>
      <c r="G244" s="922">
        <v>0</v>
      </c>
      <c r="H244" s="628">
        <v>0</v>
      </c>
      <c r="I244" s="565">
        <f>IF('Appendix A'!$I$1=1,('5 - Cost Support 1'!G244+'5 - Cost Support 1'!H244)/2,H244)</f>
        <v>0</v>
      </c>
      <c r="J244" s="884"/>
      <c r="K244" s="488"/>
      <c r="L244" s="297"/>
      <c r="M244" s="466"/>
      <c r="P244" s="200"/>
      <c r="Q244" s="200"/>
      <c r="R244" s="200"/>
      <c r="S244" s="200"/>
      <c r="T244" s="200"/>
      <c r="U244" s="200"/>
    </row>
    <row r="245" spans="1:21" ht="16.5" customHeight="1">
      <c r="A245" s="502"/>
      <c r="B245" s="501"/>
      <c r="C245" s="893"/>
      <c r="D245" s="496" t="s">
        <v>274</v>
      </c>
      <c r="E245" s="461"/>
      <c r="F245" s="565"/>
      <c r="G245" s="820">
        <v>12206261</v>
      </c>
      <c r="H245" s="780">
        <v>13073199</v>
      </c>
      <c r="I245" s="883">
        <f>IF('Appendix A'!$I$1=1,('5 - Cost Support 1'!G245+'5 - Cost Support 1'!H245)/2,H245)</f>
        <v>13073199</v>
      </c>
      <c r="K245" s="565"/>
      <c r="L245" s="658"/>
      <c r="M245" s="466"/>
      <c r="O245" s="278" t="s">
        <v>262</v>
      </c>
      <c r="P245" s="1014"/>
      <c r="Q245" s="1014"/>
      <c r="R245" s="1014"/>
      <c r="S245" s="200"/>
      <c r="T245" s="200"/>
      <c r="U245" s="565"/>
    </row>
    <row r="246" spans="1:21" ht="16.5" customHeight="1">
      <c r="A246" s="502"/>
      <c r="B246" s="501"/>
      <c r="C246" s="329"/>
      <c r="D246" s="496"/>
      <c r="E246" s="461"/>
      <c r="F246" s="565"/>
      <c r="G246" s="822">
        <f>SUM(G238:G245)</f>
        <v>23494301</v>
      </c>
      <c r="H246" s="565">
        <f>SUM(H238:H245)</f>
        <v>26050519</v>
      </c>
      <c r="I246" s="565">
        <f>SUM(I239:I245)</f>
        <v>26050519</v>
      </c>
      <c r="J246" s="490">
        <f>+'Appendix A'!G12</f>
        <v>0.1717635714936654</v>
      </c>
      <c r="K246" s="488">
        <f>I246*J246</f>
        <v>4474530.182703589</v>
      </c>
      <c r="L246" s="297"/>
      <c r="M246" s="466"/>
      <c r="P246" s="200"/>
      <c r="Q246" s="200"/>
      <c r="R246" s="200"/>
      <c r="S246" s="200"/>
      <c r="T246" s="200"/>
      <c r="U246" s="200"/>
    </row>
    <row r="247" spans="1:21" ht="16.5" customHeight="1">
      <c r="A247" s="502"/>
      <c r="B247" s="501"/>
      <c r="C247" s="329"/>
      <c r="D247" s="496"/>
      <c r="E247" s="461"/>
      <c r="F247" s="565"/>
      <c r="G247" s="822"/>
      <c r="H247" s="565"/>
      <c r="I247" s="565"/>
      <c r="J247" s="490"/>
      <c r="K247" s="488"/>
      <c r="L247" s="297"/>
      <c r="M247" s="466"/>
      <c r="P247" s="200"/>
      <c r="Q247" s="200"/>
      <c r="R247" s="200"/>
      <c r="S247" s="200"/>
      <c r="T247" s="200"/>
      <c r="U247" s="200"/>
    </row>
    <row r="248" spans="1:21" ht="16.5" customHeight="1">
      <c r="A248" s="502"/>
      <c r="B248" s="501"/>
      <c r="C248" s="329" t="s">
        <v>554</v>
      </c>
      <c r="D248" s="496" t="s">
        <v>842</v>
      </c>
      <c r="E248" s="461"/>
      <c r="F248" s="565"/>
      <c r="G248" s="820">
        <v>0</v>
      </c>
      <c r="H248" s="780">
        <v>0</v>
      </c>
      <c r="I248" s="883">
        <f>IF('Appendix A'!$I$1=1,('5 - Cost Support 1'!G248+'5 - Cost Support 1'!H248)/2,H248)</f>
        <v>0</v>
      </c>
      <c r="J248" s="490"/>
      <c r="K248" s="488"/>
      <c r="L248" s="297"/>
      <c r="M248" s="466"/>
      <c r="P248" s="200"/>
      <c r="Q248" s="200"/>
      <c r="R248" s="200"/>
      <c r="S248" s="200"/>
      <c r="T248" s="200"/>
      <c r="U248" s="200"/>
    </row>
    <row r="249" spans="1:21" ht="16.5" customHeight="1">
      <c r="A249" s="502"/>
      <c r="B249" s="501"/>
      <c r="C249" s="329"/>
      <c r="D249" s="496"/>
      <c r="E249" s="461"/>
      <c r="F249" s="565"/>
      <c r="G249" s="822">
        <f>SUM(G248)</f>
        <v>0</v>
      </c>
      <c r="H249" s="565">
        <f>SUM(H248)</f>
        <v>0</v>
      </c>
      <c r="I249" s="565">
        <f>SUM(I248)</f>
        <v>0</v>
      </c>
      <c r="J249" s="490">
        <f>'Appendix A'!G23</f>
        <v>0.243716562484718</v>
      </c>
      <c r="K249" s="488">
        <f>I249*J249</f>
        <v>0</v>
      </c>
      <c r="L249" s="297"/>
      <c r="M249" s="466"/>
      <c r="P249" s="200"/>
      <c r="Q249" s="200"/>
      <c r="R249" s="200"/>
      <c r="S249" s="200"/>
      <c r="T249" s="200"/>
      <c r="U249" s="200"/>
    </row>
    <row r="250" spans="1:21" ht="16.5" customHeight="1">
      <c r="A250" s="502"/>
      <c r="B250" s="501"/>
      <c r="C250" s="329" t="s">
        <v>600</v>
      </c>
      <c r="D250" s="496"/>
      <c r="E250" s="461"/>
      <c r="F250" s="565"/>
      <c r="G250" s="822"/>
      <c r="H250" s="565"/>
      <c r="I250" s="565"/>
      <c r="J250" s="297"/>
      <c r="K250" s="297"/>
      <c r="L250" s="297"/>
      <c r="M250" s="466"/>
      <c r="P250" s="200"/>
      <c r="Q250" s="200"/>
      <c r="R250" s="200"/>
      <c r="S250" s="200"/>
      <c r="T250" s="200"/>
      <c r="U250" s="200"/>
    </row>
    <row r="251" spans="1:21" ht="16.5" customHeight="1">
      <c r="A251" s="502"/>
      <c r="B251" s="501"/>
      <c r="C251" s="329"/>
      <c r="D251" s="496" t="s">
        <v>135</v>
      </c>
      <c r="E251" s="461"/>
      <c r="F251" s="565"/>
      <c r="G251" s="922">
        <v>0</v>
      </c>
      <c r="H251" s="628">
        <v>0</v>
      </c>
      <c r="I251" s="565">
        <f>IF('Appendix A'!$I$1=1,('5 - Cost Support 1'!G251+'5 - Cost Support 1'!H251)/2,H251)</f>
        <v>0</v>
      </c>
      <c r="J251" s="884"/>
      <c r="K251" s="488"/>
      <c r="L251" s="297"/>
      <c r="M251" s="466"/>
      <c r="O251" s="278" t="s">
        <v>262</v>
      </c>
      <c r="P251" s="200"/>
      <c r="Q251" s="200"/>
      <c r="R251" s="200"/>
      <c r="S251" s="200"/>
      <c r="T251" s="200"/>
      <c r="U251" s="200"/>
    </row>
    <row r="252" spans="1:21" ht="16.5" customHeight="1">
      <c r="A252" s="502"/>
      <c r="B252" s="501"/>
      <c r="C252" s="915"/>
      <c r="D252" s="496" t="s">
        <v>105</v>
      </c>
      <c r="E252" s="661"/>
      <c r="F252" s="565"/>
      <c r="G252" s="922">
        <v>0</v>
      </c>
      <c r="H252" s="628">
        <v>0</v>
      </c>
      <c r="I252" s="565">
        <f>IF('Appendix A'!$I$1=1,('5 - Cost Support 1'!G252+'5 - Cost Support 1'!H252)/2,H252)</f>
        <v>0</v>
      </c>
      <c r="L252" s="297"/>
      <c r="M252" s="466"/>
      <c r="O252" s="278" t="s">
        <v>262</v>
      </c>
      <c r="P252" s="1014"/>
      <c r="Q252" s="1014"/>
      <c r="R252" s="1014"/>
      <c r="S252" s="200"/>
      <c r="T252" s="200"/>
      <c r="U252" s="200"/>
    </row>
    <row r="253" spans="1:21" ht="16.5" customHeight="1">
      <c r="A253" s="502"/>
      <c r="B253" s="501"/>
      <c r="C253" s="915"/>
      <c r="D253" s="496" t="s">
        <v>99</v>
      </c>
      <c r="E253" s="461"/>
      <c r="F253" s="200"/>
      <c r="G253" s="922">
        <v>4025695</v>
      </c>
      <c r="H253" s="628">
        <v>4618820</v>
      </c>
      <c r="I253" s="565">
        <f>IF('Appendix A'!$I$1=1,('5 - Cost Support 1'!G253+'5 - Cost Support 1'!H253)/2,H253)</f>
        <v>4618820</v>
      </c>
      <c r="L253" s="658"/>
      <c r="M253" s="466"/>
      <c r="O253" s="278" t="s">
        <v>262</v>
      </c>
      <c r="P253" s="1014"/>
      <c r="Q253" s="1014"/>
      <c r="R253" s="1014"/>
      <c r="S253" s="200"/>
      <c r="T253" s="200"/>
      <c r="U253" s="565"/>
    </row>
    <row r="254" spans="1:21" ht="16.5" customHeight="1">
      <c r="A254" s="502"/>
      <c r="B254" s="501"/>
      <c r="C254" s="915"/>
      <c r="D254" s="496" t="s">
        <v>600</v>
      </c>
      <c r="E254" s="461"/>
      <c r="F254" s="200"/>
      <c r="G254" s="820">
        <v>235000</v>
      </c>
      <c r="H254" s="780">
        <v>10000</v>
      </c>
      <c r="I254" s="883">
        <f>IF('Appendix A'!$I$1=1,('5 - Cost Support 1'!G254+'5 - Cost Support 1'!H254)/2,H254)</f>
        <v>10000</v>
      </c>
      <c r="L254" s="658"/>
      <c r="M254" s="466"/>
      <c r="O254" s="278" t="s">
        <v>262</v>
      </c>
      <c r="P254" s="1014"/>
      <c r="Q254" s="1014"/>
      <c r="R254" s="1014"/>
      <c r="S254" s="200"/>
      <c r="T254" s="200"/>
      <c r="U254" s="565"/>
    </row>
    <row r="255" spans="1:13" ht="16.5" customHeight="1">
      <c r="A255" s="502"/>
      <c r="B255" s="501"/>
      <c r="C255" s="329"/>
      <c r="D255" s="496"/>
      <c r="E255" s="460"/>
      <c r="F255" s="565"/>
      <c r="G255" s="822">
        <f>SUM(G251:G254)</f>
        <v>4260695</v>
      </c>
      <c r="H255" s="565">
        <f>SUM(H251:H254)</f>
        <v>4628820</v>
      </c>
      <c r="I255" s="565">
        <f>SUM(I251:I254)</f>
        <v>4628820</v>
      </c>
      <c r="J255" s="884">
        <v>0</v>
      </c>
      <c r="K255" s="488">
        <f>I255*J255</f>
        <v>0</v>
      </c>
      <c r="L255" s="297"/>
      <c r="M255" s="466"/>
    </row>
    <row r="256" spans="1:13" ht="16.5" customHeight="1">
      <c r="A256" s="502"/>
      <c r="B256" s="501"/>
      <c r="C256" s="329"/>
      <c r="D256" s="937"/>
      <c r="E256" s="460"/>
      <c r="F256" s="565"/>
      <c r="G256" s="822"/>
      <c r="H256" s="565"/>
      <c r="I256" s="565"/>
      <c r="J256" s="490"/>
      <c r="K256" s="488"/>
      <c r="L256" s="297"/>
      <c r="M256" s="466"/>
    </row>
    <row r="257" spans="1:18" ht="16.5" customHeight="1" thickBot="1">
      <c r="A257" s="563"/>
      <c r="B257" s="512"/>
      <c r="C257" s="528" t="s">
        <v>49</v>
      </c>
      <c r="D257" s="892"/>
      <c r="E257" s="892"/>
      <c r="F257" s="1136"/>
      <c r="G257" s="491">
        <f>G236+G246+G249+G255</f>
        <v>27754996</v>
      </c>
      <c r="H257" s="491">
        <f>H236+H246+H255+H249</f>
        <v>30679339</v>
      </c>
      <c r="I257" s="491">
        <f>I236+I246+I255+I249</f>
        <v>30679339</v>
      </c>
      <c r="J257" s="471"/>
      <c r="K257" s="491">
        <f>K236+K246+K255+K249</f>
        <v>4474530.182703589</v>
      </c>
      <c r="L257" s="473"/>
      <c r="M257" s="463"/>
      <c r="O257" s="413"/>
      <c r="P257" s="416"/>
      <c r="Q257" s="200"/>
      <c r="R257" s="200"/>
    </row>
    <row r="258" spans="1:18" ht="12.75">
      <c r="A258" s="509"/>
      <c r="B258" s="509"/>
      <c r="C258" s="509"/>
      <c r="D258" s="509"/>
      <c r="E258" s="503"/>
      <c r="F258" s="509"/>
      <c r="G258" s="658"/>
      <c r="H258" s="297"/>
      <c r="I258" s="658"/>
      <c r="J258" s="297"/>
      <c r="K258" s="486"/>
      <c r="L258" s="297"/>
      <c r="M258" s="297"/>
      <c r="O258" s="413"/>
      <c r="P258" s="200"/>
      <c r="Q258" s="200"/>
      <c r="R258" s="200"/>
    </row>
    <row r="259" spans="1:8" ht="13.5" thickBot="1">
      <c r="A259" s="797"/>
      <c r="G259" s="654"/>
      <c r="H259" s="654"/>
    </row>
    <row r="260" spans="1:13" ht="27" thickBot="1">
      <c r="A260" s="907" t="s">
        <v>50</v>
      </c>
      <c r="B260" s="908"/>
      <c r="C260" s="908"/>
      <c r="D260" s="909"/>
      <c r="E260" s="909"/>
      <c r="F260" s="910"/>
      <c r="G260" s="904" t="s">
        <v>737</v>
      </c>
      <c r="H260" s="807" t="s">
        <v>736</v>
      </c>
      <c r="I260" s="807" t="s">
        <v>493</v>
      </c>
      <c r="J260" s="807" t="s">
        <v>37</v>
      </c>
      <c r="K260" s="807" t="s">
        <v>739</v>
      </c>
      <c r="L260" s="807" t="s">
        <v>566</v>
      </c>
      <c r="M260" s="906"/>
    </row>
    <row r="261" spans="1:25" ht="17.25">
      <c r="A261" s="556">
        <f>+'Appendix A'!A74</f>
        <v>40</v>
      </c>
      <c r="B261" s="506" t="s">
        <v>386</v>
      </c>
      <c r="C261" s="539"/>
      <c r="D261" s="297"/>
      <c r="E261" s="297"/>
      <c r="F261" s="674"/>
      <c r="G261" s="981"/>
      <c r="H261" s="344"/>
      <c r="I261" s="547"/>
      <c r="J261" s="455"/>
      <c r="K261" s="541" t="s">
        <v>569</v>
      </c>
      <c r="L261" s="455"/>
      <c r="M261" s="492"/>
      <c r="P261" s="1015"/>
      <c r="Q261" s="1015"/>
      <c r="R261" s="200"/>
      <c r="S261" s="200"/>
      <c r="T261" s="200"/>
      <c r="U261" s="200"/>
      <c r="V261" s="200"/>
      <c r="W261" s="200"/>
      <c r="X261" s="200"/>
      <c r="Y261" s="200"/>
    </row>
    <row r="262" spans="1:25" ht="12.75">
      <c r="A262" s="502"/>
      <c r="B262" s="509"/>
      <c r="C262" s="493" t="s">
        <v>557</v>
      </c>
      <c r="D262" s="496" t="s">
        <v>258</v>
      </c>
      <c r="E262" s="329"/>
      <c r="F262" s="558"/>
      <c r="G262" s="922">
        <v>0</v>
      </c>
      <c r="H262" s="628">
        <v>0</v>
      </c>
      <c r="I262" s="565">
        <f>IF('Appendix A'!$I$1=1,('5 - Cost Support 1'!G262+'5 - Cost Support 1'!H262)/2,H262)</f>
        <v>0</v>
      </c>
      <c r="J262" s="653">
        <f>'Appendix A'!$G$12</f>
        <v>0.1717635714936654</v>
      </c>
      <c r="K262" s="542">
        <f>I262*J262</f>
        <v>0</v>
      </c>
      <c r="L262" s="458"/>
      <c r="M262" s="459"/>
      <c r="O262" s="278" t="s">
        <v>262</v>
      </c>
      <c r="P262" s="200"/>
      <c r="Q262" s="200"/>
      <c r="R262" s="200"/>
      <c r="S262" s="200"/>
      <c r="T262" s="200"/>
      <c r="U262" s="200"/>
      <c r="V262" s="200"/>
      <c r="W262" s="200"/>
      <c r="X262" s="200"/>
      <c r="Y262" s="200"/>
    </row>
    <row r="263" spans="1:25" ht="17.25" customHeight="1">
      <c r="A263" s="502"/>
      <c r="B263" s="509"/>
      <c r="C263" s="297"/>
      <c r="D263" s="496" t="s">
        <v>1066</v>
      </c>
      <c r="E263" s="496"/>
      <c r="F263" s="558"/>
      <c r="G263" s="922">
        <v>12817271</v>
      </c>
      <c r="H263" s="628">
        <v>12657775</v>
      </c>
      <c r="I263" s="565">
        <f>IF('Appendix A'!$I$1=1,('5 - Cost Support 1'!G263+'5 - Cost Support 1'!H263)/2,H263)</f>
        <v>12657775</v>
      </c>
      <c r="J263" s="653">
        <f>'Appendix A'!$G$12</f>
        <v>0.1717635714936654</v>
      </c>
      <c r="K263" s="542">
        <f aca="true" t="shared" si="0" ref="K263:K271">I263*J263</f>
        <v>2174144.6411632304</v>
      </c>
      <c r="L263" s="494"/>
      <c r="M263" s="495"/>
      <c r="O263" s="278" t="s">
        <v>262</v>
      </c>
      <c r="P263" s="1015"/>
      <c r="Q263" s="1016"/>
      <c r="R263" s="1016"/>
      <c r="S263" s="1016"/>
      <c r="T263" s="1016"/>
      <c r="U263" s="1016"/>
      <c r="V263" s="1016"/>
      <c r="W263" s="200"/>
      <c r="X263" s="1016"/>
      <c r="Y263" s="200"/>
    </row>
    <row r="264" spans="1:25" ht="17.25" customHeight="1">
      <c r="A264" s="502"/>
      <c r="B264" s="509"/>
      <c r="C264" s="297"/>
      <c r="D264" s="496" t="s">
        <v>138</v>
      </c>
      <c r="E264" s="329"/>
      <c r="F264" s="558"/>
      <c r="G264" s="922">
        <v>0</v>
      </c>
      <c r="H264" s="628">
        <v>0</v>
      </c>
      <c r="I264" s="565">
        <f>IF('Appendix A'!$I$1=1,('5 - Cost Support 1'!G264+'5 - Cost Support 1'!H264)/2,H264)</f>
        <v>0</v>
      </c>
      <c r="J264" s="653">
        <f>'Appendix A'!$G$12</f>
        <v>0.1717635714936654</v>
      </c>
      <c r="K264" s="542">
        <f t="shared" si="0"/>
        <v>0</v>
      </c>
      <c r="L264" s="494"/>
      <c r="M264" s="495"/>
      <c r="O264" s="278" t="s">
        <v>262</v>
      </c>
      <c r="P264" s="200"/>
      <c r="Q264" s="200"/>
      <c r="R264" s="200"/>
      <c r="S264" s="200"/>
      <c r="T264" s="200"/>
      <c r="U264" s="200"/>
      <c r="V264" s="200"/>
      <c r="W264" s="200"/>
      <c r="X264" s="200"/>
      <c r="Y264" s="200"/>
    </row>
    <row r="265" spans="1:25" ht="17.25" customHeight="1">
      <c r="A265" s="502"/>
      <c r="B265" s="509"/>
      <c r="C265" s="297"/>
      <c r="D265" s="496" t="s">
        <v>139</v>
      </c>
      <c r="E265" s="329"/>
      <c r="F265" s="558"/>
      <c r="G265" s="922">
        <v>0</v>
      </c>
      <c r="H265" s="628">
        <v>0</v>
      </c>
      <c r="I265" s="565">
        <f>IF('Appendix A'!$I$1=1,('5 - Cost Support 1'!G265+'5 - Cost Support 1'!H265)/2,H265)</f>
        <v>0</v>
      </c>
      <c r="J265" s="653">
        <f>'Appendix A'!$G$12</f>
        <v>0.1717635714936654</v>
      </c>
      <c r="K265" s="542">
        <f t="shared" si="0"/>
        <v>0</v>
      </c>
      <c r="L265" s="494"/>
      <c r="M265" s="495"/>
      <c r="O265" s="278" t="s">
        <v>262</v>
      </c>
      <c r="P265" s="1015"/>
      <c r="Q265" s="1016"/>
      <c r="R265" s="1016"/>
      <c r="S265" s="1016"/>
      <c r="T265" s="1016"/>
      <c r="U265" s="1016"/>
      <c r="V265" s="1016"/>
      <c r="W265" s="200"/>
      <c r="X265" s="200"/>
      <c r="Y265" s="1016"/>
    </row>
    <row r="266" spans="1:25" ht="17.25" customHeight="1">
      <c r="A266" s="502"/>
      <c r="B266" s="509"/>
      <c r="C266" s="297"/>
      <c r="D266" s="496" t="s">
        <v>140</v>
      </c>
      <c r="E266" s="329"/>
      <c r="F266" s="558"/>
      <c r="G266" s="922">
        <v>0</v>
      </c>
      <c r="H266" s="628">
        <v>0</v>
      </c>
      <c r="I266" s="565">
        <f>IF('Appendix A'!$I$1=1,('5 - Cost Support 1'!G266+'5 - Cost Support 1'!H266)/2,H266)</f>
        <v>0</v>
      </c>
      <c r="J266" s="653">
        <f>'Appendix A'!$G$12</f>
        <v>0.1717635714936654</v>
      </c>
      <c r="K266" s="542">
        <f t="shared" si="0"/>
        <v>0</v>
      </c>
      <c r="L266" s="297"/>
      <c r="M266" s="495"/>
      <c r="O266" s="278" t="s">
        <v>262</v>
      </c>
      <c r="P266" s="1015"/>
      <c r="Q266" s="1016"/>
      <c r="R266" s="1016"/>
      <c r="S266" s="1016"/>
      <c r="T266" s="1016"/>
      <c r="U266" s="1016"/>
      <c r="V266" s="1016"/>
      <c r="W266" s="200"/>
      <c r="X266" s="200"/>
      <c r="Y266" s="1016"/>
    </row>
    <row r="267" spans="1:25" ht="17.25" customHeight="1">
      <c r="A267" s="502"/>
      <c r="B267" s="509"/>
      <c r="C267" s="297"/>
      <c r="D267" s="496" t="s">
        <v>133</v>
      </c>
      <c r="E267" s="200"/>
      <c r="F267" s="558"/>
      <c r="G267" s="922">
        <v>1222932</v>
      </c>
      <c r="H267" s="628">
        <v>2015363</v>
      </c>
      <c r="I267" s="565">
        <f>IF('Appendix A'!$I$1=1,('5 - Cost Support 1'!G267+'5 - Cost Support 1'!H267)/2,H267)</f>
        <v>2015363</v>
      </c>
      <c r="J267" s="653">
        <f>'Appendix A'!$G$12</f>
        <v>0.1717635714936654</v>
      </c>
      <c r="K267" s="542">
        <f t="shared" si="0"/>
        <v>346165.94673618797</v>
      </c>
      <c r="L267" s="297"/>
      <c r="M267" s="495"/>
      <c r="O267" s="278" t="s">
        <v>262</v>
      </c>
      <c r="P267" s="1015"/>
      <c r="Q267" s="1016"/>
      <c r="R267" s="1016"/>
      <c r="S267" s="1016"/>
      <c r="T267" s="1016"/>
      <c r="U267" s="1016"/>
      <c r="V267" s="1016"/>
      <c r="W267" s="200"/>
      <c r="X267" s="200"/>
      <c r="Y267" s="1016"/>
    </row>
    <row r="268" spans="1:13" ht="17.25" customHeight="1">
      <c r="A268" s="502"/>
      <c r="B268" s="509"/>
      <c r="D268" s="329"/>
      <c r="E268" s="451"/>
      <c r="F268" s="329"/>
      <c r="G268" s="457"/>
      <c r="H268" s="329"/>
      <c r="I268" s="565"/>
      <c r="J268" s="297"/>
      <c r="K268" s="548"/>
      <c r="L268" s="494"/>
      <c r="M268" s="495"/>
    </row>
    <row r="269" spans="1:15" ht="17.25" customHeight="1">
      <c r="A269" s="502"/>
      <c r="B269" s="509"/>
      <c r="C269" s="297" t="s">
        <v>600</v>
      </c>
      <c r="D269" s="496" t="s">
        <v>259</v>
      </c>
      <c r="E269" s="451"/>
      <c r="F269" s="558"/>
      <c r="G269" s="922">
        <v>1380113</v>
      </c>
      <c r="H269" s="628">
        <v>1529985</v>
      </c>
      <c r="I269" s="565">
        <f>IF('Appendix A'!$I$1=1,('5 - Cost Support 1'!G269+'5 - Cost Support 1'!H269)/2,H269)</f>
        <v>1529985</v>
      </c>
      <c r="J269" s="653">
        <v>0</v>
      </c>
      <c r="K269" s="542">
        <f t="shared" si="0"/>
        <v>0</v>
      </c>
      <c r="L269" s="494"/>
      <c r="M269" s="495"/>
      <c r="O269" s="278" t="s">
        <v>262</v>
      </c>
    </row>
    <row r="270" spans="1:13" ht="17.25" customHeight="1">
      <c r="A270" s="502"/>
      <c r="B270" s="509"/>
      <c r="C270" s="297"/>
      <c r="D270" s="496"/>
      <c r="E270" s="451"/>
      <c r="F270" s="558"/>
      <c r="G270" s="457"/>
      <c r="H270" s="329"/>
      <c r="I270" s="565"/>
      <c r="J270" s="653"/>
      <c r="K270" s="542"/>
      <c r="L270" s="494"/>
      <c r="M270" s="495"/>
    </row>
    <row r="271" spans="1:15" ht="17.25" customHeight="1">
      <c r="A271" s="502"/>
      <c r="B271" s="509"/>
      <c r="C271" s="329" t="s">
        <v>554</v>
      </c>
      <c r="D271" s="496" t="s">
        <v>136</v>
      </c>
      <c r="E271" s="451"/>
      <c r="F271" s="558"/>
      <c r="G271" s="820">
        <v>3319733</v>
      </c>
      <c r="H271" s="780">
        <v>3781314</v>
      </c>
      <c r="I271" s="883">
        <f>IF('Appendix A'!$I$1=1,('5 - Cost Support 1'!G271+'5 - Cost Support 1'!H271)/2,H271)</f>
        <v>3781314</v>
      </c>
      <c r="J271" s="543">
        <f>'Appendix A'!G23</f>
        <v>0.243716562484718</v>
      </c>
      <c r="K271" s="544">
        <f t="shared" si="0"/>
        <v>921568.849755339</v>
      </c>
      <c r="L271" s="494"/>
      <c r="M271" s="495"/>
      <c r="O271" s="278" t="s">
        <v>262</v>
      </c>
    </row>
    <row r="272" spans="1:13" ht="12.75">
      <c r="A272" s="502"/>
      <c r="B272" s="509"/>
      <c r="C272" s="329"/>
      <c r="D272" s="916"/>
      <c r="E272" s="329"/>
      <c r="F272" s="451"/>
      <c r="G272" s="819"/>
      <c r="H272" s="658"/>
      <c r="I272" s="548"/>
      <c r="J272" s="297"/>
      <c r="K272" s="548"/>
      <c r="L272" s="291"/>
      <c r="M272" s="459"/>
    </row>
    <row r="273" spans="1:13" ht="13.5" thickBot="1">
      <c r="A273" s="511"/>
      <c r="B273" s="516"/>
      <c r="C273" s="456"/>
      <c r="D273" s="445"/>
      <c r="E273" s="1325"/>
      <c r="F273" s="1136"/>
      <c r="G273" s="491">
        <f>SUM(G262:G271)</f>
        <v>18740049</v>
      </c>
      <c r="H273" s="491">
        <f>SUM(H262:H271)</f>
        <v>19984437</v>
      </c>
      <c r="I273" s="882">
        <f>SUM(I262:I271)</f>
        <v>19984437</v>
      </c>
      <c r="J273" s="545"/>
      <c r="K273" s="1130">
        <f>SUM(K262:K271)</f>
        <v>3441879.4376547574</v>
      </c>
      <c r="L273" s="462"/>
      <c r="M273" s="463"/>
    </row>
    <row r="274" spans="1:13" ht="12.75">
      <c r="A274" s="509"/>
      <c r="B274" s="509"/>
      <c r="C274" s="509"/>
      <c r="D274" s="509"/>
      <c r="E274" s="503"/>
      <c r="F274" s="546"/>
      <c r="G274" s="497"/>
      <c r="H274" s="297"/>
      <c r="I274" s="297"/>
      <c r="J274" s="297"/>
      <c r="K274" s="486"/>
      <c r="L274" s="297"/>
      <c r="M274" s="297"/>
    </row>
    <row r="275" spans="1:14" ht="13.5" thickBot="1">
      <c r="A275" s="797" t="s">
        <v>650</v>
      </c>
      <c r="F275" s="483"/>
      <c r="G275" s="297"/>
      <c r="H275" s="297"/>
      <c r="N275" s="200"/>
    </row>
    <row r="276" spans="1:14" ht="27" thickBot="1">
      <c r="A276" s="907" t="s">
        <v>50</v>
      </c>
      <c r="B276" s="908"/>
      <c r="C276" s="908"/>
      <c r="D276" s="909"/>
      <c r="E276" s="909"/>
      <c r="F276" s="910"/>
      <c r="G276" s="904" t="s">
        <v>737</v>
      </c>
      <c r="H276" s="807" t="s">
        <v>807</v>
      </c>
      <c r="I276" s="807" t="s">
        <v>493</v>
      </c>
      <c r="J276" s="807"/>
      <c r="K276" s="807"/>
      <c r="L276" s="807"/>
      <c r="M276" s="906"/>
      <c r="N276" s="670"/>
    </row>
    <row r="277" spans="1:14" ht="12.75">
      <c r="A277" s="556"/>
      <c r="B277" s="506"/>
      <c r="C277" s="539"/>
      <c r="D277" s="297"/>
      <c r="E277" s="297"/>
      <c r="F277" s="297"/>
      <c r="G277" s="627"/>
      <c r="H277" s="540"/>
      <c r="I277" s="547"/>
      <c r="J277" s="496"/>
      <c r="K277" s="541"/>
      <c r="L277" s="496"/>
      <c r="M277" s="508"/>
      <c r="N277" s="200"/>
    </row>
    <row r="278" spans="1:15" ht="12.75">
      <c r="A278" s="478"/>
      <c r="C278" s="278" t="s">
        <v>651</v>
      </c>
      <c r="D278" s="200" t="s">
        <v>652</v>
      </c>
      <c r="E278" s="329"/>
      <c r="F278" s="558"/>
      <c r="G278" s="922">
        <v>1139369</v>
      </c>
      <c r="H278" s="628">
        <v>1293344</v>
      </c>
      <c r="I278" s="628">
        <f>IF('Appendix A'!$I$1=1,('5 - Cost Support 1'!G278+'5 - Cost Support 1'!H278)/2,H278)</f>
        <v>1293344</v>
      </c>
      <c r="J278" s="666"/>
      <c r="K278" s="542"/>
      <c r="L278" s="458"/>
      <c r="M278" s="459"/>
      <c r="O278" s="278" t="s">
        <v>262</v>
      </c>
    </row>
    <row r="279" spans="1:15" ht="17.25" customHeight="1">
      <c r="A279" s="557"/>
      <c r="B279" s="555"/>
      <c r="C279" s="782" t="s">
        <v>653</v>
      </c>
      <c r="D279" s="781" t="s">
        <v>703</v>
      </c>
      <c r="E279" s="1072"/>
      <c r="F279" s="1072"/>
      <c r="G279" s="820">
        <v>255</v>
      </c>
      <c r="H279" s="780">
        <v>0</v>
      </c>
      <c r="I279" s="780">
        <f>IF('Appendix A'!$I$1=1,('5 - Cost Support 1'!G279+'5 - Cost Support 1'!H279)/2,H279)</f>
        <v>0</v>
      </c>
      <c r="J279" s="666"/>
      <c r="K279" s="542"/>
      <c r="L279" s="494"/>
      <c r="M279" s="495"/>
      <c r="O279" s="278" t="s">
        <v>262</v>
      </c>
    </row>
    <row r="280" spans="1:13" ht="15">
      <c r="A280" s="502">
        <f>'Appendix A'!A78</f>
        <v>42</v>
      </c>
      <c r="B280" s="509"/>
      <c r="C280" s="455" t="str">
        <f>'Appendix A'!C78</f>
        <v>Undistributed Stores Exp</v>
      </c>
      <c r="D280" s="229"/>
      <c r="E280" s="764"/>
      <c r="F280" s="764"/>
      <c r="G280" s="768">
        <f>G278+G279</f>
        <v>1139624</v>
      </c>
      <c r="H280" s="558">
        <f>H278+H279</f>
        <v>1293344</v>
      </c>
      <c r="I280" s="558">
        <f>SUM(I278:I279)</f>
        <v>1293344</v>
      </c>
      <c r="J280" s="666"/>
      <c r="K280" s="542"/>
      <c r="L280" s="494"/>
      <c r="M280" s="495"/>
    </row>
    <row r="281" spans="1:13" ht="17.25" customHeight="1">
      <c r="A281" s="502"/>
      <c r="B281" s="509"/>
      <c r="C281" s="640"/>
      <c r="D281" s="229"/>
      <c r="E281" s="764"/>
      <c r="F281" s="764"/>
      <c r="G281" s="754"/>
      <c r="H281" s="558"/>
      <c r="I281" s="548"/>
      <c r="J281" s="666"/>
      <c r="K281" s="542"/>
      <c r="L281" s="494"/>
      <c r="M281" s="495"/>
    </row>
    <row r="282" spans="1:15" ht="17.25" customHeight="1" thickBot="1">
      <c r="A282" s="511">
        <f>'Appendix A'!A81</f>
        <v>45</v>
      </c>
      <c r="B282" s="516"/>
      <c r="C282" s="483" t="str">
        <f>'Appendix A'!C81</f>
        <v>Transmission Materials &amp; Supplies</v>
      </c>
      <c r="D282" s="514" t="s">
        <v>654</v>
      </c>
      <c r="E282" s="1364"/>
      <c r="F282" s="1136"/>
      <c r="G282" s="629">
        <v>909922</v>
      </c>
      <c r="H282" s="629">
        <v>9278007</v>
      </c>
      <c r="I282" s="891">
        <f>IF('Appendix A'!$I$1=1,('5 - Cost Support 1'!G282+'5 - Cost Support 1'!H282)/2,H282)</f>
        <v>9278007</v>
      </c>
      <c r="J282" s="667"/>
      <c r="K282" s="668"/>
      <c r="L282" s="445"/>
      <c r="M282" s="669"/>
      <c r="O282" s="278" t="s">
        <v>262</v>
      </c>
    </row>
    <row r="283" spans="1:13" ht="15">
      <c r="A283" s="509"/>
      <c r="B283" s="509"/>
      <c r="C283" s="756"/>
      <c r="D283" s="753"/>
      <c r="E283" s="753"/>
      <c r="F283" s="753"/>
      <c r="G283" s="757"/>
      <c r="H283" s="554"/>
      <c r="I283" s="548"/>
      <c r="J283" s="554"/>
      <c r="K283" s="554"/>
      <c r="L283" s="458"/>
      <c r="M283" s="458"/>
    </row>
    <row r="284" spans="1:13" ht="15.75" thickBot="1">
      <c r="A284" s="506" t="s">
        <v>283</v>
      </c>
      <c r="B284" s="509"/>
      <c r="C284" s="230"/>
      <c r="D284" s="230"/>
      <c r="E284" s="575"/>
      <c r="F284" s="230"/>
      <c r="G284" s="753"/>
      <c r="H284" s="297"/>
      <c r="I284" s="297"/>
      <c r="J284" s="297"/>
      <c r="K284" s="486"/>
      <c r="L284" s="297"/>
      <c r="M284" s="297"/>
    </row>
    <row r="285" spans="1:13" ht="15.75" thickBot="1">
      <c r="A285" s="1401" t="s">
        <v>50</v>
      </c>
      <c r="B285" s="1402"/>
      <c r="C285" s="1403"/>
      <c r="D285" s="1403"/>
      <c r="E285" s="1403"/>
      <c r="F285" s="1404"/>
      <c r="G285" s="911" t="s">
        <v>449</v>
      </c>
      <c r="H285" s="901" t="s">
        <v>37</v>
      </c>
      <c r="I285" s="901" t="s">
        <v>549</v>
      </c>
      <c r="J285" s="901"/>
      <c r="K285" s="901"/>
      <c r="L285" s="901"/>
      <c r="M285" s="902"/>
    </row>
    <row r="286" spans="1:13" ht="15">
      <c r="A286" s="502"/>
      <c r="B286" s="509"/>
      <c r="C286" s="230"/>
      <c r="D286" s="230"/>
      <c r="E286" s="230"/>
      <c r="F286" s="758"/>
      <c r="G286" s="759"/>
      <c r="H286" s="297"/>
      <c r="I286" s="297"/>
      <c r="J286" s="297"/>
      <c r="K286" s="486"/>
      <c r="L286" s="297"/>
      <c r="M286" s="466"/>
    </row>
    <row r="287" spans="1:13" ht="15">
      <c r="A287" s="502">
        <f>'Appendix A'!A100</f>
        <v>55</v>
      </c>
      <c r="B287" s="509"/>
      <c r="C287" s="509" t="str">
        <f>'Appendix A'!C100</f>
        <v>     Plus Net Transmission Lease Payments</v>
      </c>
      <c r="D287" s="230"/>
      <c r="E287" s="230"/>
      <c r="F287" s="758"/>
      <c r="G287" s="754"/>
      <c r="H287" s="297"/>
      <c r="I287" s="656"/>
      <c r="J287" s="656"/>
      <c r="K287" s="486"/>
      <c r="L287" s="297"/>
      <c r="M287" s="466"/>
    </row>
    <row r="288" spans="1:13" ht="15.75" thickBot="1">
      <c r="A288" s="511"/>
      <c r="B288" s="516"/>
      <c r="C288" s="760"/>
      <c r="D288" s="760"/>
      <c r="E288" s="761"/>
      <c r="F288" s="762"/>
      <c r="G288" s="763"/>
      <c r="H288" s="483"/>
      <c r="I288" s="483"/>
      <c r="J288" s="483"/>
      <c r="K288" s="485"/>
      <c r="L288" s="483"/>
      <c r="M288" s="484"/>
    </row>
    <row r="289" spans="1:15" ht="15">
      <c r="A289" s="509"/>
      <c r="B289" s="509"/>
      <c r="C289" s="230"/>
      <c r="D289" s="230"/>
      <c r="E289" s="575"/>
      <c r="F289" s="230"/>
      <c r="G289" s="753"/>
      <c r="H289" s="297"/>
      <c r="I289" s="297"/>
      <c r="J289" s="297"/>
      <c r="K289" s="486"/>
      <c r="L289" s="297"/>
      <c r="M289" s="297"/>
      <c r="O289" s="654"/>
    </row>
    <row r="290" spans="1:7" ht="15.75" thickBot="1">
      <c r="A290" s="797" t="str">
        <f>+'Appendix A'!C269</f>
        <v>Facility Credits under Section 30.9 of the PJM OATT</v>
      </c>
      <c r="C290" s="640"/>
      <c r="D290" s="640"/>
      <c r="E290" s="640"/>
      <c r="F290" s="640"/>
      <c r="G290" s="640"/>
    </row>
    <row r="291" spans="1:13" ht="16.5" customHeight="1" thickBot="1">
      <c r="A291" s="1401" t="s">
        <v>50</v>
      </c>
      <c r="B291" s="1402"/>
      <c r="C291" s="1403"/>
      <c r="D291" s="1403"/>
      <c r="E291" s="1403"/>
      <c r="F291" s="1404"/>
      <c r="G291" s="912" t="s">
        <v>559</v>
      </c>
      <c r="H291" s="1416" t="s">
        <v>605</v>
      </c>
      <c r="I291" s="1416"/>
      <c r="J291" s="1416"/>
      <c r="K291" s="1416"/>
      <c r="L291" s="1416"/>
      <c r="M291" s="1417"/>
    </row>
    <row r="292" spans="1:13" ht="15">
      <c r="A292" s="502"/>
      <c r="B292" s="475" t="str">
        <f>+'Appendix A'!C266</f>
        <v>Net Revenue Requirement</v>
      </c>
      <c r="C292" s="764"/>
      <c r="D292" s="764"/>
      <c r="E292" s="765"/>
      <c r="F292" s="766"/>
      <c r="G292" s="753"/>
      <c r="H292" s="297"/>
      <c r="I292" s="297"/>
      <c r="J292" s="297"/>
      <c r="K292" s="297"/>
      <c r="L292" s="297"/>
      <c r="M292" s="466"/>
    </row>
    <row r="293" spans="1:13" ht="15.75" thickBot="1">
      <c r="A293" s="511">
        <f>+'Appendix A'!A269</f>
        <v>166</v>
      </c>
      <c r="B293" s="525"/>
      <c r="C293" s="513" t="str">
        <f>+'Appendix A'!C269</f>
        <v>Facility Credits under Section 30.9 of the PJM OATT</v>
      </c>
      <c r="D293" s="755"/>
      <c r="E293" s="760"/>
      <c r="F293" s="760"/>
      <c r="G293" s="1224">
        <v>0</v>
      </c>
      <c r="H293" s="1418"/>
      <c r="I293" s="1418"/>
      <c r="J293" s="1418"/>
      <c r="K293" s="1418"/>
      <c r="L293" s="1418"/>
      <c r="M293" s="1419"/>
    </row>
    <row r="294" spans="1:13" ht="15">
      <c r="A294" s="509"/>
      <c r="B294" s="509"/>
      <c r="C294" s="230"/>
      <c r="D294" s="230"/>
      <c r="E294" s="575"/>
      <c r="F294" s="230"/>
      <c r="G294" s="753"/>
      <c r="H294" s="297"/>
      <c r="I294" s="297"/>
      <c r="J294" s="297"/>
      <c r="K294" s="486"/>
      <c r="L294" s="297"/>
      <c r="M294" s="297"/>
    </row>
    <row r="295" spans="1:7" ht="15.75" thickBot="1">
      <c r="A295" s="797" t="s">
        <v>658</v>
      </c>
      <c r="C295" s="640"/>
      <c r="D295" s="640"/>
      <c r="E295" s="640"/>
      <c r="F295" s="640"/>
      <c r="G295" s="640"/>
    </row>
    <row r="296" spans="1:13" ht="16.5" customHeight="1" thickBot="1">
      <c r="A296" s="1401" t="s">
        <v>50</v>
      </c>
      <c r="B296" s="1402"/>
      <c r="C296" s="1403"/>
      <c r="D296" s="1403"/>
      <c r="E296" s="1403"/>
      <c r="F296" s="1404"/>
      <c r="G296" s="912" t="str">
        <f>+C298</f>
        <v>1 CP Peak</v>
      </c>
      <c r="H296" s="1416" t="s">
        <v>605</v>
      </c>
      <c r="I296" s="1416"/>
      <c r="J296" s="1416"/>
      <c r="K296" s="1416"/>
      <c r="L296" s="1416"/>
      <c r="M296" s="1417"/>
    </row>
    <row r="297" spans="1:13" ht="15">
      <c r="A297" s="502"/>
      <c r="B297" s="475" t="s">
        <v>585</v>
      </c>
      <c r="C297" s="764"/>
      <c r="D297" s="764"/>
      <c r="E297" s="765"/>
      <c r="F297" s="766"/>
      <c r="G297" s="753"/>
      <c r="H297" s="297"/>
      <c r="I297" s="297"/>
      <c r="J297" s="297"/>
      <c r="K297" s="297"/>
      <c r="L297" s="297"/>
      <c r="M297" s="466"/>
    </row>
    <row r="298" spans="1:19" ht="40.5" customHeight="1" thickBot="1">
      <c r="A298" s="511">
        <f>+'Appendix A'!A274</f>
        <v>168</v>
      </c>
      <c r="B298" s="516"/>
      <c r="C298" s="513" t="str">
        <f>+'Appendix A'!C274</f>
        <v>1 CP Peak</v>
      </c>
      <c r="D298" s="755"/>
      <c r="E298" s="761"/>
      <c r="F298" s="518" t="s">
        <v>821</v>
      </c>
      <c r="G298" s="629">
        <v>2667</v>
      </c>
      <c r="H298" s="1418"/>
      <c r="I298" s="1418"/>
      <c r="J298" s="1418"/>
      <c r="K298" s="1418"/>
      <c r="L298" s="1418"/>
      <c r="M298" s="1419"/>
      <c r="P298" s="1015"/>
      <c r="Q298" s="1015"/>
      <c r="R298" s="1015"/>
      <c r="S298" s="1016"/>
    </row>
    <row r="299" spans="3:7" ht="15">
      <c r="C299" s="640"/>
      <c r="D299" s="640"/>
      <c r="E299" s="640"/>
      <c r="F299" s="640"/>
      <c r="G299" s="640"/>
    </row>
    <row r="300" spans="1:7" ht="15.75" thickBot="1">
      <c r="A300" s="797" t="s">
        <v>881</v>
      </c>
      <c r="C300" s="640"/>
      <c r="D300" s="640"/>
      <c r="E300" s="640"/>
      <c r="F300" s="640"/>
      <c r="G300" s="640"/>
    </row>
    <row r="301" spans="1:13" ht="16.5" customHeight="1" thickBot="1">
      <c r="A301" s="1401" t="s">
        <v>985</v>
      </c>
      <c r="B301" s="1402"/>
      <c r="C301" s="1402"/>
      <c r="D301" s="1402"/>
      <c r="E301" s="1402"/>
      <c r="F301" s="1409"/>
      <c r="G301" s="912" t="s">
        <v>449</v>
      </c>
      <c r="H301" s="1416"/>
      <c r="I301" s="1416"/>
      <c r="J301" s="1416"/>
      <c r="K301" s="1416"/>
      <c r="L301" s="1416"/>
      <c r="M301" s="1417"/>
    </row>
    <row r="302" spans="3:13" ht="15">
      <c r="C302" s="640"/>
      <c r="D302" s="640"/>
      <c r="E302" s="640"/>
      <c r="F302" s="640"/>
      <c r="G302" s="822"/>
      <c r="M302" s="466"/>
    </row>
    <row r="303" spans="1:13" ht="12.75">
      <c r="A303" s="782"/>
      <c r="B303" s="1343"/>
      <c r="C303" s="415" t="s">
        <v>1034</v>
      </c>
      <c r="D303" s="1330" t="s">
        <v>1035</v>
      </c>
      <c r="E303" s="1331"/>
      <c r="F303" s="1332" t="s">
        <v>1036</v>
      </c>
      <c r="G303" s="820">
        <f>'9 - EDIT WS'!J12</f>
        <v>-3146608</v>
      </c>
      <c r="H303" s="409"/>
      <c r="M303" s="466"/>
    </row>
    <row r="304" spans="1:19" ht="16.5" customHeight="1" thickBot="1">
      <c r="A304" s="511" t="s">
        <v>882</v>
      </c>
      <c r="B304" s="1298"/>
      <c r="C304" s="1298" t="s">
        <v>1067</v>
      </c>
      <c r="D304" s="1299"/>
      <c r="E304" s="1300"/>
      <c r="F304" s="1301"/>
      <c r="G304" s="491">
        <f>G303</f>
        <v>-3146608</v>
      </c>
      <c r="H304" s="1418"/>
      <c r="I304" s="1418"/>
      <c r="J304" s="1418"/>
      <c r="K304" s="1418"/>
      <c r="L304" s="1418"/>
      <c r="M304" s="1419"/>
      <c r="P304" s="1015"/>
      <c r="Q304" s="1015"/>
      <c r="R304" s="1015"/>
      <c r="S304" s="1016"/>
    </row>
    <row r="305" spans="3:7" ht="15">
      <c r="C305" s="640"/>
      <c r="D305" s="640"/>
      <c r="E305" s="640"/>
      <c r="F305" s="640"/>
      <c r="G305" s="640"/>
    </row>
    <row r="306" ht="13.5" thickBot="1">
      <c r="A306" s="797" t="s">
        <v>481</v>
      </c>
    </row>
    <row r="307" spans="1:13" ht="13.5" thickBot="1">
      <c r="A307" s="1401" t="s">
        <v>50</v>
      </c>
      <c r="B307" s="1402"/>
      <c r="C307" s="1402"/>
      <c r="D307" s="1402"/>
      <c r="E307" s="1402"/>
      <c r="F307" s="1402"/>
      <c r="G307" s="913"/>
      <c r="H307" s="1412"/>
      <c r="I307" s="1412"/>
      <c r="J307" s="1412"/>
      <c r="K307" s="1412"/>
      <c r="L307" s="1412"/>
      <c r="M307" s="1413"/>
    </row>
    <row r="308" spans="1:33" ht="17.25">
      <c r="A308" s="502"/>
      <c r="B308" s="693" t="str">
        <f>+'Appendix A'!B158</f>
        <v>Long Term Interest</v>
      </c>
      <c r="C308" s="329"/>
      <c r="D308" s="329"/>
      <c r="E308" s="409"/>
      <c r="F308" s="409" t="s">
        <v>559</v>
      </c>
      <c r="G308" s="409"/>
      <c r="H308" s="329"/>
      <c r="I308" s="329"/>
      <c r="J308" s="329"/>
      <c r="K308" s="329"/>
      <c r="L308" s="329"/>
      <c r="M308" s="481"/>
      <c r="P308" s="1015"/>
      <c r="Q308" s="1015"/>
      <c r="R308" s="1016"/>
      <c r="S308" s="200"/>
      <c r="T308" s="1112"/>
      <c r="U308" s="1112"/>
      <c r="V308" s="1016"/>
      <c r="W308" s="1016"/>
      <c r="X308" s="1112"/>
      <c r="Y308" s="200"/>
      <c r="Z308" s="200"/>
      <c r="AA308" s="200"/>
      <c r="AB308" s="200"/>
      <c r="AC308" s="200"/>
      <c r="AD308" s="200"/>
      <c r="AE308" s="200"/>
      <c r="AF308" s="200"/>
      <c r="AG308" s="200"/>
    </row>
    <row r="309" spans="1:33" ht="12.75">
      <c r="A309" s="502">
        <f>+'Appendix A'!A159</f>
        <v>92</v>
      </c>
      <c r="B309" s="509"/>
      <c r="C309" s="228" t="str">
        <f>+'Appendix A'!C159</f>
        <v>Long Term Interest</v>
      </c>
      <c r="D309" s="496" t="s">
        <v>116</v>
      </c>
      <c r="E309" s="329"/>
      <c r="F309" s="565">
        <f>+H339</f>
        <v>55794612</v>
      </c>
      <c r="G309" s="1101"/>
      <c r="H309" s="1414"/>
      <c r="I309" s="1414"/>
      <c r="J309" s="1414"/>
      <c r="K309" s="1414"/>
      <c r="L309" s="1414"/>
      <c r="M309" s="1415"/>
      <c r="P309" s="200"/>
      <c r="Q309" s="200"/>
      <c r="R309" s="200"/>
      <c r="S309" s="200"/>
      <c r="T309" s="200"/>
      <c r="U309" s="200"/>
      <c r="V309" s="200"/>
      <c r="W309" s="200"/>
      <c r="X309" s="200"/>
      <c r="Y309" s="200"/>
      <c r="Z309" s="200"/>
      <c r="AA309" s="200"/>
      <c r="AB309" s="200"/>
      <c r="AC309" s="200"/>
      <c r="AD309" s="200"/>
      <c r="AE309" s="200"/>
      <c r="AF309" s="200"/>
      <c r="AG309" s="200"/>
    </row>
    <row r="310" spans="1:33" ht="12.75">
      <c r="A310" s="694">
        <f>+'Appendix A'!A177</f>
        <v>105</v>
      </c>
      <c r="B310" s="329"/>
      <c r="C310" s="329" t="str">
        <f>+'Appendix A'!C177</f>
        <v>Long Term Debt</v>
      </c>
      <c r="D310" s="496" t="s">
        <v>491</v>
      </c>
      <c r="E310" s="329"/>
      <c r="F310" s="451">
        <f>+G339</f>
        <v>1328333333.3333333</v>
      </c>
      <c r="G310" s="661"/>
      <c r="H310" s="329"/>
      <c r="I310" s="329"/>
      <c r="J310" s="329"/>
      <c r="K310" s="329"/>
      <c r="L310" s="329"/>
      <c r="M310" s="481"/>
      <c r="P310" s="200"/>
      <c r="Q310" s="200"/>
      <c r="R310" s="200"/>
      <c r="S310" s="200"/>
      <c r="T310" s="200"/>
      <c r="U310" s="200"/>
      <c r="V310" s="200"/>
      <c r="W310" s="200"/>
      <c r="X310" s="200"/>
      <c r="Y310" s="200"/>
      <c r="Z310" s="200"/>
      <c r="AA310" s="200"/>
      <c r="AB310" s="200"/>
      <c r="AC310" s="200"/>
      <c r="AD310" s="200"/>
      <c r="AE310" s="200"/>
      <c r="AF310" s="200"/>
      <c r="AG310" s="200"/>
    </row>
    <row r="311" spans="1:33" ht="12.75">
      <c r="A311" s="478"/>
      <c r="B311" s="329"/>
      <c r="C311" s="329"/>
      <c r="D311" s="329"/>
      <c r="E311" s="329"/>
      <c r="F311" s="695"/>
      <c r="G311" s="695"/>
      <c r="H311" s="329"/>
      <c r="I311" s="329"/>
      <c r="J311" s="329"/>
      <c r="K311" s="329"/>
      <c r="L311" s="329"/>
      <c r="M311" s="481"/>
      <c r="P311" s="200"/>
      <c r="Q311" s="200"/>
      <c r="R311" s="200"/>
      <c r="S311" s="200"/>
      <c r="T311" s="200"/>
      <c r="U311" s="200"/>
      <c r="V311" s="200"/>
      <c r="W311" s="200"/>
      <c r="X311" s="200"/>
      <c r="Y311" s="200"/>
      <c r="Z311" s="200"/>
      <c r="AA311" s="200"/>
      <c r="AB311" s="200"/>
      <c r="AC311" s="200"/>
      <c r="AD311" s="200"/>
      <c r="AE311" s="200"/>
      <c r="AF311" s="200"/>
      <c r="AG311" s="200"/>
    </row>
    <row r="312" spans="1:33" ht="17.25">
      <c r="A312" s="478"/>
      <c r="B312" s="329"/>
      <c r="C312" s="409" t="s">
        <v>318</v>
      </c>
      <c r="D312" s="409" t="s">
        <v>450</v>
      </c>
      <c r="E312" s="409" t="s">
        <v>299</v>
      </c>
      <c r="F312" s="409" t="s">
        <v>319</v>
      </c>
      <c r="G312" s="409" t="s">
        <v>317</v>
      </c>
      <c r="H312" s="409" t="s">
        <v>606</v>
      </c>
      <c r="I312" s="409"/>
      <c r="J312" s="409"/>
      <c r="K312" s="329"/>
      <c r="L312" s="329"/>
      <c r="M312" s="481"/>
      <c r="P312" s="1015"/>
      <c r="Q312" s="1016"/>
      <c r="R312" s="1016"/>
      <c r="S312" s="1016"/>
      <c r="T312" s="1016"/>
      <c r="U312" s="1016"/>
      <c r="V312" s="1016"/>
      <c r="W312" s="200"/>
      <c r="X312" s="1016"/>
      <c r="Y312" s="200"/>
      <c r="Z312" s="200"/>
      <c r="AA312" s="200"/>
      <c r="AB312" s="200"/>
      <c r="AC312" s="200"/>
      <c r="AD312" s="200"/>
      <c r="AE312" s="200"/>
      <c r="AF312" s="200"/>
      <c r="AG312" s="200"/>
    </row>
    <row r="313" spans="1:33" ht="39" customHeight="1">
      <c r="A313" s="478"/>
      <c r="B313" s="329" t="s">
        <v>486</v>
      </c>
      <c r="C313" s="1102" t="s">
        <v>485</v>
      </c>
      <c r="D313" s="1103" t="s">
        <v>487</v>
      </c>
      <c r="E313" s="1103" t="s">
        <v>489</v>
      </c>
      <c r="F313" s="1103" t="s">
        <v>488</v>
      </c>
      <c r="G313" s="1103" t="s">
        <v>490</v>
      </c>
      <c r="H313" s="1103" t="s">
        <v>630</v>
      </c>
      <c r="I313" s="696"/>
      <c r="J313" s="696"/>
      <c r="K313" s="329"/>
      <c r="L313" s="329"/>
      <c r="M313" s="481"/>
      <c r="P313" s="200"/>
      <c r="Q313" s="200"/>
      <c r="R313" s="200"/>
      <c r="S313" s="200"/>
      <c r="T313" s="200"/>
      <c r="U313" s="200"/>
      <c r="V313" s="200"/>
      <c r="W313" s="200"/>
      <c r="X313" s="200"/>
      <c r="Y313" s="200"/>
      <c r="Z313" s="200"/>
      <c r="AA313" s="200"/>
      <c r="AB313" s="200"/>
      <c r="AC313" s="200"/>
      <c r="AD313" s="200"/>
      <c r="AE313" s="200"/>
      <c r="AF313" s="200"/>
      <c r="AG313" s="200"/>
    </row>
    <row r="314" spans="1:33" ht="17.25">
      <c r="A314" s="478"/>
      <c r="B314" s="329">
        <v>221</v>
      </c>
      <c r="C314" s="1105" t="s">
        <v>816</v>
      </c>
      <c r="D314" s="1105">
        <v>160000000</v>
      </c>
      <c r="E314" s="1105">
        <v>160000000</v>
      </c>
      <c r="F314" s="1105">
        <v>12</v>
      </c>
      <c r="G314" s="1105">
        <f aca="true" t="shared" si="1" ref="G314:G319">+E314*F314/12</f>
        <v>160000000</v>
      </c>
      <c r="H314" s="1105">
        <v>7952000</v>
      </c>
      <c r="I314" s="329"/>
      <c r="J314" s="1015"/>
      <c r="K314" s="1016"/>
      <c r="L314" s="1016"/>
      <c r="M314" s="481"/>
      <c r="N314" s="1016"/>
      <c r="O314" s="1016"/>
      <c r="P314" s="1016"/>
      <c r="Q314" s="1016"/>
      <c r="R314" s="1016"/>
      <c r="S314" s="1016"/>
      <c r="T314" s="1016"/>
      <c r="U314" s="1016"/>
      <c r="V314" s="1016"/>
      <c r="W314" s="1016"/>
      <c r="X314" s="1016"/>
      <c r="Y314" s="1016"/>
      <c r="Z314" s="1016"/>
      <c r="AA314" s="1016"/>
      <c r="AB314" s="200"/>
      <c r="AC314" s="200"/>
      <c r="AD314" s="200"/>
      <c r="AE314" s="200"/>
      <c r="AF314" s="200"/>
      <c r="AG314" s="200"/>
    </row>
    <row r="315" spans="1:33" ht="18" customHeight="1">
      <c r="A315" s="478"/>
      <c r="B315" s="329">
        <v>221</v>
      </c>
      <c r="C315" s="1105" t="s">
        <v>833</v>
      </c>
      <c r="D315" s="1105">
        <v>200000000</v>
      </c>
      <c r="E315" s="1105">
        <v>200000000</v>
      </c>
      <c r="F315" s="1105">
        <v>12</v>
      </c>
      <c r="G315" s="1105">
        <f t="shared" si="1"/>
        <v>200000000</v>
      </c>
      <c r="H315" s="1105">
        <v>9520000</v>
      </c>
      <c r="I315" s="329"/>
      <c r="J315" s="451"/>
      <c r="K315" s="329"/>
      <c r="L315" s="329"/>
      <c r="M315" s="481"/>
      <c r="N315" s="200"/>
      <c r="O315" s="200"/>
      <c r="P315" s="200"/>
      <c r="Q315" s="200"/>
      <c r="R315" s="200"/>
      <c r="S315" s="200"/>
      <c r="T315" s="200"/>
      <c r="U315" s="200"/>
      <c r="V315" s="200"/>
      <c r="W315" s="200"/>
      <c r="X315" s="200"/>
      <c r="Y315" s="200"/>
      <c r="Z315" s="200"/>
      <c r="AA315" s="200"/>
      <c r="AB315" s="200"/>
      <c r="AC315" s="200"/>
      <c r="AD315" s="200"/>
      <c r="AE315" s="200"/>
      <c r="AF315" s="200"/>
      <c r="AG315" s="200"/>
    </row>
    <row r="316" spans="1:33" ht="18" customHeight="1">
      <c r="A316" s="478"/>
      <c r="B316" s="329">
        <v>221</v>
      </c>
      <c r="C316" s="1105" t="s">
        <v>834</v>
      </c>
      <c r="D316" s="1105">
        <v>45000000</v>
      </c>
      <c r="E316" s="1105">
        <v>45000000</v>
      </c>
      <c r="F316" s="1105">
        <v>12</v>
      </c>
      <c r="G316" s="1105">
        <f t="shared" si="1"/>
        <v>45000000</v>
      </c>
      <c r="H316" s="1105">
        <v>2259000</v>
      </c>
      <c r="I316" s="329"/>
      <c r="J316" s="451"/>
      <c r="K316" s="329"/>
      <c r="L316" s="329"/>
      <c r="M316" s="481"/>
      <c r="N316" s="200"/>
      <c r="O316" s="200"/>
      <c r="P316" s="200"/>
      <c r="Q316" s="200"/>
      <c r="R316" s="200"/>
      <c r="S316" s="200"/>
      <c r="T316" s="200"/>
      <c r="U316" s="200"/>
      <c r="V316" s="200"/>
      <c r="W316" s="200"/>
      <c r="X316" s="200"/>
      <c r="Y316" s="200"/>
      <c r="Z316" s="200"/>
      <c r="AA316" s="200"/>
      <c r="AB316" s="200"/>
      <c r="AC316" s="200"/>
      <c r="AD316" s="200"/>
      <c r="AE316" s="200"/>
      <c r="AF316" s="200"/>
      <c r="AG316" s="200"/>
    </row>
    <row r="317" spans="1:33" ht="18" customHeight="1">
      <c r="A317" s="478"/>
      <c r="B317" s="329">
        <v>221</v>
      </c>
      <c r="C317" s="1105" t="s">
        <v>838</v>
      </c>
      <c r="D317" s="1105">
        <v>85000000</v>
      </c>
      <c r="E317" s="1105">
        <v>85000000</v>
      </c>
      <c r="F317" s="1105">
        <v>12</v>
      </c>
      <c r="G317" s="1105">
        <f t="shared" si="1"/>
        <v>85000000</v>
      </c>
      <c r="H317" s="1105">
        <v>4352000</v>
      </c>
      <c r="I317" s="329"/>
      <c r="J317" s="1171"/>
      <c r="K317" s="1171"/>
      <c r="L317" s="1171"/>
      <c r="M317" s="481"/>
      <c r="N317" s="1171"/>
      <c r="O317" s="1171"/>
      <c r="P317" s="1171"/>
      <c r="Q317" s="1171"/>
      <c r="R317" s="1171"/>
      <c r="S317" s="1171"/>
      <c r="T317" s="1171"/>
      <c r="U317" s="1171"/>
      <c r="V317" s="200"/>
      <c r="W317" s="200"/>
      <c r="X317" s="200"/>
      <c r="Y317" s="200"/>
      <c r="Z317" s="200"/>
      <c r="AA317" s="200"/>
      <c r="AB317" s="200"/>
      <c r="AC317" s="200"/>
      <c r="AD317" s="200"/>
      <c r="AE317" s="200"/>
      <c r="AF317" s="200"/>
      <c r="AG317" s="200"/>
    </row>
    <row r="318" spans="1:33" ht="18" customHeight="1">
      <c r="A318" s="478"/>
      <c r="B318" s="329">
        <v>221</v>
      </c>
      <c r="C318" s="1105" t="s">
        <v>835</v>
      </c>
      <c r="D318" s="1105">
        <v>100000000</v>
      </c>
      <c r="E318" s="1105">
        <v>100000000</v>
      </c>
      <c r="F318" s="1105">
        <v>12</v>
      </c>
      <c r="G318" s="1105">
        <f t="shared" si="1"/>
        <v>100000000</v>
      </c>
      <c r="H318" s="1105">
        <v>3780000</v>
      </c>
      <c r="I318" s="329"/>
      <c r="J318" s="1016"/>
      <c r="K318" s="1016"/>
      <c r="L318" s="1016"/>
      <c r="M318" s="481"/>
      <c r="N318" s="1016"/>
      <c r="O318" s="1016"/>
      <c r="P318" s="1016"/>
      <c r="Q318" s="1016"/>
      <c r="R318" s="1016"/>
      <c r="S318" s="1016"/>
      <c r="T318" s="1016"/>
      <c r="U318" s="1016"/>
      <c r="V318" s="200"/>
      <c r="W318" s="200"/>
      <c r="X318" s="200"/>
      <c r="Y318" s="200"/>
      <c r="Z318" s="200"/>
      <c r="AA318" s="200"/>
      <c r="AB318" s="200"/>
      <c r="AC318" s="200"/>
      <c r="AD318" s="200"/>
      <c r="AE318" s="200"/>
      <c r="AF318" s="200"/>
      <c r="AG318" s="200"/>
    </row>
    <row r="319" spans="1:33" ht="18" customHeight="1">
      <c r="A319" s="478"/>
      <c r="B319" s="329">
        <v>221</v>
      </c>
      <c r="C319" s="1105" t="s">
        <v>836</v>
      </c>
      <c r="D319" s="1105">
        <v>200000000</v>
      </c>
      <c r="E319" s="1105">
        <v>200000000</v>
      </c>
      <c r="F319" s="1105">
        <v>12</v>
      </c>
      <c r="G319" s="1105">
        <f t="shared" si="1"/>
        <v>200000000</v>
      </c>
      <c r="H319" s="1105">
        <v>7860000</v>
      </c>
      <c r="I319" s="329"/>
      <c r="J319" s="1016"/>
      <c r="K319" s="1016"/>
      <c r="L319" s="1016"/>
      <c r="M319" s="481"/>
      <c r="N319" s="1016"/>
      <c r="O319" s="1016"/>
      <c r="P319" s="1016"/>
      <c r="Q319" s="1016"/>
      <c r="R319" s="1016"/>
      <c r="S319" s="1016"/>
      <c r="T319" s="1016"/>
      <c r="U319" s="1016"/>
      <c r="V319" s="200"/>
      <c r="W319" s="200"/>
      <c r="X319" s="200"/>
      <c r="Y319" s="200"/>
      <c r="Z319" s="200"/>
      <c r="AA319" s="200"/>
      <c r="AB319" s="200"/>
      <c r="AC319" s="200"/>
      <c r="AD319" s="200"/>
      <c r="AE319" s="200"/>
      <c r="AF319" s="200"/>
      <c r="AG319" s="200"/>
    </row>
    <row r="320" spans="1:33" ht="18" customHeight="1">
      <c r="A320" s="478"/>
      <c r="B320" s="329">
        <v>221</v>
      </c>
      <c r="C320" s="1105" t="s">
        <v>837</v>
      </c>
      <c r="D320" s="1105">
        <v>160000000</v>
      </c>
      <c r="E320" s="1105">
        <v>160000000</v>
      </c>
      <c r="F320" s="1105">
        <v>12</v>
      </c>
      <c r="G320" s="1105">
        <f>+E320*F320/12</f>
        <v>160000000</v>
      </c>
      <c r="H320" s="1105">
        <v>6288000</v>
      </c>
      <c r="I320" s="329"/>
      <c r="J320" s="1016"/>
      <c r="K320" s="1016"/>
      <c r="L320" s="1016"/>
      <c r="M320" s="481"/>
      <c r="N320" s="1016"/>
      <c r="O320" s="1016"/>
      <c r="P320" s="1016"/>
      <c r="Q320" s="1016"/>
      <c r="R320" s="1016"/>
      <c r="S320" s="1016"/>
      <c r="T320" s="1016"/>
      <c r="U320" s="1016"/>
      <c r="V320" s="200"/>
      <c r="W320" s="200"/>
      <c r="X320" s="200"/>
      <c r="Y320" s="200"/>
      <c r="Z320" s="200"/>
      <c r="AA320" s="200"/>
      <c r="AB320" s="200"/>
      <c r="AC320" s="200"/>
      <c r="AD320" s="200"/>
      <c r="AE320" s="200"/>
      <c r="AF320" s="200"/>
      <c r="AG320" s="200"/>
    </row>
    <row r="321" spans="1:33" ht="18" customHeight="1">
      <c r="A321" s="478"/>
      <c r="B321" s="329">
        <v>221</v>
      </c>
      <c r="C321" s="1105" t="s">
        <v>843</v>
      </c>
      <c r="D321" s="1105">
        <v>60000000</v>
      </c>
      <c r="E321" s="1105">
        <v>60000000</v>
      </c>
      <c r="F321" s="1105">
        <v>12</v>
      </c>
      <c r="G321" s="1105">
        <f>+E321*F321/12</f>
        <v>60000000</v>
      </c>
      <c r="H321" s="1105">
        <v>2292000</v>
      </c>
      <c r="I321" s="329"/>
      <c r="J321" s="1016"/>
      <c r="K321" s="1016"/>
      <c r="L321" s="1016"/>
      <c r="M321" s="481"/>
      <c r="N321" s="1016"/>
      <c r="O321" s="1016"/>
      <c r="P321" s="1016"/>
      <c r="Q321" s="1016"/>
      <c r="R321" s="1016"/>
      <c r="S321" s="1016"/>
      <c r="T321" s="1016"/>
      <c r="U321" s="1016"/>
      <c r="V321" s="200"/>
      <c r="W321" s="200"/>
      <c r="X321" s="200"/>
      <c r="Y321" s="200"/>
      <c r="Z321" s="200"/>
      <c r="AA321" s="200"/>
      <c r="AB321" s="200"/>
      <c r="AC321" s="200"/>
      <c r="AD321" s="200"/>
      <c r="AE321" s="200"/>
      <c r="AF321" s="200"/>
      <c r="AG321" s="200"/>
    </row>
    <row r="322" spans="1:33" ht="18" customHeight="1">
      <c r="A322" s="478"/>
      <c r="B322" s="329">
        <v>221</v>
      </c>
      <c r="C322" s="1105" t="s">
        <v>854</v>
      </c>
      <c r="D322" s="1105">
        <v>60000000</v>
      </c>
      <c r="E322" s="1105">
        <v>60000000</v>
      </c>
      <c r="F322" s="1105">
        <v>12</v>
      </c>
      <c r="G322" s="1105">
        <f>+E322*F322/12</f>
        <v>60000000</v>
      </c>
      <c r="H322" s="1105">
        <v>2334000</v>
      </c>
      <c r="I322" s="329"/>
      <c r="J322" s="1016"/>
      <c r="K322" s="1016"/>
      <c r="L322" s="1016"/>
      <c r="M322" s="481"/>
      <c r="N322" s="1016"/>
      <c r="O322" s="1016"/>
      <c r="P322" s="1016"/>
      <c r="Q322" s="1016"/>
      <c r="R322" s="1016"/>
      <c r="S322" s="1016"/>
      <c r="T322" s="1016"/>
      <c r="U322" s="1016"/>
      <c r="V322" s="200"/>
      <c r="W322" s="200"/>
      <c r="X322" s="200"/>
      <c r="Y322" s="200"/>
      <c r="Z322" s="200"/>
      <c r="AA322" s="200"/>
      <c r="AB322" s="200"/>
      <c r="AC322" s="200"/>
      <c r="AD322" s="200"/>
      <c r="AE322" s="200"/>
      <c r="AF322" s="200"/>
      <c r="AG322" s="200"/>
    </row>
    <row r="323" spans="1:33" ht="18" customHeight="1">
      <c r="A323" s="478"/>
      <c r="B323" s="329">
        <v>221</v>
      </c>
      <c r="C323" s="1105" t="s">
        <v>855</v>
      </c>
      <c r="D323" s="1105">
        <v>125000000</v>
      </c>
      <c r="E323" s="1105">
        <v>125000000</v>
      </c>
      <c r="F323" s="1105">
        <v>12</v>
      </c>
      <c r="G323" s="1105">
        <f>+E323*F323/12</f>
        <v>125000000</v>
      </c>
      <c r="H323" s="1105">
        <v>5050000</v>
      </c>
      <c r="I323" s="329"/>
      <c r="J323" s="1016"/>
      <c r="K323" s="1016"/>
      <c r="L323" s="1016"/>
      <c r="M323" s="481"/>
      <c r="N323" s="1016"/>
      <c r="O323" s="1016"/>
      <c r="P323" s="1016"/>
      <c r="Q323" s="1016"/>
      <c r="R323" s="1016"/>
      <c r="S323" s="1016"/>
      <c r="T323" s="1016"/>
      <c r="U323" s="1016"/>
      <c r="V323" s="200"/>
      <c r="W323" s="200"/>
      <c r="X323" s="200"/>
      <c r="Y323" s="200"/>
      <c r="Z323" s="200"/>
      <c r="AA323" s="200"/>
      <c r="AB323" s="200"/>
      <c r="AC323" s="200"/>
      <c r="AD323" s="200"/>
      <c r="AE323" s="200"/>
      <c r="AF323" s="200"/>
      <c r="AG323" s="200"/>
    </row>
    <row r="324" spans="1:33" ht="18" customHeight="1">
      <c r="A324" s="478"/>
      <c r="B324" s="329">
        <v>221</v>
      </c>
      <c r="C324" s="1065" t="s">
        <v>1107</v>
      </c>
      <c r="D324" s="1105">
        <v>200000000</v>
      </c>
      <c r="E324" s="1105">
        <v>200000000</v>
      </c>
      <c r="F324" s="1105">
        <v>8</v>
      </c>
      <c r="G324" s="1105">
        <f>+E324*F324/12</f>
        <v>133333333.33333333</v>
      </c>
      <c r="H324" s="1105">
        <v>4077163</v>
      </c>
      <c r="I324" s="329"/>
      <c r="J324" s="1016"/>
      <c r="K324" s="1016"/>
      <c r="L324" s="1016"/>
      <c r="M324" s="481"/>
      <c r="N324" s="1016"/>
      <c r="O324" s="1016"/>
      <c r="P324" s="1016"/>
      <c r="Q324" s="1016"/>
      <c r="R324" s="1016"/>
      <c r="S324" s="1016"/>
      <c r="T324" s="1016"/>
      <c r="U324" s="1016"/>
      <c r="V324" s="200"/>
      <c r="W324" s="200"/>
      <c r="X324" s="200"/>
      <c r="Y324" s="200"/>
      <c r="Z324" s="200"/>
      <c r="AA324" s="200"/>
      <c r="AB324" s="200"/>
      <c r="AC324" s="200"/>
      <c r="AD324" s="200"/>
      <c r="AE324" s="200"/>
      <c r="AF324" s="200"/>
      <c r="AG324" s="200"/>
    </row>
    <row r="325" spans="1:33" ht="18" customHeight="1">
      <c r="A325" s="478"/>
      <c r="B325" s="329"/>
      <c r="C325" s="1105"/>
      <c r="D325" s="1105"/>
      <c r="E325" s="1105"/>
      <c r="F325" s="1105"/>
      <c r="G325" s="1105"/>
      <c r="H325" s="1105"/>
      <c r="I325" s="1031"/>
      <c r="J325" s="1016"/>
      <c r="K325" s="1016"/>
      <c r="L325" s="1016"/>
      <c r="M325" s="481"/>
      <c r="N325" s="1016"/>
      <c r="O325" s="1016"/>
      <c r="P325" s="1016"/>
      <c r="Q325" s="1016"/>
      <c r="R325" s="1016"/>
      <c r="S325" s="1016"/>
      <c r="T325" s="1016"/>
      <c r="U325" s="1016"/>
      <c r="V325" s="200"/>
      <c r="W325" s="200"/>
      <c r="X325" s="200"/>
      <c r="Y325" s="200"/>
      <c r="Z325" s="200"/>
      <c r="AA325" s="200"/>
      <c r="AB325" s="200"/>
      <c r="AC325" s="200"/>
      <c r="AD325" s="200"/>
      <c r="AE325" s="200"/>
      <c r="AF325" s="200"/>
      <c r="AG325" s="200"/>
    </row>
    <row r="326" spans="1:13" ht="18" customHeight="1">
      <c r="A326" s="478"/>
      <c r="B326" s="329">
        <v>224</v>
      </c>
      <c r="C326" s="1105" t="s">
        <v>482</v>
      </c>
      <c r="D326" s="1105"/>
      <c r="E326" s="1105"/>
      <c r="F326" s="1105"/>
      <c r="G326" s="1105"/>
      <c r="H326" s="1105"/>
      <c r="I326" s="1031"/>
      <c r="J326" s="451"/>
      <c r="K326" s="1107"/>
      <c r="L326" s="329"/>
      <c r="M326" s="481"/>
    </row>
    <row r="327" spans="1:13" ht="18" customHeight="1">
      <c r="A327" s="478"/>
      <c r="B327" s="329">
        <v>224</v>
      </c>
      <c r="C327" s="1105" t="s">
        <v>704</v>
      </c>
      <c r="D327" s="1105">
        <v>13700000</v>
      </c>
      <c r="E327" s="1105">
        <v>0</v>
      </c>
      <c r="F327" s="1105">
        <v>0</v>
      </c>
      <c r="G327" s="1105">
        <f>+E327*F327/12</f>
        <v>0</v>
      </c>
      <c r="H327" s="1105">
        <v>1463</v>
      </c>
      <c r="I327" s="329"/>
      <c r="J327" s="451"/>
      <c r="K327" s="1107"/>
      <c r="L327" s="329"/>
      <c r="M327" s="481"/>
    </row>
    <row r="328" spans="1:13" ht="18" customHeight="1">
      <c r="A328" s="478"/>
      <c r="B328" s="329">
        <v>224</v>
      </c>
      <c r="C328" s="1105" t="s">
        <v>705</v>
      </c>
      <c r="D328" s="1105">
        <v>18000000</v>
      </c>
      <c r="E328" s="1105">
        <v>0</v>
      </c>
      <c r="F328" s="1105">
        <v>0</v>
      </c>
      <c r="G328" s="1105">
        <f>+E328*F328/12</f>
        <v>0</v>
      </c>
      <c r="H328" s="1105">
        <v>1463</v>
      </c>
      <c r="I328" s="329"/>
      <c r="J328" s="451"/>
      <c r="K328" s="329"/>
      <c r="L328" s="329"/>
      <c r="M328" s="481"/>
    </row>
    <row r="329" spans="1:25" ht="18" customHeight="1">
      <c r="A329" s="478"/>
      <c r="B329" s="329">
        <v>224</v>
      </c>
      <c r="C329" s="1105" t="s">
        <v>706</v>
      </c>
      <c r="D329" s="1105">
        <v>44250000</v>
      </c>
      <c r="E329" s="1105">
        <v>0</v>
      </c>
      <c r="F329" s="1105">
        <v>0</v>
      </c>
      <c r="G329" s="1105">
        <f>+E329*F329/12</f>
        <v>0</v>
      </c>
      <c r="H329" s="1105">
        <v>5226</v>
      </c>
      <c r="I329" s="329"/>
      <c r="J329" s="451"/>
      <c r="K329" s="329"/>
      <c r="L329" s="329"/>
      <c r="M329" s="481"/>
      <c r="P329" s="1015"/>
      <c r="Q329" s="1016"/>
      <c r="R329" s="1016"/>
      <c r="S329" s="1016"/>
      <c r="T329" s="1016"/>
      <c r="U329" s="1016"/>
      <c r="V329" s="1016"/>
      <c r="W329" s="200"/>
      <c r="X329" s="200"/>
      <c r="Y329" s="1016"/>
    </row>
    <row r="330" spans="1:13" ht="18" customHeight="1">
      <c r="A330" s="478"/>
      <c r="B330" s="329">
        <v>224</v>
      </c>
      <c r="C330" s="1105" t="s">
        <v>708</v>
      </c>
      <c r="D330" s="1105">
        <v>25000000</v>
      </c>
      <c r="E330" s="1105">
        <v>0</v>
      </c>
      <c r="F330" s="1105">
        <v>0</v>
      </c>
      <c r="G330" s="1105">
        <f>+E330*F330/12</f>
        <v>0</v>
      </c>
      <c r="H330" s="1105">
        <v>1461</v>
      </c>
      <c r="I330" s="329"/>
      <c r="J330" s="451"/>
      <c r="K330" s="329"/>
      <c r="L330" s="329"/>
      <c r="M330" s="481"/>
    </row>
    <row r="331" spans="1:13" ht="18" customHeight="1">
      <c r="A331" s="478"/>
      <c r="B331" s="329">
        <v>224</v>
      </c>
      <c r="C331" s="1105" t="s">
        <v>707</v>
      </c>
      <c r="D331" s="1105">
        <v>75500000</v>
      </c>
      <c r="E331" s="1105">
        <v>0</v>
      </c>
      <c r="F331" s="1105">
        <v>0</v>
      </c>
      <c r="G331" s="1105">
        <f>+E331*F331/12</f>
        <v>0</v>
      </c>
      <c r="H331" s="1105">
        <v>8917</v>
      </c>
      <c r="I331" s="329"/>
      <c r="J331" s="451"/>
      <c r="K331" s="329"/>
      <c r="L331" s="329"/>
      <c r="M331" s="481"/>
    </row>
    <row r="332" spans="1:13" ht="18" customHeight="1">
      <c r="A332" s="478"/>
      <c r="B332" s="329"/>
      <c r="C332" s="1105"/>
      <c r="D332" s="1105"/>
      <c r="E332" s="1105"/>
      <c r="F332" s="1105"/>
      <c r="G332" s="1105"/>
      <c r="H332" s="1105"/>
      <c r="I332" s="1031"/>
      <c r="J332" s="451"/>
      <c r="K332" s="329"/>
      <c r="L332" s="329"/>
      <c r="M332" s="481"/>
    </row>
    <row r="333" spans="1:13" ht="18" customHeight="1">
      <c r="A333" s="478"/>
      <c r="B333" s="800">
        <v>224</v>
      </c>
      <c r="C333" s="1105" t="s">
        <v>484</v>
      </c>
      <c r="D333" s="1105"/>
      <c r="E333" s="1105"/>
      <c r="F333" s="1105"/>
      <c r="G333" s="1105"/>
      <c r="H333" s="1105"/>
      <c r="I333" s="1031"/>
      <c r="J333" s="451"/>
      <c r="K333" s="329"/>
      <c r="L333" s="329"/>
      <c r="M333" s="481"/>
    </row>
    <row r="334" spans="1:13" s="802" customFormat="1" ht="18" customHeight="1">
      <c r="A334" s="478"/>
      <c r="B334" s="329">
        <v>224</v>
      </c>
      <c r="C334" s="1105" t="s">
        <v>708</v>
      </c>
      <c r="D334" s="1105">
        <v>71000000</v>
      </c>
      <c r="E334" s="1105">
        <v>0</v>
      </c>
      <c r="F334" s="1105">
        <v>0</v>
      </c>
      <c r="G334" s="1105">
        <f>+E334*F334/12</f>
        <v>0</v>
      </c>
      <c r="H334" s="1105">
        <v>4147</v>
      </c>
      <c r="I334" s="329"/>
      <c r="J334" s="800"/>
      <c r="K334" s="800"/>
      <c r="L334" s="800"/>
      <c r="M334" s="801"/>
    </row>
    <row r="335" spans="1:13" ht="18" customHeight="1">
      <c r="A335" s="478"/>
      <c r="B335" s="329">
        <v>224</v>
      </c>
      <c r="C335" s="1105" t="s">
        <v>709</v>
      </c>
      <c r="D335" s="1105">
        <v>13500000</v>
      </c>
      <c r="E335" s="1105">
        <v>0</v>
      </c>
      <c r="F335" s="1105">
        <v>0</v>
      </c>
      <c r="G335" s="1105">
        <f>+E335*F335/12</f>
        <v>0</v>
      </c>
      <c r="H335" s="1105">
        <v>789</v>
      </c>
      <c r="I335" s="329"/>
      <c r="J335" s="451"/>
      <c r="K335" s="329"/>
      <c r="L335" s="329"/>
      <c r="M335" s="481"/>
    </row>
    <row r="336" spans="1:13" ht="18" customHeight="1">
      <c r="A336" s="478"/>
      <c r="B336" s="329">
        <v>224</v>
      </c>
      <c r="C336" s="1105" t="s">
        <v>710</v>
      </c>
      <c r="D336" s="1105">
        <v>20500000</v>
      </c>
      <c r="E336" s="1105">
        <v>0</v>
      </c>
      <c r="F336" s="1105">
        <v>0</v>
      </c>
      <c r="G336" s="1105">
        <f>+E336*F336/12</f>
        <v>0</v>
      </c>
      <c r="H336" s="1105">
        <v>2422</v>
      </c>
      <c r="I336" s="329"/>
      <c r="J336" s="451"/>
      <c r="K336" s="329"/>
      <c r="L336" s="329"/>
      <c r="M336" s="481"/>
    </row>
    <row r="337" spans="1:13" ht="18" customHeight="1">
      <c r="A337" s="478"/>
      <c r="B337" s="329">
        <v>224</v>
      </c>
      <c r="C337" s="1105" t="s">
        <v>711</v>
      </c>
      <c r="D337" s="1105">
        <v>33955000</v>
      </c>
      <c r="E337" s="1105">
        <v>0</v>
      </c>
      <c r="F337" s="1105">
        <v>0</v>
      </c>
      <c r="G337" s="1105">
        <f>+E337*F337/12</f>
        <v>0</v>
      </c>
      <c r="H337" s="1105">
        <v>4011</v>
      </c>
      <c r="I337" s="329"/>
      <c r="J337" s="451"/>
      <c r="K337" s="329"/>
      <c r="L337" s="329"/>
      <c r="M337" s="481"/>
    </row>
    <row r="338" spans="1:13" ht="18" customHeight="1">
      <c r="A338" s="478"/>
      <c r="B338" s="329">
        <v>224</v>
      </c>
      <c r="C338" s="1105" t="s">
        <v>711</v>
      </c>
      <c r="D338" s="1105">
        <v>4655000</v>
      </c>
      <c r="E338" s="1105">
        <v>0</v>
      </c>
      <c r="F338" s="1105">
        <v>0</v>
      </c>
      <c r="G338" s="1105">
        <f>+E338*F338/12</f>
        <v>0</v>
      </c>
      <c r="H338" s="1105">
        <v>550</v>
      </c>
      <c r="I338" s="329"/>
      <c r="J338" s="451"/>
      <c r="K338" s="329"/>
      <c r="L338" s="329"/>
      <c r="M338" s="481"/>
    </row>
    <row r="339" spans="1:13" ht="12.75">
      <c r="A339" s="478"/>
      <c r="B339" s="329"/>
      <c r="C339" s="1102" t="s">
        <v>449</v>
      </c>
      <c r="D339" s="451"/>
      <c r="F339" s="1031"/>
      <c r="G339" s="451">
        <f>SUM(G314:G338)</f>
        <v>1328333333.3333333</v>
      </c>
      <c r="H339" s="451">
        <f>SUM(H314:H338)</f>
        <v>55794612</v>
      </c>
      <c r="I339" s="1104"/>
      <c r="J339" s="200"/>
      <c r="K339" s="329"/>
      <c r="L339" s="329"/>
      <c r="M339" s="481"/>
    </row>
    <row r="340" spans="1:13" s="483" customFormat="1" ht="13.5" thickBot="1">
      <c r="A340" s="563"/>
      <c r="B340" s="445"/>
      <c r="C340" s="445" t="s">
        <v>800</v>
      </c>
      <c r="D340" s="445"/>
      <c r="E340" s="445"/>
      <c r="F340" s="445"/>
      <c r="G340" s="445"/>
      <c r="H340" s="445"/>
      <c r="I340" s="445"/>
      <c r="J340" s="445"/>
      <c r="K340" s="445"/>
      <c r="L340" s="445"/>
      <c r="M340" s="697"/>
    </row>
    <row r="341" ht="12.75">
      <c r="J341" s="654"/>
    </row>
    <row r="342" spans="4:24" ht="13.5">
      <c r="D342" s="451"/>
      <c r="E342" s="1116"/>
      <c r="F342" s="1115"/>
      <c r="G342" s="451"/>
      <c r="H342" s="1116"/>
      <c r="I342" s="1117"/>
      <c r="J342" s="1117"/>
      <c r="K342" s="329"/>
      <c r="L342" s="329"/>
      <c r="M342" s="329"/>
      <c r="N342" s="329"/>
      <c r="O342" s="329"/>
      <c r="P342" s="329"/>
      <c r="Q342" s="329"/>
      <c r="R342" s="329"/>
      <c r="S342" s="329"/>
      <c r="T342" s="329"/>
      <c r="U342" s="329"/>
      <c r="V342" s="329"/>
      <c r="W342" s="329"/>
      <c r="X342" s="329"/>
    </row>
    <row r="343" spans="3:24" ht="17.25">
      <c r="C343" s="1015"/>
      <c r="D343" s="1016"/>
      <c r="E343" s="1016"/>
      <c r="F343" s="1016"/>
      <c r="G343" s="1016"/>
      <c r="H343" s="1016"/>
      <c r="I343" s="1016"/>
      <c r="J343" s="1016"/>
      <c r="K343" s="1016"/>
      <c r="L343" s="1016"/>
      <c r="M343" s="1016"/>
      <c r="N343" s="1016"/>
      <c r="O343" s="329"/>
      <c r="P343" s="329"/>
      <c r="Q343" s="329"/>
      <c r="R343" s="329"/>
      <c r="S343" s="329"/>
      <c r="T343" s="329"/>
      <c r="U343" s="329"/>
      <c r="V343" s="329"/>
      <c r="W343" s="329"/>
      <c r="X343" s="329"/>
    </row>
    <row r="344" spans="3:24" ht="12.75">
      <c r="C344" s="451"/>
      <c r="D344" s="329"/>
      <c r="E344" s="329"/>
      <c r="F344" s="329"/>
      <c r="G344" s="297"/>
      <c r="I344" s="200"/>
      <c r="J344" s="200"/>
      <c r="K344" s="200"/>
      <c r="L344" s="200"/>
      <c r="M344" s="200"/>
      <c r="N344" s="200"/>
      <c r="O344" s="329"/>
      <c r="P344" s="329"/>
      <c r="Q344" s="329"/>
      <c r="R344" s="329"/>
      <c r="S344" s="329"/>
      <c r="T344" s="329"/>
      <c r="U344" s="329"/>
      <c r="V344" s="329"/>
      <c r="W344" s="329"/>
      <c r="X344" s="329"/>
    </row>
    <row r="345" spans="3:24" ht="12.75">
      <c r="C345" s="451"/>
      <c r="D345" s="329"/>
      <c r="E345" s="329"/>
      <c r="F345" s="329"/>
      <c r="G345" s="297"/>
      <c r="I345" s="200"/>
      <c r="J345" s="200"/>
      <c r="K345" s="200"/>
      <c r="L345" s="200"/>
      <c r="M345" s="200"/>
      <c r="N345" s="200"/>
      <c r="O345" s="329"/>
      <c r="P345" s="329"/>
      <c r="Q345" s="329"/>
      <c r="R345" s="329"/>
      <c r="S345" s="329"/>
      <c r="T345" s="329"/>
      <c r="U345" s="329"/>
      <c r="V345" s="329"/>
      <c r="W345" s="329"/>
      <c r="X345" s="329"/>
    </row>
    <row r="346" spans="3:24" ht="17.25">
      <c r="C346" s="1171"/>
      <c r="D346" s="1171"/>
      <c r="E346" s="1171"/>
      <c r="F346" s="1171"/>
      <c r="G346" s="1171"/>
      <c r="H346" s="1171"/>
      <c r="I346" s="1171"/>
      <c r="J346" s="1171"/>
      <c r="K346" s="1171"/>
      <c r="L346" s="1171"/>
      <c r="M346" s="1171"/>
      <c r="N346" s="1171"/>
      <c r="O346" s="329"/>
      <c r="P346" s="329"/>
      <c r="Q346" s="329"/>
      <c r="R346" s="329"/>
      <c r="S346" s="329"/>
      <c r="T346" s="329"/>
      <c r="U346" s="329"/>
      <c r="V346" s="329"/>
      <c r="W346" s="329"/>
      <c r="X346" s="329"/>
    </row>
    <row r="347" spans="3:24" ht="17.25">
      <c r="C347" s="1016"/>
      <c r="D347" s="1016"/>
      <c r="E347" s="1016"/>
      <c r="F347" s="1016"/>
      <c r="G347" s="1016"/>
      <c r="H347" s="1016"/>
      <c r="I347" s="1016"/>
      <c r="J347" s="1016"/>
      <c r="K347" s="1016"/>
      <c r="L347" s="1016"/>
      <c r="M347" s="1016"/>
      <c r="N347" s="1016"/>
      <c r="O347" s="329"/>
      <c r="P347" s="329"/>
      <c r="Q347" s="329"/>
      <c r="R347" s="329"/>
      <c r="S347" s="329"/>
      <c r="T347" s="329"/>
      <c r="U347" s="329"/>
      <c r="V347" s="329"/>
      <c r="W347" s="329"/>
      <c r="X347" s="329"/>
    </row>
    <row r="348" spans="3:24" ht="17.25">
      <c r="C348" s="1016"/>
      <c r="D348" s="1016"/>
      <c r="E348" s="1225"/>
      <c r="F348" s="1225"/>
      <c r="G348" s="1225"/>
      <c r="H348" s="1225"/>
      <c r="I348" s="1225"/>
      <c r="J348" s="1225"/>
      <c r="K348" s="1225"/>
      <c r="L348" s="1225"/>
      <c r="M348" s="1225"/>
      <c r="N348" s="1225"/>
      <c r="O348" s="329"/>
      <c r="P348" s="329"/>
      <c r="Q348" s="329"/>
      <c r="R348" s="329"/>
      <c r="S348" s="329"/>
      <c r="T348" s="329"/>
      <c r="U348" s="329"/>
      <c r="V348" s="329"/>
      <c r="W348" s="329"/>
      <c r="X348" s="329"/>
    </row>
    <row r="349" spans="3:24" ht="17.25">
      <c r="C349" s="1016"/>
      <c r="D349" s="1016"/>
      <c r="E349" s="1225"/>
      <c r="F349" s="1225"/>
      <c r="G349" s="1225"/>
      <c r="H349" s="1225"/>
      <c r="I349" s="1225"/>
      <c r="J349" s="1225"/>
      <c r="K349" s="1225"/>
      <c r="L349" s="1225"/>
      <c r="M349" s="1225"/>
      <c r="N349" s="1225"/>
      <c r="O349" s="98"/>
      <c r="P349" s="329"/>
      <c r="Q349" s="329"/>
      <c r="R349" s="329"/>
      <c r="S349" s="329"/>
      <c r="T349" s="329"/>
      <c r="U349" s="329"/>
      <c r="V349" s="329"/>
      <c r="W349" s="329"/>
      <c r="X349" s="329"/>
    </row>
    <row r="350" spans="3:24" ht="17.25">
      <c r="C350" s="1016"/>
      <c r="D350" s="1016"/>
      <c r="E350" s="1016"/>
      <c r="F350" s="1016"/>
      <c r="G350" s="1016"/>
      <c r="H350" s="1016"/>
      <c r="I350" s="1016"/>
      <c r="J350" s="1016"/>
      <c r="K350" s="1016"/>
      <c r="L350" s="1016"/>
      <c r="M350" s="1016"/>
      <c r="N350" s="1016"/>
      <c r="O350" s="98"/>
      <c r="P350" s="329"/>
      <c r="Q350" s="329"/>
      <c r="R350" s="329"/>
      <c r="S350" s="329"/>
      <c r="T350" s="329"/>
      <c r="U350" s="329"/>
      <c r="V350" s="329"/>
      <c r="W350" s="329"/>
      <c r="X350" s="329"/>
    </row>
    <row r="351" spans="3:24" ht="17.25">
      <c r="C351" s="1016"/>
      <c r="D351" s="1016"/>
      <c r="E351" s="1016"/>
      <c r="F351" s="1016"/>
      <c r="G351" s="1016"/>
      <c r="H351" s="1016"/>
      <c r="I351" s="1016"/>
      <c r="J351" s="1016"/>
      <c r="K351" s="1016"/>
      <c r="L351" s="1016"/>
      <c r="M351" s="1016"/>
      <c r="N351" s="1016"/>
      <c r="O351" s="329"/>
      <c r="P351" s="329"/>
      <c r="Q351" s="329"/>
      <c r="R351" s="329"/>
      <c r="S351" s="329"/>
      <c r="T351" s="329"/>
      <c r="U351" s="329"/>
      <c r="V351" s="329"/>
      <c r="W351" s="329"/>
      <c r="X351" s="329"/>
    </row>
    <row r="352" spans="3:24" ht="17.25">
      <c r="C352" s="1016"/>
      <c r="D352" s="1016"/>
      <c r="E352" s="1016"/>
      <c r="F352" s="1016"/>
      <c r="G352" s="1016"/>
      <c r="H352" s="1016"/>
      <c r="I352" s="1016"/>
      <c r="J352" s="1016"/>
      <c r="K352" s="1016"/>
      <c r="L352" s="1016"/>
      <c r="M352" s="1016"/>
      <c r="N352" s="1016"/>
      <c r="O352" s="329"/>
      <c r="P352" s="329"/>
      <c r="Q352" s="329"/>
      <c r="R352" s="329"/>
      <c r="S352" s="329"/>
      <c r="T352" s="329"/>
      <c r="U352" s="329"/>
      <c r="V352" s="329"/>
      <c r="W352" s="329"/>
      <c r="X352" s="329"/>
    </row>
    <row r="353" spans="3:24" ht="17.25">
      <c r="C353" s="1016"/>
      <c r="D353" s="1016"/>
      <c r="E353" s="1016"/>
      <c r="F353" s="1016"/>
      <c r="G353" s="1016"/>
      <c r="H353" s="1016"/>
      <c r="I353" s="1016"/>
      <c r="J353" s="1016"/>
      <c r="K353" s="1016"/>
      <c r="L353" s="1016"/>
      <c r="M353" s="1016"/>
      <c r="N353" s="1016"/>
      <c r="O353" s="329"/>
      <c r="P353" s="329"/>
      <c r="Q353" s="329"/>
      <c r="R353" s="329"/>
      <c r="S353" s="329"/>
      <c r="T353" s="329"/>
      <c r="U353" s="329"/>
      <c r="V353" s="329"/>
      <c r="W353" s="329"/>
      <c r="X353" s="329"/>
    </row>
    <row r="354" spans="3:24" ht="12.75">
      <c r="C354" s="200"/>
      <c r="D354" s="329"/>
      <c r="E354" s="329"/>
      <c r="F354" s="329"/>
      <c r="G354" s="329"/>
      <c r="H354" s="329"/>
      <c r="I354" s="329"/>
      <c r="J354" s="329"/>
      <c r="K354" s="329"/>
      <c r="L354" s="329"/>
      <c r="M354" s="329"/>
      <c r="N354" s="329"/>
      <c r="O354" s="329"/>
      <c r="P354" s="329"/>
      <c r="Q354" s="329"/>
      <c r="R354" s="329"/>
      <c r="S354" s="329"/>
      <c r="T354" s="329"/>
      <c r="U354" s="329"/>
      <c r="V354" s="329"/>
      <c r="W354" s="329"/>
      <c r="X354" s="329"/>
    </row>
    <row r="355" spans="4:24" ht="12.75">
      <c r="D355" s="329"/>
      <c r="E355" s="329"/>
      <c r="F355" s="329"/>
      <c r="G355" s="329"/>
      <c r="H355" s="329"/>
      <c r="I355" s="329"/>
      <c r="J355" s="329"/>
      <c r="K355" s="329"/>
      <c r="L355" s="329"/>
      <c r="M355" s="329"/>
      <c r="N355" s="329"/>
      <c r="O355" s="329"/>
      <c r="P355" s="329"/>
      <c r="Q355" s="329"/>
      <c r="R355" s="329"/>
      <c r="S355" s="329"/>
      <c r="T355" s="329"/>
      <c r="U355" s="329"/>
      <c r="V355" s="329"/>
      <c r="W355" s="329"/>
      <c r="X355" s="329"/>
    </row>
    <row r="356" spans="4:24" ht="12.75">
      <c r="D356" s="329"/>
      <c r="E356" s="329"/>
      <c r="F356" s="329"/>
      <c r="G356" s="329"/>
      <c r="H356" s="329"/>
      <c r="I356" s="329"/>
      <c r="J356" s="329"/>
      <c r="K356" s="329"/>
      <c r="L356" s="329"/>
      <c r="M356" s="329"/>
      <c r="N356" s="329"/>
      <c r="O356" s="329"/>
      <c r="P356" s="329"/>
      <c r="Q356" s="329"/>
      <c r="R356" s="329"/>
      <c r="S356" s="329"/>
      <c r="T356" s="329"/>
      <c r="U356" s="329"/>
      <c r="V356" s="329"/>
      <c r="W356" s="329"/>
      <c r="X356" s="329"/>
    </row>
    <row r="357" spans="4:24" ht="12.75">
      <c r="D357" s="329"/>
      <c r="E357" s="329"/>
      <c r="F357" s="329"/>
      <c r="G357" s="329"/>
      <c r="H357" s="329"/>
      <c r="I357" s="329"/>
      <c r="J357" s="329"/>
      <c r="K357" s="329"/>
      <c r="L357" s="329"/>
      <c r="M357" s="329"/>
      <c r="N357" s="329"/>
      <c r="O357" s="329"/>
      <c r="P357" s="329"/>
      <c r="Q357" s="329"/>
      <c r="R357" s="329"/>
      <c r="S357" s="329"/>
      <c r="T357" s="329"/>
      <c r="U357" s="329"/>
      <c r="V357" s="329"/>
      <c r="W357" s="329"/>
      <c r="X357" s="329"/>
    </row>
  </sheetData>
  <sheetProtection/>
  <mergeCells count="63">
    <mergeCell ref="A301:F301"/>
    <mergeCell ref="H301:M301"/>
    <mergeCell ref="H304:M304"/>
    <mergeCell ref="L207:M207"/>
    <mergeCell ref="A205:F205"/>
    <mergeCell ref="J187:M187"/>
    <mergeCell ref="H293:M293"/>
    <mergeCell ref="H291:M291"/>
    <mergeCell ref="L208:M208"/>
    <mergeCell ref="J211:M211"/>
    <mergeCell ref="A200:F200"/>
    <mergeCell ref="A190:F190"/>
    <mergeCell ref="A195:F195"/>
    <mergeCell ref="J197:M197"/>
    <mergeCell ref="J192:M192"/>
    <mergeCell ref="J200:M200"/>
    <mergeCell ref="J195:M195"/>
    <mergeCell ref="J190:M190"/>
    <mergeCell ref="A171:F171"/>
    <mergeCell ref="J161:M161"/>
    <mergeCell ref="J165:M165"/>
    <mergeCell ref="J166:M166"/>
    <mergeCell ref="A161:F161"/>
    <mergeCell ref="J163:M163"/>
    <mergeCell ref="A2:F2"/>
    <mergeCell ref="J2:M2"/>
    <mergeCell ref="A70:F70"/>
    <mergeCell ref="J70:M70"/>
    <mergeCell ref="A137:F137"/>
    <mergeCell ref="J164:M164"/>
    <mergeCell ref="J162:M162"/>
    <mergeCell ref="J158:M158"/>
    <mergeCell ref="A155:F155"/>
    <mergeCell ref="J155:M155"/>
    <mergeCell ref="J202:M202"/>
    <mergeCell ref="L205:M205"/>
    <mergeCell ref="H225:M225"/>
    <mergeCell ref="H220:M220"/>
    <mergeCell ref="H227:M227"/>
    <mergeCell ref="J168:M168"/>
    <mergeCell ref="J171:M171"/>
    <mergeCell ref="J174:M174"/>
    <mergeCell ref="J191:M191"/>
    <mergeCell ref="C221:F221"/>
    <mergeCell ref="H307:M307"/>
    <mergeCell ref="A291:F291"/>
    <mergeCell ref="H224:M224"/>
    <mergeCell ref="H309:M309"/>
    <mergeCell ref="A296:F296"/>
    <mergeCell ref="H296:M296"/>
    <mergeCell ref="H298:M298"/>
    <mergeCell ref="A307:F307"/>
    <mergeCell ref="H223:M223"/>
    <mergeCell ref="A211:F211"/>
    <mergeCell ref="A216:F216"/>
    <mergeCell ref="H226:M226"/>
    <mergeCell ref="A285:F285"/>
    <mergeCell ref="H216:M216"/>
    <mergeCell ref="H221:M221"/>
    <mergeCell ref="H222:M222"/>
    <mergeCell ref="J213:M213"/>
    <mergeCell ref="H218:M218"/>
    <mergeCell ref="A231:F231"/>
  </mergeCells>
  <printOptions/>
  <pageMargins left="0.25" right="0.25" top="0.55" bottom="0.18" header="0.25" footer="0.18"/>
  <pageSetup fitToHeight="0" fitToWidth="1" horizontalDpi="600" verticalDpi="600" orientation="landscape" scale="46" r:id="rId1"/>
  <headerFooter alignWithMargins="0">
    <oddHeader>&amp;CDuquesne Light Company
Attachment H -17A
Attachment 5 - Cost Support&amp;RPage &amp;P of &amp;N</oddHeader>
  </headerFooter>
  <rowBreaks count="5" manualBreakCount="5">
    <brk id="67" max="12" man="1"/>
    <brk id="134" max="12" man="1"/>
    <brk id="192" max="12" man="1"/>
    <brk id="229" max="12" man="1"/>
    <brk id="274" max="12" man="1"/>
  </rowBreaks>
  <ignoredErrors>
    <ignoredError sqref="F127"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AX417"/>
  <sheetViews>
    <sheetView zoomScale="70" zoomScaleNormal="70" workbookViewId="0" topLeftCell="A183">
      <selection activeCell="G271" sqref="G271"/>
    </sheetView>
  </sheetViews>
  <sheetFormatPr defaultColWidth="9.140625" defaultRowHeight="12.75"/>
  <cols>
    <col min="1" max="1" width="7.00390625" style="408" customWidth="1"/>
    <col min="2" max="2" width="8.57421875" style="408" customWidth="1"/>
    <col min="3" max="3" width="7.140625" style="408" customWidth="1"/>
    <col min="4" max="4" width="15.28125" style="200" customWidth="1"/>
    <col min="5" max="5" width="15.8515625" style="200" customWidth="1"/>
    <col min="6" max="6" width="15.421875" style="200" customWidth="1"/>
    <col min="7" max="8" width="14.140625" style="200" customWidth="1"/>
    <col min="9" max="9" width="15.7109375" style="200" customWidth="1"/>
    <col min="10" max="10" width="13.8515625" style="200" customWidth="1"/>
    <col min="11" max="11" width="12.28125" style="200" bestFit="1" customWidth="1"/>
    <col min="12" max="12" width="13.140625" style="200" customWidth="1"/>
    <col min="13" max="13" width="15.8515625" style="200" customWidth="1"/>
    <col min="14" max="14" width="13.57421875" style="200" customWidth="1"/>
    <col min="15" max="15" width="15.28125" style="200" customWidth="1"/>
    <col min="16" max="16" width="13.57421875" style="200" customWidth="1"/>
    <col min="17" max="17" width="17.57421875" style="200" customWidth="1"/>
    <col min="18" max="18" width="17.7109375" style="200" customWidth="1"/>
    <col min="19" max="19" width="18.00390625" style="200" customWidth="1"/>
    <col min="20" max="20" width="13.421875" style="200" customWidth="1"/>
    <col min="21" max="21" width="15.8515625" style="200" customWidth="1"/>
    <col min="22" max="22" width="13.8515625" style="200" customWidth="1"/>
    <col min="23" max="23" width="13.00390625" style="200" customWidth="1"/>
    <col min="24" max="24" width="17.140625" style="200" customWidth="1"/>
    <col min="25" max="25" width="15.8515625" style="200" bestFit="1" customWidth="1"/>
    <col min="26" max="26" width="14.421875" style="200" customWidth="1"/>
    <col min="27" max="27" width="13.140625" style="200" customWidth="1"/>
    <col min="28" max="28" width="17.57421875" style="200" customWidth="1"/>
    <col min="29" max="29" width="18.28125" style="200" customWidth="1"/>
    <col min="30" max="30" width="13.421875" style="200" bestFit="1" customWidth="1"/>
    <col min="31" max="31" width="23.421875" style="200" bestFit="1" customWidth="1"/>
    <col min="32" max="32" width="13.8515625" style="200" bestFit="1" customWidth="1"/>
    <col min="33" max="33" width="21.00390625" style="200" bestFit="1" customWidth="1"/>
    <col min="34" max="34" width="17.28125" style="200" customWidth="1"/>
    <col min="35" max="35" width="15.421875" style="200" customWidth="1"/>
    <col min="36" max="36" width="15.28125" style="200" customWidth="1"/>
    <col min="37" max="37" width="11.00390625" style="200" customWidth="1"/>
    <col min="38" max="38" width="9.140625" style="200" customWidth="1"/>
    <col min="39" max="39" width="15.421875" style="200" customWidth="1"/>
    <col min="40" max="40" width="10.7109375" style="200" customWidth="1"/>
    <col min="41" max="41" width="13.7109375" style="200" customWidth="1"/>
    <col min="42" max="42" width="11.28125" style="200" customWidth="1"/>
    <col min="43" max="43" width="9.140625" style="200" customWidth="1"/>
    <col min="44" max="44" width="12.140625" style="200" bestFit="1" customWidth="1"/>
    <col min="45" max="45" width="12.8515625" style="200" bestFit="1" customWidth="1"/>
    <col min="46" max="46" width="13.140625" style="200" bestFit="1" customWidth="1"/>
    <col min="47" max="47" width="12.8515625" style="200" bestFit="1" customWidth="1"/>
    <col min="48" max="48" width="18.28125" style="200" bestFit="1" customWidth="1"/>
    <col min="49" max="49" width="18.57421875" style="200" bestFit="1" customWidth="1"/>
    <col min="50" max="50" width="18.28125" style="200" bestFit="1" customWidth="1"/>
    <col min="51" max="16384" width="9.140625" style="200" customWidth="1"/>
  </cols>
  <sheetData>
    <row r="1" ht="12.75">
      <c r="A1" s="400" t="s">
        <v>613</v>
      </c>
    </row>
    <row r="2" spans="1:5" ht="12.75">
      <c r="A2" s="408" t="s">
        <v>609</v>
      </c>
      <c r="B2" s="408" t="s">
        <v>610</v>
      </c>
      <c r="C2" s="408" t="s">
        <v>611</v>
      </c>
      <c r="D2" s="408" t="s">
        <v>612</v>
      </c>
      <c r="E2" s="408"/>
    </row>
    <row r="3" spans="1:5" ht="12.75">
      <c r="A3" s="408">
        <v>1</v>
      </c>
      <c r="B3" s="408" t="s">
        <v>614</v>
      </c>
      <c r="C3" s="408" t="s">
        <v>21</v>
      </c>
      <c r="D3" s="410" t="s">
        <v>254</v>
      </c>
      <c r="E3" s="410"/>
    </row>
    <row r="4" spans="1:5" ht="12.75">
      <c r="A4" s="408">
        <v>2</v>
      </c>
      <c r="B4" s="408" t="str">
        <f>+B3</f>
        <v>April</v>
      </c>
      <c r="C4" s="408" t="str">
        <f>+C3</f>
        <v>Year 2</v>
      </c>
      <c r="D4" s="410" t="s">
        <v>154</v>
      </c>
      <c r="E4" s="410"/>
    </row>
    <row r="5" spans="1:5" ht="12.75">
      <c r="A5" s="408">
        <v>3</v>
      </c>
      <c r="B5" s="408" t="s">
        <v>614</v>
      </c>
      <c r="C5" s="408" t="str">
        <f>+C4</f>
        <v>Year 2</v>
      </c>
      <c r="D5" s="410"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5" s="410"/>
    </row>
    <row r="6" spans="1:5" ht="12.75">
      <c r="A6" s="408">
        <v>4</v>
      </c>
      <c r="B6" s="408" t="s">
        <v>615</v>
      </c>
      <c r="C6" s="408" t="str">
        <f>+C5</f>
        <v>Year 2</v>
      </c>
      <c r="D6" s="410" t="s">
        <v>381</v>
      </c>
      <c r="E6" s="410"/>
    </row>
    <row r="7" spans="1:5" ht="12.75">
      <c r="A7" s="408">
        <v>5</v>
      </c>
      <c r="B7" s="411" t="s">
        <v>616</v>
      </c>
      <c r="C7" s="408" t="str">
        <f>+C6</f>
        <v>Year 2</v>
      </c>
      <c r="D7" s="410" t="s">
        <v>382</v>
      </c>
      <c r="E7" s="410"/>
    </row>
    <row r="8" spans="1:5" ht="12.75">
      <c r="A8" s="408">
        <v>6</v>
      </c>
      <c r="B8" s="408" t="str">
        <f>+B3</f>
        <v>April</v>
      </c>
      <c r="C8" s="408" t="s">
        <v>20</v>
      </c>
      <c r="D8" s="410" t="s">
        <v>383</v>
      </c>
      <c r="E8" s="410"/>
    </row>
    <row r="9" spans="1:14" ht="12.75">
      <c r="A9" s="408">
        <v>7</v>
      </c>
      <c r="B9" s="408" t="str">
        <f>+B12</f>
        <v>April</v>
      </c>
      <c r="C9" s="408" t="str">
        <f>+C12</f>
        <v>Year 3</v>
      </c>
      <c r="D9" s="410" t="s">
        <v>263</v>
      </c>
      <c r="E9" s="562"/>
      <c r="F9" s="406"/>
      <c r="G9" s="406"/>
      <c r="H9" s="406"/>
      <c r="I9" s="406"/>
      <c r="J9" s="406"/>
      <c r="K9" s="406"/>
      <c r="L9" s="406"/>
      <c r="M9" s="406"/>
      <c r="N9" s="406"/>
    </row>
    <row r="10" spans="1:14" ht="12.75">
      <c r="A10" s="408">
        <v>8</v>
      </c>
      <c r="B10" s="408" t="str">
        <f>+B9</f>
        <v>April</v>
      </c>
      <c r="C10" s="408" t="str">
        <f>+C9</f>
        <v>Year 3</v>
      </c>
      <c r="D10" s="1438" t="str">
        <f>"Reconciliation - TO calculates interest and amortization associated with the true up calculated in Step 7 and applies that amount to line "&amp;'Appendix A'!A267&amp;" of the formula (if the difference results in refund and a cash refund is made, then this step is not implemented)."</f>
        <v>Reconciliation - TO calculates interest and amortization associated with the true up calculated in Step 7 and applies that amount to line 164 of the formula (if the difference results in refund and a cash refund is made, then this step is not implemented).</v>
      </c>
      <c r="E10" s="1438"/>
      <c r="F10" s="1389"/>
      <c r="G10" s="1389"/>
      <c r="H10" s="1389"/>
      <c r="I10" s="1389"/>
      <c r="J10" s="1389"/>
      <c r="K10" s="1389"/>
      <c r="L10" s="1389"/>
      <c r="M10" s="1389"/>
      <c r="N10" s="1389"/>
    </row>
    <row r="11" spans="4:14" ht="12.75">
      <c r="D11" s="1389"/>
      <c r="E11" s="1389"/>
      <c r="F11" s="1389"/>
      <c r="G11" s="1389"/>
      <c r="H11" s="1389"/>
      <c r="I11" s="1389"/>
      <c r="J11" s="1389"/>
      <c r="K11" s="1389"/>
      <c r="L11" s="1389"/>
      <c r="M11" s="1389"/>
      <c r="N11" s="1389"/>
    </row>
    <row r="12" spans="1:5" ht="12.75">
      <c r="A12" s="408">
        <v>9</v>
      </c>
      <c r="B12" s="408" t="str">
        <f>+B8</f>
        <v>April</v>
      </c>
      <c r="C12" s="408" t="str">
        <f>+C8</f>
        <v>Year 3</v>
      </c>
      <c r="D12" s="410" t="s">
        <v>160</v>
      </c>
      <c r="E12" s="410"/>
    </row>
    <row r="13" spans="1:5" ht="12.75">
      <c r="A13" s="408">
        <v>10</v>
      </c>
      <c r="B13" s="408" t="s">
        <v>614</v>
      </c>
      <c r="C13" s="408" t="str">
        <f>+C12</f>
        <v>Year 3</v>
      </c>
      <c r="D13" s="410"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13" s="410"/>
    </row>
    <row r="14" spans="1:5" ht="12.75">
      <c r="A14" s="408">
        <v>11</v>
      </c>
      <c r="B14" s="408" t="str">
        <f>+B6</f>
        <v>May</v>
      </c>
      <c r="C14" s="408" t="str">
        <f>+C10</f>
        <v>Year 3</v>
      </c>
      <c r="D14" s="410" t="s">
        <v>384</v>
      </c>
      <c r="E14" s="410"/>
    </row>
    <row r="15" spans="1:13" ht="12.75">
      <c r="A15" s="408">
        <v>12</v>
      </c>
      <c r="B15" s="411" t="str">
        <f>+B7</f>
        <v>June</v>
      </c>
      <c r="C15" s="408" t="str">
        <f>+C14</f>
        <v>Year 3</v>
      </c>
      <c r="D15" s="410" t="s">
        <v>385</v>
      </c>
      <c r="E15" s="410"/>
      <c r="F15" s="277"/>
      <c r="G15" s="277"/>
      <c r="H15" s="277"/>
      <c r="I15" s="277"/>
      <c r="J15" s="277"/>
      <c r="K15" s="277"/>
      <c r="L15" s="277"/>
      <c r="M15" s="277"/>
    </row>
    <row r="16" spans="1:5" ht="12.75">
      <c r="A16" s="200"/>
      <c r="B16" s="200"/>
      <c r="C16" s="200"/>
      <c r="E16" s="410"/>
    </row>
    <row r="17" spans="1:11" ht="12.75">
      <c r="A17" s="200"/>
      <c r="B17" s="200"/>
      <c r="C17" s="200"/>
      <c r="E17" s="410"/>
      <c r="H17" s="903"/>
      <c r="I17" s="903"/>
      <c r="J17" s="903"/>
      <c r="K17" s="903"/>
    </row>
    <row r="18" spans="2:5" ht="12.75">
      <c r="B18" s="411"/>
      <c r="D18" s="410"/>
      <c r="E18" s="410"/>
    </row>
    <row r="19" ht="12.75">
      <c r="A19" s="400" t="s">
        <v>55</v>
      </c>
    </row>
    <row r="20" spans="1:5" ht="12.75">
      <c r="A20" s="400"/>
      <c r="D20" s="412"/>
      <c r="E20" s="412"/>
    </row>
    <row r="21" spans="1:4" ht="12.75">
      <c r="A21" s="408">
        <f>+A3</f>
        <v>1</v>
      </c>
      <c r="B21" s="408" t="str">
        <f>+B3</f>
        <v>April</v>
      </c>
      <c r="C21" s="408" t="str">
        <f>+C3</f>
        <v>Year 2</v>
      </c>
      <c r="D21" s="200" t="str">
        <f>+D3</f>
        <v>TO populates the formula with Year 1 data from FERC Form 1.</v>
      </c>
    </row>
    <row r="22" spans="1:7" ht="12.75">
      <c r="A22" s="823"/>
      <c r="B22" s="825"/>
      <c r="D22" s="840">
        <v>0</v>
      </c>
      <c r="E22" s="200" t="s">
        <v>22</v>
      </c>
      <c r="G22" s="410" t="s">
        <v>640</v>
      </c>
    </row>
    <row r="24" spans="1:5" ht="12.75">
      <c r="A24" s="408">
        <f>A4</f>
        <v>2</v>
      </c>
      <c r="B24" s="408" t="str">
        <f>+B4</f>
        <v>April</v>
      </c>
      <c r="C24" s="408" t="str">
        <f>+C21</f>
        <v>Year 2</v>
      </c>
      <c r="D24" s="410" t="str">
        <f>+D4</f>
        <v>TO estimates all transmission Cap Adds, Retirements, CWIP and associated depreciation for Year 2 based on Months expected to be in service and monthly CWIP balances in Year 2.</v>
      </c>
      <c r="E24" s="410"/>
    </row>
    <row r="25" spans="4:29" ht="12.75">
      <c r="D25" s="410"/>
      <c r="E25" s="410"/>
      <c r="T25" s="200" t="s">
        <v>844</v>
      </c>
      <c r="U25" s="200" t="s">
        <v>845</v>
      </c>
      <c r="V25" s="200" t="s">
        <v>846</v>
      </c>
      <c r="W25" s="200" t="s">
        <v>783</v>
      </c>
      <c r="X25" s="200" t="s">
        <v>847</v>
      </c>
      <c r="Y25" s="200" t="s">
        <v>856</v>
      </c>
      <c r="Z25" s="200" t="s">
        <v>857</v>
      </c>
      <c r="AA25" s="200" t="s">
        <v>858</v>
      </c>
      <c r="AB25" s="200" t="s">
        <v>851</v>
      </c>
      <c r="AC25" s="200" t="s">
        <v>859</v>
      </c>
    </row>
    <row r="26" spans="3:29" ht="12.75">
      <c r="C26" s="410"/>
      <c r="D26" s="200" t="s">
        <v>530</v>
      </c>
      <c r="E26" s="200" t="s">
        <v>531</v>
      </c>
      <c r="F26" s="200" t="s">
        <v>492</v>
      </c>
      <c r="G26" s="200" t="s">
        <v>532</v>
      </c>
      <c r="H26" s="200" t="s">
        <v>726</v>
      </c>
      <c r="I26" s="200" t="s">
        <v>145</v>
      </c>
      <c r="J26" s="200" t="s">
        <v>146</v>
      </c>
      <c r="K26" s="200" t="s">
        <v>728</v>
      </c>
      <c r="L26" s="200" t="s">
        <v>93</v>
      </c>
      <c r="M26" s="200" t="s">
        <v>123</v>
      </c>
      <c r="N26" s="200" t="s">
        <v>94</v>
      </c>
      <c r="O26" s="200" t="s">
        <v>780</v>
      </c>
      <c r="P26" s="200" t="s">
        <v>95</v>
      </c>
      <c r="Q26" s="200" t="s">
        <v>781</v>
      </c>
      <c r="R26" s="200" t="s">
        <v>96</v>
      </c>
      <c r="S26" s="200" t="s">
        <v>782</v>
      </c>
      <c r="T26" s="450" t="s">
        <v>727</v>
      </c>
      <c r="U26" s="414"/>
      <c r="V26" s="414"/>
      <c r="W26" s="414"/>
      <c r="X26" s="414"/>
      <c r="Y26" s="414"/>
      <c r="Z26" s="414"/>
      <c r="AA26" s="414"/>
      <c r="AB26" s="414"/>
      <c r="AC26" s="1182"/>
    </row>
    <row r="27" spans="3:30" ht="12.75">
      <c r="C27" s="200"/>
      <c r="D27" s="1181" t="s">
        <v>871</v>
      </c>
      <c r="E27" s="408" t="s">
        <v>600</v>
      </c>
      <c r="F27" s="408" t="s">
        <v>874</v>
      </c>
      <c r="G27" s="408" t="s">
        <v>874</v>
      </c>
      <c r="H27" s="408" t="s">
        <v>874</v>
      </c>
      <c r="I27" s="408" t="s">
        <v>875</v>
      </c>
      <c r="J27" s="408" t="s">
        <v>875</v>
      </c>
      <c r="K27" s="408" t="s">
        <v>876</v>
      </c>
      <c r="L27" s="200" t="s">
        <v>110</v>
      </c>
      <c r="M27" s="408" t="s">
        <v>110</v>
      </c>
      <c r="N27" s="408" t="s">
        <v>850</v>
      </c>
      <c r="O27" s="408" t="s">
        <v>877</v>
      </c>
      <c r="P27" s="408" t="s">
        <v>850</v>
      </c>
      <c r="Q27" s="408" t="s">
        <v>868</v>
      </c>
      <c r="R27" s="408" t="s">
        <v>878</v>
      </c>
      <c r="S27" s="408" t="s">
        <v>868</v>
      </c>
      <c r="T27" s="1184" t="s">
        <v>871</v>
      </c>
      <c r="U27" s="1184" t="s">
        <v>874</v>
      </c>
      <c r="V27" s="1184" t="s">
        <v>879</v>
      </c>
      <c r="W27" s="1184" t="s">
        <v>875</v>
      </c>
      <c r="X27" s="1184" t="s">
        <v>875</v>
      </c>
      <c r="Y27" s="1184" t="s">
        <v>110</v>
      </c>
      <c r="Z27" s="1184" t="s">
        <v>850</v>
      </c>
      <c r="AA27" s="1184" t="s">
        <v>850</v>
      </c>
      <c r="AB27" s="1184" t="s">
        <v>868</v>
      </c>
      <c r="AC27" s="1184" t="s">
        <v>880</v>
      </c>
      <c r="AD27" s="200" t="s">
        <v>449</v>
      </c>
    </row>
    <row r="28" spans="3:29" ht="12.75">
      <c r="C28" s="200"/>
      <c r="D28" s="1181" t="s">
        <v>119</v>
      </c>
      <c r="E28" s="408" t="s">
        <v>872</v>
      </c>
      <c r="F28" s="408" t="s">
        <v>873</v>
      </c>
      <c r="G28" s="408" t="s">
        <v>119</v>
      </c>
      <c r="H28" s="408" t="s">
        <v>872</v>
      </c>
      <c r="I28" s="408" t="s">
        <v>119</v>
      </c>
      <c r="J28" s="408" t="s">
        <v>872</v>
      </c>
      <c r="K28" s="408" t="s">
        <v>873</v>
      </c>
      <c r="L28" s="408" t="s">
        <v>119</v>
      </c>
      <c r="M28" s="408" t="s">
        <v>872</v>
      </c>
      <c r="N28" s="408" t="s">
        <v>119</v>
      </c>
      <c r="O28" s="408" t="s">
        <v>872</v>
      </c>
      <c r="P28" s="408" t="s">
        <v>873</v>
      </c>
      <c r="Q28" s="408" t="s">
        <v>119</v>
      </c>
      <c r="R28" s="408" t="s">
        <v>872</v>
      </c>
      <c r="S28" s="408" t="s">
        <v>873</v>
      </c>
      <c r="T28" s="1183" t="s">
        <v>119</v>
      </c>
      <c r="U28" s="1183" t="s">
        <v>873</v>
      </c>
      <c r="V28" s="1183" t="s">
        <v>119</v>
      </c>
      <c r="W28" s="1183" t="s">
        <v>119</v>
      </c>
      <c r="X28" s="1183" t="s">
        <v>873</v>
      </c>
      <c r="Y28" s="1183" t="s">
        <v>119</v>
      </c>
      <c r="Z28" s="1183" t="s">
        <v>119</v>
      </c>
      <c r="AA28" s="1183" t="s">
        <v>873</v>
      </c>
      <c r="AB28" s="1183" t="s">
        <v>119</v>
      </c>
      <c r="AC28" s="1183" t="s">
        <v>873</v>
      </c>
    </row>
    <row r="29" spans="1:30" ht="12.75">
      <c r="A29" s="810"/>
      <c r="C29" s="200" t="s">
        <v>627</v>
      </c>
      <c r="D29" s="1181"/>
      <c r="E29" s="408"/>
      <c r="F29" s="408"/>
      <c r="G29" s="408"/>
      <c r="H29" s="408"/>
      <c r="I29" s="408"/>
      <c r="J29" s="408"/>
      <c r="K29" s="408"/>
      <c r="T29" s="451">
        <v>0</v>
      </c>
      <c r="U29" s="451">
        <v>0</v>
      </c>
      <c r="V29" s="451">
        <v>0</v>
      </c>
      <c r="W29" s="451">
        <v>0</v>
      </c>
      <c r="X29" s="451">
        <v>0</v>
      </c>
      <c r="Y29" s="451">
        <v>0</v>
      </c>
      <c r="Z29" s="451">
        <v>0</v>
      </c>
      <c r="AA29" s="451">
        <v>0</v>
      </c>
      <c r="AB29" s="451">
        <v>0</v>
      </c>
      <c r="AC29" s="451">
        <v>0</v>
      </c>
      <c r="AD29" s="438"/>
    </row>
    <row r="30" spans="3:29" ht="12.75">
      <c r="C30" s="200" t="s">
        <v>617</v>
      </c>
      <c r="D30" s="630">
        <v>0</v>
      </c>
      <c r="E30" s="630">
        <v>0</v>
      </c>
      <c r="F30" s="630">
        <v>0</v>
      </c>
      <c r="G30" s="630">
        <v>0</v>
      </c>
      <c r="H30" s="690">
        <v>0</v>
      </c>
      <c r="I30" s="630">
        <v>0</v>
      </c>
      <c r="J30" s="690">
        <v>0</v>
      </c>
      <c r="K30" s="630">
        <v>0</v>
      </c>
      <c r="L30" s="690">
        <v>0</v>
      </c>
      <c r="M30" s="890">
        <v>0</v>
      </c>
      <c r="N30" s="890">
        <v>0</v>
      </c>
      <c r="O30" s="890">
        <v>0</v>
      </c>
      <c r="P30" s="890">
        <v>0</v>
      </c>
      <c r="Q30" s="890">
        <v>0</v>
      </c>
      <c r="R30" s="890">
        <v>0</v>
      </c>
      <c r="S30" s="890">
        <v>0</v>
      </c>
      <c r="T30" s="416">
        <f aca="true" t="shared" si="0" ref="T30:T41">T29+D30+E30</f>
        <v>0</v>
      </c>
      <c r="U30" s="416">
        <f aca="true" t="shared" si="1" ref="U30:U41">U29+F30</f>
        <v>0</v>
      </c>
      <c r="V30" s="412">
        <f aca="true" t="shared" si="2" ref="V30:V41">V29+G30+H30</f>
        <v>0</v>
      </c>
      <c r="W30" s="412">
        <f aca="true" t="shared" si="3" ref="W30:W41">W29+I30+J30</f>
        <v>0</v>
      </c>
      <c r="X30" s="412">
        <f aca="true" t="shared" si="4" ref="X30:X41">X29+K30</f>
        <v>0</v>
      </c>
      <c r="Y30" s="416">
        <f aca="true" t="shared" si="5" ref="Y30:Y41">Y29+L30+M30</f>
        <v>0</v>
      </c>
      <c r="Z30" s="416">
        <f aca="true" t="shared" si="6" ref="Z30:Z41">Z29+N30+O30</f>
        <v>0</v>
      </c>
      <c r="AA30" s="416">
        <f aca="true" t="shared" si="7" ref="AA30:AA41">+AA29+P30</f>
        <v>0</v>
      </c>
      <c r="AB30" s="416">
        <f>AB29+Q30+R30</f>
        <v>0</v>
      </c>
      <c r="AC30" s="416">
        <f>+AC29+S30</f>
        <v>0</v>
      </c>
    </row>
    <row r="31" spans="3:29" ht="12.75">
      <c r="C31" s="200" t="s">
        <v>618</v>
      </c>
      <c r="D31" s="630">
        <v>0</v>
      </c>
      <c r="E31" s="630">
        <v>0</v>
      </c>
      <c r="F31" s="630">
        <v>0</v>
      </c>
      <c r="G31" s="630">
        <v>0</v>
      </c>
      <c r="H31" s="690">
        <v>0</v>
      </c>
      <c r="I31" s="630">
        <v>0</v>
      </c>
      <c r="J31" s="690">
        <v>0</v>
      </c>
      <c r="K31" s="630">
        <v>0</v>
      </c>
      <c r="L31" s="690">
        <v>0</v>
      </c>
      <c r="M31" s="890">
        <v>0</v>
      </c>
      <c r="N31" s="890">
        <v>0</v>
      </c>
      <c r="O31" s="890">
        <v>0</v>
      </c>
      <c r="P31" s="890">
        <v>0</v>
      </c>
      <c r="Q31" s="890">
        <v>0</v>
      </c>
      <c r="R31" s="890">
        <v>0</v>
      </c>
      <c r="S31" s="890">
        <v>0</v>
      </c>
      <c r="T31" s="416">
        <f t="shared" si="0"/>
        <v>0</v>
      </c>
      <c r="U31" s="416">
        <f t="shared" si="1"/>
        <v>0</v>
      </c>
      <c r="V31" s="412">
        <f t="shared" si="2"/>
        <v>0</v>
      </c>
      <c r="W31" s="412">
        <f t="shared" si="3"/>
        <v>0</v>
      </c>
      <c r="X31" s="412">
        <f t="shared" si="4"/>
        <v>0</v>
      </c>
      <c r="Y31" s="416">
        <f t="shared" si="5"/>
        <v>0</v>
      </c>
      <c r="Z31" s="416">
        <f t="shared" si="6"/>
        <v>0</v>
      </c>
      <c r="AA31" s="416">
        <f t="shared" si="7"/>
        <v>0</v>
      </c>
      <c r="AB31" s="416">
        <f aca="true" t="shared" si="8" ref="AB31:AB41">AB30+Q31+R31</f>
        <v>0</v>
      </c>
      <c r="AC31" s="416">
        <f aca="true" t="shared" si="9" ref="AC31:AC40">+AC30+S31</f>
        <v>0</v>
      </c>
    </row>
    <row r="32" spans="3:29" ht="12.75">
      <c r="C32" s="200" t="s">
        <v>619</v>
      </c>
      <c r="D32" s="630">
        <v>0</v>
      </c>
      <c r="E32" s="630">
        <v>0</v>
      </c>
      <c r="F32" s="630">
        <v>0</v>
      </c>
      <c r="G32" s="630">
        <v>0</v>
      </c>
      <c r="H32" s="690">
        <v>0</v>
      </c>
      <c r="I32" s="630">
        <v>0</v>
      </c>
      <c r="J32" s="690">
        <v>0</v>
      </c>
      <c r="K32" s="630">
        <v>0</v>
      </c>
      <c r="L32" s="690">
        <v>0</v>
      </c>
      <c r="M32" s="890">
        <v>0</v>
      </c>
      <c r="N32" s="890">
        <v>0</v>
      </c>
      <c r="O32" s="890">
        <v>0</v>
      </c>
      <c r="P32" s="890">
        <v>0</v>
      </c>
      <c r="Q32" s="890">
        <v>0</v>
      </c>
      <c r="R32" s="890">
        <v>0</v>
      </c>
      <c r="S32" s="890">
        <v>0</v>
      </c>
      <c r="T32" s="416">
        <f t="shared" si="0"/>
        <v>0</v>
      </c>
      <c r="U32" s="416">
        <f t="shared" si="1"/>
        <v>0</v>
      </c>
      <c r="V32" s="412">
        <f t="shared" si="2"/>
        <v>0</v>
      </c>
      <c r="W32" s="412">
        <f t="shared" si="3"/>
        <v>0</v>
      </c>
      <c r="X32" s="412">
        <f t="shared" si="4"/>
        <v>0</v>
      </c>
      <c r="Y32" s="416">
        <f t="shared" si="5"/>
        <v>0</v>
      </c>
      <c r="Z32" s="416">
        <f t="shared" si="6"/>
        <v>0</v>
      </c>
      <c r="AA32" s="416">
        <f t="shared" si="7"/>
        <v>0</v>
      </c>
      <c r="AB32" s="416">
        <f t="shared" si="8"/>
        <v>0</v>
      </c>
      <c r="AC32" s="416">
        <f t="shared" si="9"/>
        <v>0</v>
      </c>
    </row>
    <row r="33" spans="3:29" ht="12.75">
      <c r="C33" s="200" t="s">
        <v>620</v>
      </c>
      <c r="D33" s="630">
        <v>0</v>
      </c>
      <c r="E33" s="630">
        <v>0</v>
      </c>
      <c r="F33" s="630">
        <v>0</v>
      </c>
      <c r="G33" s="630">
        <v>0</v>
      </c>
      <c r="H33" s="690">
        <v>0</v>
      </c>
      <c r="I33" s="630">
        <v>0</v>
      </c>
      <c r="J33" s="690">
        <v>0</v>
      </c>
      <c r="K33" s="630">
        <v>0</v>
      </c>
      <c r="L33" s="690">
        <v>0</v>
      </c>
      <c r="M33" s="890">
        <v>0</v>
      </c>
      <c r="N33" s="890">
        <v>0</v>
      </c>
      <c r="O33" s="890">
        <v>0</v>
      </c>
      <c r="P33" s="890">
        <v>0</v>
      </c>
      <c r="Q33" s="890">
        <v>0</v>
      </c>
      <c r="R33" s="890">
        <v>0</v>
      </c>
      <c r="S33" s="890">
        <v>0</v>
      </c>
      <c r="T33" s="416">
        <f t="shared" si="0"/>
        <v>0</v>
      </c>
      <c r="U33" s="416">
        <f t="shared" si="1"/>
        <v>0</v>
      </c>
      <c r="V33" s="412">
        <f t="shared" si="2"/>
        <v>0</v>
      </c>
      <c r="W33" s="412">
        <f t="shared" si="3"/>
        <v>0</v>
      </c>
      <c r="X33" s="412">
        <f t="shared" si="4"/>
        <v>0</v>
      </c>
      <c r="Y33" s="416">
        <f t="shared" si="5"/>
        <v>0</v>
      </c>
      <c r="Z33" s="416">
        <f t="shared" si="6"/>
        <v>0</v>
      </c>
      <c r="AA33" s="416">
        <f t="shared" si="7"/>
        <v>0</v>
      </c>
      <c r="AB33" s="416">
        <f t="shared" si="8"/>
        <v>0</v>
      </c>
      <c r="AC33" s="416">
        <f t="shared" si="9"/>
        <v>0</v>
      </c>
    </row>
    <row r="34" spans="3:29" ht="12.75">
      <c r="C34" s="200" t="s">
        <v>615</v>
      </c>
      <c r="D34" s="630">
        <v>0</v>
      </c>
      <c r="E34" s="630">
        <v>0</v>
      </c>
      <c r="F34" s="630">
        <v>0</v>
      </c>
      <c r="G34" s="630">
        <v>0</v>
      </c>
      <c r="H34" s="690">
        <v>0</v>
      </c>
      <c r="I34" s="630">
        <v>0</v>
      </c>
      <c r="J34" s="690">
        <v>0</v>
      </c>
      <c r="K34" s="630">
        <v>0</v>
      </c>
      <c r="L34" s="690">
        <v>0</v>
      </c>
      <c r="M34" s="890">
        <v>0</v>
      </c>
      <c r="N34" s="890">
        <v>0</v>
      </c>
      <c r="O34" s="890">
        <v>0</v>
      </c>
      <c r="P34" s="890">
        <v>0</v>
      </c>
      <c r="Q34" s="890">
        <v>0</v>
      </c>
      <c r="R34" s="890">
        <v>0</v>
      </c>
      <c r="S34" s="890">
        <v>0</v>
      </c>
      <c r="T34" s="416">
        <f t="shared" si="0"/>
        <v>0</v>
      </c>
      <c r="U34" s="416">
        <f t="shared" si="1"/>
        <v>0</v>
      </c>
      <c r="V34" s="412">
        <f t="shared" si="2"/>
        <v>0</v>
      </c>
      <c r="W34" s="412">
        <f t="shared" si="3"/>
        <v>0</v>
      </c>
      <c r="X34" s="412">
        <f t="shared" si="4"/>
        <v>0</v>
      </c>
      <c r="Y34" s="416">
        <f t="shared" si="5"/>
        <v>0</v>
      </c>
      <c r="Z34" s="416">
        <f t="shared" si="6"/>
        <v>0</v>
      </c>
      <c r="AA34" s="416">
        <f t="shared" si="7"/>
        <v>0</v>
      </c>
      <c r="AB34" s="416">
        <f t="shared" si="8"/>
        <v>0</v>
      </c>
      <c r="AC34" s="416">
        <f t="shared" si="9"/>
        <v>0</v>
      </c>
    </row>
    <row r="35" spans="3:29" ht="12.75">
      <c r="C35" s="200" t="s">
        <v>621</v>
      </c>
      <c r="D35" s="630">
        <v>0</v>
      </c>
      <c r="E35" s="630">
        <v>0</v>
      </c>
      <c r="F35" s="630">
        <v>0</v>
      </c>
      <c r="G35" s="630">
        <v>0</v>
      </c>
      <c r="H35" s="690">
        <v>0</v>
      </c>
      <c r="I35" s="630">
        <v>0</v>
      </c>
      <c r="J35" s="690">
        <v>0</v>
      </c>
      <c r="K35" s="630">
        <v>0</v>
      </c>
      <c r="L35" s="690">
        <v>0</v>
      </c>
      <c r="M35" s="890">
        <v>0</v>
      </c>
      <c r="N35" s="890">
        <v>0</v>
      </c>
      <c r="O35" s="890">
        <v>0</v>
      </c>
      <c r="P35" s="890">
        <v>0</v>
      </c>
      <c r="Q35" s="890">
        <v>0</v>
      </c>
      <c r="R35" s="890">
        <v>0</v>
      </c>
      <c r="S35" s="890">
        <v>0</v>
      </c>
      <c r="T35" s="416">
        <f t="shared" si="0"/>
        <v>0</v>
      </c>
      <c r="U35" s="416">
        <f t="shared" si="1"/>
        <v>0</v>
      </c>
      <c r="V35" s="412">
        <f t="shared" si="2"/>
        <v>0</v>
      </c>
      <c r="W35" s="412">
        <f t="shared" si="3"/>
        <v>0</v>
      </c>
      <c r="X35" s="412">
        <f t="shared" si="4"/>
        <v>0</v>
      </c>
      <c r="Y35" s="416">
        <f t="shared" si="5"/>
        <v>0</v>
      </c>
      <c r="Z35" s="416">
        <f t="shared" si="6"/>
        <v>0</v>
      </c>
      <c r="AA35" s="416">
        <f t="shared" si="7"/>
        <v>0</v>
      </c>
      <c r="AB35" s="416">
        <f t="shared" si="8"/>
        <v>0</v>
      </c>
      <c r="AC35" s="416">
        <f t="shared" si="9"/>
        <v>0</v>
      </c>
    </row>
    <row r="36" spans="3:29" ht="12.75">
      <c r="C36" s="200" t="s">
        <v>622</v>
      </c>
      <c r="D36" s="630">
        <v>0</v>
      </c>
      <c r="E36" s="630">
        <v>0</v>
      </c>
      <c r="F36" s="630">
        <v>0</v>
      </c>
      <c r="G36" s="630">
        <v>0</v>
      </c>
      <c r="H36" s="690">
        <v>0</v>
      </c>
      <c r="I36" s="630">
        <v>0</v>
      </c>
      <c r="J36" s="690">
        <v>0</v>
      </c>
      <c r="K36" s="630">
        <v>0</v>
      </c>
      <c r="L36" s="690">
        <v>0</v>
      </c>
      <c r="M36" s="890">
        <v>0</v>
      </c>
      <c r="N36" s="890">
        <v>0</v>
      </c>
      <c r="O36" s="890">
        <v>0</v>
      </c>
      <c r="P36" s="890">
        <v>0</v>
      </c>
      <c r="Q36" s="890">
        <v>0</v>
      </c>
      <c r="R36" s="890">
        <v>0</v>
      </c>
      <c r="S36" s="890">
        <v>0</v>
      </c>
      <c r="T36" s="416">
        <f t="shared" si="0"/>
        <v>0</v>
      </c>
      <c r="U36" s="416">
        <f t="shared" si="1"/>
        <v>0</v>
      </c>
      <c r="V36" s="412">
        <f t="shared" si="2"/>
        <v>0</v>
      </c>
      <c r="W36" s="412">
        <f t="shared" si="3"/>
        <v>0</v>
      </c>
      <c r="X36" s="412">
        <f t="shared" si="4"/>
        <v>0</v>
      </c>
      <c r="Y36" s="416">
        <f t="shared" si="5"/>
        <v>0</v>
      </c>
      <c r="Z36" s="416">
        <f t="shared" si="6"/>
        <v>0</v>
      </c>
      <c r="AA36" s="416">
        <f t="shared" si="7"/>
        <v>0</v>
      </c>
      <c r="AB36" s="416">
        <f t="shared" si="8"/>
        <v>0</v>
      </c>
      <c r="AC36" s="416">
        <f t="shared" si="9"/>
        <v>0</v>
      </c>
    </row>
    <row r="37" spans="3:29" ht="12.75">
      <c r="C37" s="200" t="s">
        <v>623</v>
      </c>
      <c r="D37" s="630">
        <v>0</v>
      </c>
      <c r="E37" s="630">
        <v>0</v>
      </c>
      <c r="F37" s="630">
        <v>0</v>
      </c>
      <c r="G37" s="630">
        <v>0</v>
      </c>
      <c r="H37" s="690">
        <v>0</v>
      </c>
      <c r="I37" s="630">
        <v>0</v>
      </c>
      <c r="J37" s="690">
        <v>0</v>
      </c>
      <c r="K37" s="630">
        <v>0</v>
      </c>
      <c r="L37" s="690">
        <v>0</v>
      </c>
      <c r="M37" s="890">
        <v>0</v>
      </c>
      <c r="N37" s="890">
        <v>0</v>
      </c>
      <c r="O37" s="890">
        <v>0</v>
      </c>
      <c r="P37" s="890">
        <v>0</v>
      </c>
      <c r="Q37" s="890">
        <v>0</v>
      </c>
      <c r="R37" s="890">
        <v>0</v>
      </c>
      <c r="S37" s="890">
        <v>0</v>
      </c>
      <c r="T37" s="416">
        <f t="shared" si="0"/>
        <v>0</v>
      </c>
      <c r="U37" s="416">
        <f t="shared" si="1"/>
        <v>0</v>
      </c>
      <c r="V37" s="412">
        <f t="shared" si="2"/>
        <v>0</v>
      </c>
      <c r="W37" s="412">
        <f t="shared" si="3"/>
        <v>0</v>
      </c>
      <c r="X37" s="412">
        <f t="shared" si="4"/>
        <v>0</v>
      </c>
      <c r="Y37" s="416">
        <f t="shared" si="5"/>
        <v>0</v>
      </c>
      <c r="Z37" s="416">
        <f t="shared" si="6"/>
        <v>0</v>
      </c>
      <c r="AA37" s="416">
        <f t="shared" si="7"/>
        <v>0</v>
      </c>
      <c r="AB37" s="416">
        <f>AB36+Q37+R37</f>
        <v>0</v>
      </c>
      <c r="AC37" s="416">
        <f>+AC36+S37</f>
        <v>0</v>
      </c>
    </row>
    <row r="38" spans="3:29" ht="12.75">
      <c r="C38" s="200" t="s">
        <v>624</v>
      </c>
      <c r="D38" s="630">
        <v>0</v>
      </c>
      <c r="E38" s="630">
        <v>0</v>
      </c>
      <c r="F38" s="630">
        <v>0</v>
      </c>
      <c r="G38" s="630">
        <v>0</v>
      </c>
      <c r="H38" s="690">
        <v>0</v>
      </c>
      <c r="I38" s="630">
        <v>0</v>
      </c>
      <c r="J38" s="690">
        <v>0</v>
      </c>
      <c r="K38" s="630">
        <v>0</v>
      </c>
      <c r="L38" s="690">
        <v>0</v>
      </c>
      <c r="M38" s="890">
        <v>0</v>
      </c>
      <c r="N38" s="890">
        <v>0</v>
      </c>
      <c r="O38" s="890">
        <v>0</v>
      </c>
      <c r="P38" s="890">
        <v>0</v>
      </c>
      <c r="Q38" s="890">
        <v>0</v>
      </c>
      <c r="R38" s="890">
        <v>0</v>
      </c>
      <c r="S38" s="890">
        <v>0</v>
      </c>
      <c r="T38" s="416">
        <f t="shared" si="0"/>
        <v>0</v>
      </c>
      <c r="U38" s="416">
        <f t="shared" si="1"/>
        <v>0</v>
      </c>
      <c r="V38" s="412">
        <f t="shared" si="2"/>
        <v>0</v>
      </c>
      <c r="W38" s="412">
        <f t="shared" si="3"/>
        <v>0</v>
      </c>
      <c r="X38" s="412">
        <f t="shared" si="4"/>
        <v>0</v>
      </c>
      <c r="Y38" s="416">
        <f t="shared" si="5"/>
        <v>0</v>
      </c>
      <c r="Z38" s="416">
        <f t="shared" si="6"/>
        <v>0</v>
      </c>
      <c r="AA38" s="416">
        <f t="shared" si="7"/>
        <v>0</v>
      </c>
      <c r="AB38" s="416">
        <f t="shared" si="8"/>
        <v>0</v>
      </c>
      <c r="AC38" s="416">
        <f t="shared" si="9"/>
        <v>0</v>
      </c>
    </row>
    <row r="39" spans="3:29" ht="12.75">
      <c r="C39" s="200" t="s">
        <v>625</v>
      </c>
      <c r="D39" s="630">
        <v>0</v>
      </c>
      <c r="E39" s="630">
        <v>0</v>
      </c>
      <c r="F39" s="630">
        <v>0</v>
      </c>
      <c r="G39" s="630">
        <v>0</v>
      </c>
      <c r="H39" s="690">
        <v>0</v>
      </c>
      <c r="I39" s="630">
        <v>0</v>
      </c>
      <c r="J39" s="690">
        <v>0</v>
      </c>
      <c r="K39" s="630">
        <v>0</v>
      </c>
      <c r="L39" s="690">
        <v>0</v>
      </c>
      <c r="M39" s="890">
        <v>0</v>
      </c>
      <c r="N39" s="890">
        <v>0</v>
      </c>
      <c r="O39" s="890">
        <v>0</v>
      </c>
      <c r="P39" s="890">
        <v>0</v>
      </c>
      <c r="Q39" s="890">
        <v>0</v>
      </c>
      <c r="R39" s="890">
        <v>0</v>
      </c>
      <c r="S39" s="890">
        <v>0</v>
      </c>
      <c r="T39" s="416">
        <f t="shared" si="0"/>
        <v>0</v>
      </c>
      <c r="U39" s="416">
        <f t="shared" si="1"/>
        <v>0</v>
      </c>
      <c r="V39" s="412">
        <f t="shared" si="2"/>
        <v>0</v>
      </c>
      <c r="W39" s="412">
        <f t="shared" si="3"/>
        <v>0</v>
      </c>
      <c r="X39" s="412">
        <f t="shared" si="4"/>
        <v>0</v>
      </c>
      <c r="Y39" s="416">
        <f t="shared" si="5"/>
        <v>0</v>
      </c>
      <c r="Z39" s="416">
        <f t="shared" si="6"/>
        <v>0</v>
      </c>
      <c r="AA39" s="416">
        <f t="shared" si="7"/>
        <v>0</v>
      </c>
      <c r="AB39" s="416">
        <f t="shared" si="8"/>
        <v>0</v>
      </c>
      <c r="AC39" s="416">
        <f t="shared" si="9"/>
        <v>0</v>
      </c>
    </row>
    <row r="40" spans="3:29" ht="12.75">
      <c r="C40" s="200" t="s">
        <v>626</v>
      </c>
      <c r="D40" s="630">
        <v>0</v>
      </c>
      <c r="E40" s="630">
        <v>0</v>
      </c>
      <c r="F40" s="630">
        <v>0</v>
      </c>
      <c r="G40" s="630">
        <v>0</v>
      </c>
      <c r="H40" s="690">
        <v>0</v>
      </c>
      <c r="I40" s="630">
        <v>0</v>
      </c>
      <c r="J40" s="690">
        <v>0</v>
      </c>
      <c r="K40" s="630">
        <v>0</v>
      </c>
      <c r="L40" s="690">
        <v>0</v>
      </c>
      <c r="M40" s="890">
        <v>0</v>
      </c>
      <c r="N40" s="890">
        <v>0</v>
      </c>
      <c r="O40" s="890">
        <v>0</v>
      </c>
      <c r="P40" s="890">
        <v>0</v>
      </c>
      <c r="Q40" s="890">
        <v>0</v>
      </c>
      <c r="R40" s="890">
        <v>0</v>
      </c>
      <c r="S40" s="890">
        <v>0</v>
      </c>
      <c r="T40" s="416">
        <f t="shared" si="0"/>
        <v>0</v>
      </c>
      <c r="U40" s="416">
        <f t="shared" si="1"/>
        <v>0</v>
      </c>
      <c r="V40" s="412">
        <f t="shared" si="2"/>
        <v>0</v>
      </c>
      <c r="W40" s="412">
        <f t="shared" si="3"/>
        <v>0</v>
      </c>
      <c r="X40" s="412">
        <f t="shared" si="4"/>
        <v>0</v>
      </c>
      <c r="Y40" s="416">
        <f t="shared" si="5"/>
        <v>0</v>
      </c>
      <c r="Z40" s="416">
        <f t="shared" si="6"/>
        <v>0</v>
      </c>
      <c r="AA40" s="416">
        <f t="shared" si="7"/>
        <v>0</v>
      </c>
      <c r="AB40" s="416">
        <f t="shared" si="8"/>
        <v>0</v>
      </c>
      <c r="AC40" s="416">
        <f t="shared" si="9"/>
        <v>0</v>
      </c>
    </row>
    <row r="41" spans="3:30" ht="12.75">
      <c r="C41" s="415" t="s">
        <v>627</v>
      </c>
      <c r="D41" s="631">
        <v>0</v>
      </c>
      <c r="E41" s="631">
        <v>0</v>
      </c>
      <c r="F41" s="631">
        <v>0</v>
      </c>
      <c r="G41" s="631">
        <v>0</v>
      </c>
      <c r="H41" s="809">
        <v>0</v>
      </c>
      <c r="I41" s="631">
        <v>0</v>
      </c>
      <c r="J41" s="809">
        <v>0</v>
      </c>
      <c r="K41" s="631">
        <v>0</v>
      </c>
      <c r="L41" s="809">
        <v>0</v>
      </c>
      <c r="M41" s="809">
        <v>0</v>
      </c>
      <c r="N41" s="809">
        <v>0</v>
      </c>
      <c r="O41" s="809">
        <v>0</v>
      </c>
      <c r="P41" s="809">
        <v>0</v>
      </c>
      <c r="Q41" s="809">
        <v>0</v>
      </c>
      <c r="R41" s="809">
        <v>0</v>
      </c>
      <c r="S41" s="809">
        <v>0</v>
      </c>
      <c r="T41" s="418">
        <f t="shared" si="0"/>
        <v>0</v>
      </c>
      <c r="U41" s="418">
        <f t="shared" si="1"/>
        <v>0</v>
      </c>
      <c r="V41" s="417">
        <f t="shared" si="2"/>
        <v>0</v>
      </c>
      <c r="W41" s="417">
        <f t="shared" si="3"/>
        <v>0</v>
      </c>
      <c r="X41" s="417">
        <f t="shared" si="4"/>
        <v>0</v>
      </c>
      <c r="Y41" s="418">
        <f t="shared" si="5"/>
        <v>0</v>
      </c>
      <c r="Z41" s="418">
        <f t="shared" si="6"/>
        <v>0</v>
      </c>
      <c r="AA41" s="418">
        <f t="shared" si="7"/>
        <v>0</v>
      </c>
      <c r="AB41" s="418">
        <f t="shared" si="8"/>
        <v>0</v>
      </c>
      <c r="AC41" s="418">
        <f>+AC40+S41</f>
        <v>0</v>
      </c>
      <c r="AD41" s="415"/>
    </row>
    <row r="42" spans="3:30" ht="12.75">
      <c r="C42" s="200" t="s">
        <v>449</v>
      </c>
      <c r="D42" s="416">
        <f>SUM(D30:D41)</f>
        <v>0</v>
      </c>
      <c r="E42" s="416"/>
      <c r="F42" s="416">
        <f aca="true" t="shared" si="10" ref="F42:M42">SUM(F30:F41)</f>
        <v>0</v>
      </c>
      <c r="G42" s="416">
        <f t="shared" si="10"/>
        <v>0</v>
      </c>
      <c r="H42" s="416">
        <f t="shared" si="10"/>
        <v>0</v>
      </c>
      <c r="I42" s="416">
        <f t="shared" si="10"/>
        <v>0</v>
      </c>
      <c r="J42" s="416">
        <f t="shared" si="10"/>
        <v>0</v>
      </c>
      <c r="K42" s="416">
        <f t="shared" si="10"/>
        <v>0</v>
      </c>
      <c r="L42" s="416">
        <f t="shared" si="10"/>
        <v>0</v>
      </c>
      <c r="M42" s="416">
        <f t="shared" si="10"/>
        <v>0</v>
      </c>
      <c r="N42" s="416">
        <f aca="true" t="shared" si="11" ref="N42:S42">SUM(N30:N41)</f>
        <v>0</v>
      </c>
      <c r="O42" s="416">
        <f t="shared" si="11"/>
        <v>0</v>
      </c>
      <c r="P42" s="416">
        <f t="shared" si="11"/>
        <v>0</v>
      </c>
      <c r="Q42" s="416">
        <f t="shared" si="11"/>
        <v>0</v>
      </c>
      <c r="R42" s="416">
        <f t="shared" si="11"/>
        <v>0</v>
      </c>
      <c r="S42" s="416">
        <f t="shared" si="11"/>
        <v>0</v>
      </c>
      <c r="T42" s="416">
        <f aca="true" t="shared" si="12" ref="T42:Y42">AVERAGE(T29:T41)</f>
        <v>0</v>
      </c>
      <c r="U42" s="416">
        <f t="shared" si="12"/>
        <v>0</v>
      </c>
      <c r="V42" s="416">
        <f t="shared" si="12"/>
        <v>0</v>
      </c>
      <c r="W42" s="416">
        <f t="shared" si="12"/>
        <v>0</v>
      </c>
      <c r="X42" s="416">
        <f t="shared" si="12"/>
        <v>0</v>
      </c>
      <c r="Y42" s="416">
        <f t="shared" si="12"/>
        <v>0</v>
      </c>
      <c r="Z42" s="416">
        <f>AVERAGE(Z29:Z41)</f>
        <v>0</v>
      </c>
      <c r="AA42" s="416">
        <f>AVERAGE(AA29:AA41)</f>
        <v>0</v>
      </c>
      <c r="AB42" s="416">
        <f>AVERAGE(AB29:AB41)</f>
        <v>0</v>
      </c>
      <c r="AC42" s="416">
        <f>AVERAGE(AC29:AC41)</f>
        <v>0</v>
      </c>
      <c r="AD42" s="416">
        <f>SUM(T42:AC42)</f>
        <v>0</v>
      </c>
    </row>
    <row r="43" spans="3:15" ht="12.75">
      <c r="C43" s="200"/>
      <c r="D43" s="416"/>
      <c r="E43" s="416"/>
      <c r="F43" s="416"/>
      <c r="G43" s="416"/>
      <c r="H43" s="412"/>
      <c r="I43" s="412"/>
      <c r="J43" s="412"/>
      <c r="K43" s="412"/>
      <c r="L43" s="416"/>
      <c r="M43" s="416"/>
      <c r="N43" s="416"/>
      <c r="O43" s="416"/>
    </row>
    <row r="44" spans="3:15" ht="12.75">
      <c r="C44" s="200"/>
      <c r="D44" s="416"/>
      <c r="G44" s="416"/>
      <c r="H44" s="1160" t="s">
        <v>860</v>
      </c>
      <c r="I44" s="416">
        <f>T42+V42+W42+Y42+Z42+AB42</f>
        <v>0</v>
      </c>
      <c r="J44" s="416" t="str">
        <f>"goes to line "&amp;'Appendix A'!$A$29&amp;" of the formula"</f>
        <v>goes to line 14 of the formula</v>
      </c>
      <c r="K44" s="412"/>
      <c r="N44" s="416"/>
      <c r="O44" s="416"/>
    </row>
    <row r="45" spans="3:15" ht="12.75">
      <c r="C45" s="200"/>
      <c r="D45" s="416"/>
      <c r="E45" s="416"/>
      <c r="G45" s="416"/>
      <c r="H45" s="1160" t="s">
        <v>861</v>
      </c>
      <c r="I45" s="416">
        <f>U42+X42+AA42+AC42</f>
        <v>0</v>
      </c>
      <c r="J45" s="416" t="str">
        <f>"goes to line "&amp;'Appendix A'!$A$65&amp;" of the formula"</f>
        <v>goes to line 36 of the formula</v>
      </c>
      <c r="K45" s="412"/>
      <c r="N45" s="416"/>
      <c r="O45" s="416"/>
    </row>
    <row r="46" spans="3:11" ht="12.75">
      <c r="C46" s="200"/>
      <c r="H46" s="416"/>
      <c r="I46" s="416"/>
      <c r="J46" s="416"/>
      <c r="K46" s="416"/>
    </row>
    <row r="47" spans="3:27" ht="12.75">
      <c r="C47" s="410"/>
      <c r="D47" s="200" t="s">
        <v>1069</v>
      </c>
      <c r="E47" s="200" t="s">
        <v>1070</v>
      </c>
      <c r="F47" s="200" t="s">
        <v>1071</v>
      </c>
      <c r="G47" s="200" t="s">
        <v>1072</v>
      </c>
      <c r="H47" s="200" t="s">
        <v>1073</v>
      </c>
      <c r="I47" s="200" t="s">
        <v>1074</v>
      </c>
      <c r="J47" s="200" t="s">
        <v>1075</v>
      </c>
      <c r="K47" s="200" t="s">
        <v>1076</v>
      </c>
      <c r="L47" s="200" t="s">
        <v>1077</v>
      </c>
      <c r="M47" s="200" t="s">
        <v>1078</v>
      </c>
      <c r="N47" s="200" t="s">
        <v>1079</v>
      </c>
      <c r="O47" s="200" t="s">
        <v>1080</v>
      </c>
      <c r="P47" s="200" t="s">
        <v>1081</v>
      </c>
      <c r="Q47" s="200" t="s">
        <v>1082</v>
      </c>
      <c r="R47" s="200" t="s">
        <v>1083</v>
      </c>
      <c r="S47" s="200" t="s">
        <v>1084</v>
      </c>
      <c r="T47" s="200" t="s">
        <v>1085</v>
      </c>
      <c r="U47" s="200" t="s">
        <v>1088</v>
      </c>
      <c r="V47" s="200" t="s">
        <v>1086</v>
      </c>
      <c r="W47" s="200" t="s">
        <v>1089</v>
      </c>
      <c r="X47" s="200" t="s">
        <v>1087</v>
      </c>
      <c r="Y47" s="200" t="s">
        <v>1090</v>
      </c>
      <c r="Z47" s="200" t="s">
        <v>1094</v>
      </c>
      <c r="AA47" s="200" t="s">
        <v>1091</v>
      </c>
    </row>
    <row r="48" spans="3:27" ht="12.75">
      <c r="C48" s="410"/>
      <c r="D48" s="408" t="s">
        <v>142</v>
      </c>
      <c r="E48" s="200" t="s">
        <v>120</v>
      </c>
      <c r="F48" s="408" t="s">
        <v>578</v>
      </c>
      <c r="G48" s="408" t="s">
        <v>656</v>
      </c>
      <c r="H48" s="408" t="s">
        <v>144</v>
      </c>
      <c r="I48" s="200" t="s">
        <v>120</v>
      </c>
      <c r="J48" s="408" t="s">
        <v>578</v>
      </c>
      <c r="K48" s="408" t="s">
        <v>373</v>
      </c>
      <c r="L48" s="408" t="s">
        <v>784</v>
      </c>
      <c r="M48" s="200" t="s">
        <v>120</v>
      </c>
      <c r="N48" s="408" t="s">
        <v>578</v>
      </c>
      <c r="O48" s="408" t="s">
        <v>373</v>
      </c>
      <c r="P48" s="408" t="s">
        <v>110</v>
      </c>
      <c r="Q48" s="200" t="s">
        <v>120</v>
      </c>
      <c r="R48" s="408" t="s">
        <v>578</v>
      </c>
      <c r="S48" s="408" t="s">
        <v>373</v>
      </c>
      <c r="T48" s="408" t="s">
        <v>850</v>
      </c>
      <c r="U48" s="200" t="s">
        <v>120</v>
      </c>
      <c r="V48" s="408" t="s">
        <v>578</v>
      </c>
      <c r="W48" s="408" t="s">
        <v>373</v>
      </c>
      <c r="X48" s="408" t="s">
        <v>868</v>
      </c>
      <c r="Y48" s="200" t="s">
        <v>120</v>
      </c>
      <c r="Z48" s="408" t="s">
        <v>578</v>
      </c>
      <c r="AA48" s="408" t="s">
        <v>373</v>
      </c>
    </row>
    <row r="49" spans="3:27" ht="12.75">
      <c r="C49" s="200"/>
      <c r="D49" s="408" t="s">
        <v>118</v>
      </c>
      <c r="E49" s="408" t="s">
        <v>121</v>
      </c>
      <c r="F49" s="408" t="s">
        <v>122</v>
      </c>
      <c r="G49" s="408"/>
      <c r="H49" s="408" t="s">
        <v>119</v>
      </c>
      <c r="I49" s="408" t="s">
        <v>121</v>
      </c>
      <c r="J49" s="408" t="s">
        <v>122</v>
      </c>
      <c r="K49" s="408" t="s">
        <v>374</v>
      </c>
      <c r="L49" s="408" t="s">
        <v>119</v>
      </c>
      <c r="M49" s="408" t="s">
        <v>121</v>
      </c>
      <c r="N49" s="408" t="s">
        <v>122</v>
      </c>
      <c r="O49" s="408" t="s">
        <v>374</v>
      </c>
      <c r="P49" s="408" t="s">
        <v>119</v>
      </c>
      <c r="Q49" s="408" t="s">
        <v>121</v>
      </c>
      <c r="R49" s="408" t="s">
        <v>122</v>
      </c>
      <c r="S49" s="408" t="s">
        <v>374</v>
      </c>
      <c r="T49" s="408" t="s">
        <v>119</v>
      </c>
      <c r="U49" s="408" t="s">
        <v>121</v>
      </c>
      <c r="V49" s="408" t="s">
        <v>122</v>
      </c>
      <c r="W49" s="408" t="s">
        <v>374</v>
      </c>
      <c r="X49" s="408" t="s">
        <v>119</v>
      </c>
      <c r="Y49" s="408" t="s">
        <v>121</v>
      </c>
      <c r="Z49" s="408" t="s">
        <v>122</v>
      </c>
      <c r="AA49" s="408" t="s">
        <v>374</v>
      </c>
    </row>
    <row r="50" spans="3:27" ht="12.75">
      <c r="C50" s="200" t="s">
        <v>143</v>
      </c>
      <c r="D50" s="336">
        <f>T29</f>
        <v>0</v>
      </c>
      <c r="E50" s="746">
        <v>0.0022</v>
      </c>
      <c r="F50" s="416">
        <f>D50*E50</f>
        <v>0</v>
      </c>
      <c r="G50" s="416">
        <f>F50</f>
        <v>0</v>
      </c>
      <c r="H50" s="452">
        <f>V29</f>
        <v>0</v>
      </c>
      <c r="I50" s="746">
        <f>E50</f>
        <v>0.0022</v>
      </c>
      <c r="J50" s="416">
        <f>H50*I50</f>
        <v>0</v>
      </c>
      <c r="K50" s="416">
        <f>J50</f>
        <v>0</v>
      </c>
      <c r="L50" s="452">
        <f>W29</f>
        <v>0</v>
      </c>
      <c r="M50" s="746">
        <f>E50</f>
        <v>0.0022</v>
      </c>
      <c r="N50" s="416">
        <f aca="true" t="shared" si="13" ref="N50:N62">L50*M50</f>
        <v>0</v>
      </c>
      <c r="O50" s="416">
        <f>N50</f>
        <v>0</v>
      </c>
      <c r="P50" s="452">
        <f>Y29</f>
        <v>0</v>
      </c>
      <c r="Q50" s="746">
        <f>E50</f>
        <v>0.0022</v>
      </c>
      <c r="R50" s="416">
        <f aca="true" t="shared" si="14" ref="R50:R62">P50*Q50</f>
        <v>0</v>
      </c>
      <c r="S50" s="416">
        <f>R50</f>
        <v>0</v>
      </c>
      <c r="T50" s="452">
        <f aca="true" t="shared" si="15" ref="T50:T62">+Z29</f>
        <v>0</v>
      </c>
      <c r="U50" s="746">
        <f>E50</f>
        <v>0.0022</v>
      </c>
      <c r="V50" s="416">
        <f>T50*U50</f>
        <v>0</v>
      </c>
      <c r="W50" s="416">
        <f>V50</f>
        <v>0</v>
      </c>
      <c r="X50" s="1176">
        <f>+AB29</f>
        <v>0</v>
      </c>
      <c r="Y50" s="446">
        <f>E50</f>
        <v>0.0022</v>
      </c>
      <c r="Z50" s="416">
        <f>X50*Y50</f>
        <v>0</v>
      </c>
      <c r="AA50" s="416">
        <f>Z50</f>
        <v>0</v>
      </c>
    </row>
    <row r="51" spans="1:27" ht="12.75">
      <c r="A51" s="400"/>
      <c r="C51" s="200" t="s">
        <v>617</v>
      </c>
      <c r="D51" s="336">
        <f aca="true" t="shared" si="16" ref="D51:D62">T30</f>
        <v>0</v>
      </c>
      <c r="E51" s="446">
        <f>+E50</f>
        <v>0.0022</v>
      </c>
      <c r="F51" s="416">
        <f aca="true" t="shared" si="17" ref="F51:F62">D51*E51</f>
        <v>0</v>
      </c>
      <c r="G51" s="416">
        <f>G50+F51</f>
        <v>0</v>
      </c>
      <c r="H51" s="452">
        <f aca="true" t="shared" si="18" ref="H51:H62">V30</f>
        <v>0</v>
      </c>
      <c r="I51" s="446">
        <f>+I50</f>
        <v>0.0022</v>
      </c>
      <c r="J51" s="416">
        <f aca="true" t="shared" si="19" ref="J51:J62">H51*I51</f>
        <v>0</v>
      </c>
      <c r="K51" s="416">
        <f>J51+K50</f>
        <v>0</v>
      </c>
      <c r="L51" s="452">
        <f aca="true" t="shared" si="20" ref="L51:L62">W30</f>
        <v>0</v>
      </c>
      <c r="M51" s="446">
        <f>+M50</f>
        <v>0.0022</v>
      </c>
      <c r="N51" s="416">
        <f>L51*M51</f>
        <v>0</v>
      </c>
      <c r="O51" s="416">
        <f>N51+O50</f>
        <v>0</v>
      </c>
      <c r="P51" s="452">
        <f aca="true" t="shared" si="21" ref="P51:P62">Y30</f>
        <v>0</v>
      </c>
      <c r="Q51" s="446">
        <f>+Q50</f>
        <v>0.0022</v>
      </c>
      <c r="R51" s="416">
        <f t="shared" si="14"/>
        <v>0</v>
      </c>
      <c r="S51" s="416">
        <f>R51+S50</f>
        <v>0</v>
      </c>
      <c r="T51" s="452">
        <f t="shared" si="15"/>
        <v>0</v>
      </c>
      <c r="U51" s="446">
        <f>+U50</f>
        <v>0.0022</v>
      </c>
      <c r="V51" s="416">
        <f>T51*U51</f>
        <v>0</v>
      </c>
      <c r="W51" s="416">
        <f>V51+W50</f>
        <v>0</v>
      </c>
      <c r="X51" s="1176">
        <f aca="true" t="shared" si="22" ref="X51:X62">+AB30</f>
        <v>0</v>
      </c>
      <c r="Y51" s="446">
        <f>+Y50</f>
        <v>0.0022</v>
      </c>
      <c r="Z51" s="416">
        <f>X51*Y51</f>
        <v>0</v>
      </c>
      <c r="AA51" s="416">
        <f>Z51+AA50</f>
        <v>0</v>
      </c>
    </row>
    <row r="52" spans="1:27" ht="12.75">
      <c r="A52" s="400"/>
      <c r="C52" s="200" t="s">
        <v>618</v>
      </c>
      <c r="D52" s="336">
        <f t="shared" si="16"/>
        <v>0</v>
      </c>
      <c r="E52" s="446">
        <f aca="true" t="shared" si="23" ref="E52:E62">+E51</f>
        <v>0.0022</v>
      </c>
      <c r="F52" s="416">
        <f>D52*E52</f>
        <v>0</v>
      </c>
      <c r="G52" s="416">
        <f aca="true" t="shared" si="24" ref="G52:G62">G51+F52</f>
        <v>0</v>
      </c>
      <c r="H52" s="452">
        <f t="shared" si="18"/>
        <v>0</v>
      </c>
      <c r="I52" s="446">
        <f aca="true" t="shared" si="25" ref="I52:I62">+I51</f>
        <v>0.0022</v>
      </c>
      <c r="J52" s="416">
        <f t="shared" si="19"/>
        <v>0</v>
      </c>
      <c r="K52" s="416">
        <f aca="true" t="shared" si="26" ref="K52:K62">J52+K51</f>
        <v>0</v>
      </c>
      <c r="L52" s="452">
        <f t="shared" si="20"/>
        <v>0</v>
      </c>
      <c r="M52" s="446">
        <f aca="true" t="shared" si="27" ref="M52:M62">+M51</f>
        <v>0.0022</v>
      </c>
      <c r="N52" s="416">
        <f t="shared" si="13"/>
        <v>0</v>
      </c>
      <c r="O52" s="416">
        <f aca="true" t="shared" si="28" ref="O52:O62">N52+O51</f>
        <v>0</v>
      </c>
      <c r="P52" s="452">
        <f t="shared" si="21"/>
        <v>0</v>
      </c>
      <c r="Q52" s="446">
        <f aca="true" t="shared" si="29" ref="Q52:Q62">+Q51</f>
        <v>0.0022</v>
      </c>
      <c r="R52" s="416">
        <f>P52*Q52</f>
        <v>0</v>
      </c>
      <c r="S52" s="416">
        <f>R52+S51</f>
        <v>0</v>
      </c>
      <c r="T52" s="452">
        <f t="shared" si="15"/>
        <v>0</v>
      </c>
      <c r="U52" s="446">
        <f aca="true" t="shared" si="30" ref="U52:U62">+U51</f>
        <v>0.0022</v>
      </c>
      <c r="V52" s="416">
        <f aca="true" t="shared" si="31" ref="V52:V62">T52*U52</f>
        <v>0</v>
      </c>
      <c r="W52" s="416">
        <f aca="true" t="shared" si="32" ref="W52:W62">V52+W51</f>
        <v>0</v>
      </c>
      <c r="X52" s="1176">
        <f t="shared" si="22"/>
        <v>0</v>
      </c>
      <c r="Y52" s="446">
        <f aca="true" t="shared" si="33" ref="Y52:Y62">+Y51</f>
        <v>0.0022</v>
      </c>
      <c r="Z52" s="416">
        <f aca="true" t="shared" si="34" ref="Z52:Z62">X52*Y52</f>
        <v>0</v>
      </c>
      <c r="AA52" s="416">
        <f aca="true" t="shared" si="35" ref="AA52:AA62">Z52+AA51</f>
        <v>0</v>
      </c>
    </row>
    <row r="53" spans="1:27" ht="12.75">
      <c r="A53" s="400"/>
      <c r="C53" s="200" t="s">
        <v>619</v>
      </c>
      <c r="D53" s="336">
        <f t="shared" si="16"/>
        <v>0</v>
      </c>
      <c r="E53" s="446">
        <f t="shared" si="23"/>
        <v>0.0022</v>
      </c>
      <c r="F53" s="416">
        <f>D53*E53</f>
        <v>0</v>
      </c>
      <c r="G53" s="416">
        <f t="shared" si="24"/>
        <v>0</v>
      </c>
      <c r="H53" s="452">
        <f t="shared" si="18"/>
        <v>0</v>
      </c>
      <c r="I53" s="446">
        <f t="shared" si="25"/>
        <v>0.0022</v>
      </c>
      <c r="J53" s="416">
        <f t="shared" si="19"/>
        <v>0</v>
      </c>
      <c r="K53" s="416">
        <f t="shared" si="26"/>
        <v>0</v>
      </c>
      <c r="L53" s="452">
        <f t="shared" si="20"/>
        <v>0</v>
      </c>
      <c r="M53" s="446">
        <f t="shared" si="27"/>
        <v>0.0022</v>
      </c>
      <c r="N53" s="416">
        <f>L53*M53</f>
        <v>0</v>
      </c>
      <c r="O53" s="416">
        <f t="shared" si="28"/>
        <v>0</v>
      </c>
      <c r="P53" s="452">
        <f t="shared" si="21"/>
        <v>0</v>
      </c>
      <c r="Q53" s="446">
        <f t="shared" si="29"/>
        <v>0.0022</v>
      </c>
      <c r="R53" s="416">
        <f t="shared" si="14"/>
        <v>0</v>
      </c>
      <c r="S53" s="416">
        <f aca="true" t="shared" si="36" ref="S53:S62">R53+S52</f>
        <v>0</v>
      </c>
      <c r="T53" s="452">
        <f t="shared" si="15"/>
        <v>0</v>
      </c>
      <c r="U53" s="446">
        <f t="shared" si="30"/>
        <v>0.0022</v>
      </c>
      <c r="V53" s="416">
        <f t="shared" si="31"/>
        <v>0</v>
      </c>
      <c r="W53" s="416">
        <f t="shared" si="32"/>
        <v>0</v>
      </c>
      <c r="X53" s="1176">
        <f t="shared" si="22"/>
        <v>0</v>
      </c>
      <c r="Y53" s="446">
        <f t="shared" si="33"/>
        <v>0.0022</v>
      </c>
      <c r="Z53" s="416">
        <f t="shared" si="34"/>
        <v>0</v>
      </c>
      <c r="AA53" s="416">
        <f t="shared" si="35"/>
        <v>0</v>
      </c>
    </row>
    <row r="54" spans="1:27" ht="12.75">
      <c r="A54" s="400"/>
      <c r="C54" s="200" t="s">
        <v>620</v>
      </c>
      <c r="D54" s="336">
        <f t="shared" si="16"/>
        <v>0</v>
      </c>
      <c r="E54" s="446">
        <f t="shared" si="23"/>
        <v>0.0022</v>
      </c>
      <c r="F54" s="416">
        <f t="shared" si="17"/>
        <v>0</v>
      </c>
      <c r="G54" s="416">
        <f t="shared" si="24"/>
        <v>0</v>
      </c>
      <c r="H54" s="452">
        <f t="shared" si="18"/>
        <v>0</v>
      </c>
      <c r="I54" s="446">
        <f t="shared" si="25"/>
        <v>0.0022</v>
      </c>
      <c r="J54" s="416">
        <f t="shared" si="19"/>
        <v>0</v>
      </c>
      <c r="K54" s="416">
        <f t="shared" si="26"/>
        <v>0</v>
      </c>
      <c r="L54" s="452">
        <f t="shared" si="20"/>
        <v>0</v>
      </c>
      <c r="M54" s="446">
        <f t="shared" si="27"/>
        <v>0.0022</v>
      </c>
      <c r="N54" s="416">
        <f t="shared" si="13"/>
        <v>0</v>
      </c>
      <c r="O54" s="416">
        <f t="shared" si="28"/>
        <v>0</v>
      </c>
      <c r="P54" s="452">
        <f t="shared" si="21"/>
        <v>0</v>
      </c>
      <c r="Q54" s="446">
        <f t="shared" si="29"/>
        <v>0.0022</v>
      </c>
      <c r="R54" s="416">
        <f t="shared" si="14"/>
        <v>0</v>
      </c>
      <c r="S54" s="416">
        <f t="shared" si="36"/>
        <v>0</v>
      </c>
      <c r="T54" s="452">
        <f t="shared" si="15"/>
        <v>0</v>
      </c>
      <c r="U54" s="446">
        <f t="shared" si="30"/>
        <v>0.0022</v>
      </c>
      <c r="V54" s="416">
        <f t="shared" si="31"/>
        <v>0</v>
      </c>
      <c r="W54" s="416">
        <f t="shared" si="32"/>
        <v>0</v>
      </c>
      <c r="X54" s="1176">
        <f t="shared" si="22"/>
        <v>0</v>
      </c>
      <c r="Y54" s="446">
        <f t="shared" si="33"/>
        <v>0.0022</v>
      </c>
      <c r="Z54" s="416">
        <f t="shared" si="34"/>
        <v>0</v>
      </c>
      <c r="AA54" s="416">
        <f t="shared" si="35"/>
        <v>0</v>
      </c>
    </row>
    <row r="55" spans="1:27" ht="12.75">
      <c r="A55" s="400"/>
      <c r="C55" s="200" t="s">
        <v>615</v>
      </c>
      <c r="D55" s="336">
        <f t="shared" si="16"/>
        <v>0</v>
      </c>
      <c r="E55" s="446">
        <f t="shared" si="23"/>
        <v>0.0022</v>
      </c>
      <c r="F55" s="416">
        <f t="shared" si="17"/>
        <v>0</v>
      </c>
      <c r="G55" s="416">
        <f t="shared" si="24"/>
        <v>0</v>
      </c>
      <c r="H55" s="452">
        <f t="shared" si="18"/>
        <v>0</v>
      </c>
      <c r="I55" s="446">
        <f t="shared" si="25"/>
        <v>0.0022</v>
      </c>
      <c r="J55" s="416">
        <f t="shared" si="19"/>
        <v>0</v>
      </c>
      <c r="K55" s="416">
        <f t="shared" si="26"/>
        <v>0</v>
      </c>
      <c r="L55" s="452">
        <f t="shared" si="20"/>
        <v>0</v>
      </c>
      <c r="M55" s="446">
        <f t="shared" si="27"/>
        <v>0.0022</v>
      </c>
      <c r="N55" s="416">
        <f t="shared" si="13"/>
        <v>0</v>
      </c>
      <c r="O55" s="416">
        <f t="shared" si="28"/>
        <v>0</v>
      </c>
      <c r="P55" s="452">
        <f t="shared" si="21"/>
        <v>0</v>
      </c>
      <c r="Q55" s="446">
        <f t="shared" si="29"/>
        <v>0.0022</v>
      </c>
      <c r="R55" s="416">
        <f t="shared" si="14"/>
        <v>0</v>
      </c>
      <c r="S55" s="416">
        <f t="shared" si="36"/>
        <v>0</v>
      </c>
      <c r="T55" s="452">
        <f t="shared" si="15"/>
        <v>0</v>
      </c>
      <c r="U55" s="446">
        <f t="shared" si="30"/>
        <v>0.0022</v>
      </c>
      <c r="V55" s="416">
        <f t="shared" si="31"/>
        <v>0</v>
      </c>
      <c r="W55" s="416">
        <f t="shared" si="32"/>
        <v>0</v>
      </c>
      <c r="X55" s="1176">
        <f t="shared" si="22"/>
        <v>0</v>
      </c>
      <c r="Y55" s="446">
        <f t="shared" si="33"/>
        <v>0.0022</v>
      </c>
      <c r="Z55" s="416">
        <f t="shared" si="34"/>
        <v>0</v>
      </c>
      <c r="AA55" s="416">
        <f t="shared" si="35"/>
        <v>0</v>
      </c>
    </row>
    <row r="56" spans="1:27" ht="12.75">
      <c r="A56" s="400"/>
      <c r="C56" s="200" t="s">
        <v>621</v>
      </c>
      <c r="D56" s="336">
        <f t="shared" si="16"/>
        <v>0</v>
      </c>
      <c r="E56" s="446">
        <f t="shared" si="23"/>
        <v>0.0022</v>
      </c>
      <c r="F56" s="416">
        <f t="shared" si="17"/>
        <v>0</v>
      </c>
      <c r="G56" s="416">
        <f t="shared" si="24"/>
        <v>0</v>
      </c>
      <c r="H56" s="452">
        <f t="shared" si="18"/>
        <v>0</v>
      </c>
      <c r="I56" s="446">
        <f t="shared" si="25"/>
        <v>0.0022</v>
      </c>
      <c r="J56" s="416">
        <f t="shared" si="19"/>
        <v>0</v>
      </c>
      <c r="K56" s="416">
        <f t="shared" si="26"/>
        <v>0</v>
      </c>
      <c r="L56" s="452">
        <f t="shared" si="20"/>
        <v>0</v>
      </c>
      <c r="M56" s="446">
        <f t="shared" si="27"/>
        <v>0.0022</v>
      </c>
      <c r="N56" s="416">
        <f t="shared" si="13"/>
        <v>0</v>
      </c>
      <c r="O56" s="416">
        <f t="shared" si="28"/>
        <v>0</v>
      </c>
      <c r="P56" s="452">
        <f t="shared" si="21"/>
        <v>0</v>
      </c>
      <c r="Q56" s="446">
        <f t="shared" si="29"/>
        <v>0.0022</v>
      </c>
      <c r="R56" s="416">
        <f t="shared" si="14"/>
        <v>0</v>
      </c>
      <c r="S56" s="416">
        <f t="shared" si="36"/>
        <v>0</v>
      </c>
      <c r="T56" s="452">
        <f t="shared" si="15"/>
        <v>0</v>
      </c>
      <c r="U56" s="446">
        <f t="shared" si="30"/>
        <v>0.0022</v>
      </c>
      <c r="V56" s="416">
        <f t="shared" si="31"/>
        <v>0</v>
      </c>
      <c r="W56" s="416">
        <f t="shared" si="32"/>
        <v>0</v>
      </c>
      <c r="X56" s="1176">
        <f>+AB35</f>
        <v>0</v>
      </c>
      <c r="Y56" s="446">
        <f t="shared" si="33"/>
        <v>0.0022</v>
      </c>
      <c r="Z56" s="416">
        <f>X56*Y56</f>
        <v>0</v>
      </c>
      <c r="AA56" s="416">
        <f t="shared" si="35"/>
        <v>0</v>
      </c>
    </row>
    <row r="57" spans="3:27" ht="12.75">
      <c r="C57" s="200" t="s">
        <v>622</v>
      </c>
      <c r="D57" s="336">
        <f t="shared" si="16"/>
        <v>0</v>
      </c>
      <c r="E57" s="446">
        <f t="shared" si="23"/>
        <v>0.0022</v>
      </c>
      <c r="F57" s="416">
        <f t="shared" si="17"/>
        <v>0</v>
      </c>
      <c r="G57" s="416">
        <f t="shared" si="24"/>
        <v>0</v>
      </c>
      <c r="H57" s="452">
        <f t="shared" si="18"/>
        <v>0</v>
      </c>
      <c r="I57" s="446">
        <f t="shared" si="25"/>
        <v>0.0022</v>
      </c>
      <c r="J57" s="416">
        <f t="shared" si="19"/>
        <v>0</v>
      </c>
      <c r="K57" s="416">
        <f t="shared" si="26"/>
        <v>0</v>
      </c>
      <c r="L57" s="452">
        <f t="shared" si="20"/>
        <v>0</v>
      </c>
      <c r="M57" s="446">
        <f t="shared" si="27"/>
        <v>0.0022</v>
      </c>
      <c r="N57" s="416">
        <f t="shared" si="13"/>
        <v>0</v>
      </c>
      <c r="O57" s="416">
        <f t="shared" si="28"/>
        <v>0</v>
      </c>
      <c r="P57" s="452">
        <f t="shared" si="21"/>
        <v>0</v>
      </c>
      <c r="Q57" s="446">
        <f t="shared" si="29"/>
        <v>0.0022</v>
      </c>
      <c r="R57" s="416">
        <f t="shared" si="14"/>
        <v>0</v>
      </c>
      <c r="S57" s="416">
        <f t="shared" si="36"/>
        <v>0</v>
      </c>
      <c r="T57" s="452">
        <f t="shared" si="15"/>
        <v>0</v>
      </c>
      <c r="U57" s="446">
        <f t="shared" si="30"/>
        <v>0.0022</v>
      </c>
      <c r="V57" s="416">
        <f t="shared" si="31"/>
        <v>0</v>
      </c>
      <c r="W57" s="416">
        <f t="shared" si="32"/>
        <v>0</v>
      </c>
      <c r="X57" s="1176">
        <f t="shared" si="22"/>
        <v>0</v>
      </c>
      <c r="Y57" s="446">
        <f t="shared" si="33"/>
        <v>0.0022</v>
      </c>
      <c r="Z57" s="416">
        <f t="shared" si="34"/>
        <v>0</v>
      </c>
      <c r="AA57" s="416">
        <f t="shared" si="35"/>
        <v>0</v>
      </c>
    </row>
    <row r="58" spans="3:27" ht="12.75">
      <c r="C58" s="200" t="s">
        <v>623</v>
      </c>
      <c r="D58" s="336">
        <f t="shared" si="16"/>
        <v>0</v>
      </c>
      <c r="E58" s="446">
        <f t="shared" si="23"/>
        <v>0.0022</v>
      </c>
      <c r="F58" s="416">
        <f t="shared" si="17"/>
        <v>0</v>
      </c>
      <c r="G58" s="416">
        <f t="shared" si="24"/>
        <v>0</v>
      </c>
      <c r="H58" s="452">
        <f t="shared" si="18"/>
        <v>0</v>
      </c>
      <c r="I58" s="446">
        <f t="shared" si="25"/>
        <v>0.0022</v>
      </c>
      <c r="J58" s="416">
        <f t="shared" si="19"/>
        <v>0</v>
      </c>
      <c r="K58" s="416">
        <f t="shared" si="26"/>
        <v>0</v>
      </c>
      <c r="L58" s="452">
        <f t="shared" si="20"/>
        <v>0</v>
      </c>
      <c r="M58" s="446">
        <f t="shared" si="27"/>
        <v>0.0022</v>
      </c>
      <c r="N58" s="416">
        <f t="shared" si="13"/>
        <v>0</v>
      </c>
      <c r="O58" s="416">
        <f t="shared" si="28"/>
        <v>0</v>
      </c>
      <c r="P58" s="452">
        <f t="shared" si="21"/>
        <v>0</v>
      </c>
      <c r="Q58" s="446">
        <f t="shared" si="29"/>
        <v>0.0022</v>
      </c>
      <c r="R58" s="416">
        <f t="shared" si="14"/>
        <v>0</v>
      </c>
      <c r="S58" s="416">
        <f t="shared" si="36"/>
        <v>0</v>
      </c>
      <c r="T58" s="452">
        <f t="shared" si="15"/>
        <v>0</v>
      </c>
      <c r="U58" s="446">
        <f t="shared" si="30"/>
        <v>0.0022</v>
      </c>
      <c r="V58" s="416">
        <f t="shared" si="31"/>
        <v>0</v>
      </c>
      <c r="W58" s="416">
        <f t="shared" si="32"/>
        <v>0</v>
      </c>
      <c r="X58" s="1176">
        <f t="shared" si="22"/>
        <v>0</v>
      </c>
      <c r="Y58" s="446">
        <f t="shared" si="33"/>
        <v>0.0022</v>
      </c>
      <c r="Z58" s="416">
        <f t="shared" si="34"/>
        <v>0</v>
      </c>
      <c r="AA58" s="416">
        <f t="shared" si="35"/>
        <v>0</v>
      </c>
    </row>
    <row r="59" spans="3:27" ht="12.75">
      <c r="C59" s="200" t="s">
        <v>624</v>
      </c>
      <c r="D59" s="336">
        <f t="shared" si="16"/>
        <v>0</v>
      </c>
      <c r="E59" s="446">
        <f t="shared" si="23"/>
        <v>0.0022</v>
      </c>
      <c r="F59" s="416">
        <f t="shared" si="17"/>
        <v>0</v>
      </c>
      <c r="G59" s="416">
        <f t="shared" si="24"/>
        <v>0</v>
      </c>
      <c r="H59" s="452">
        <f t="shared" si="18"/>
        <v>0</v>
      </c>
      <c r="I59" s="446">
        <f t="shared" si="25"/>
        <v>0.0022</v>
      </c>
      <c r="J59" s="416">
        <f t="shared" si="19"/>
        <v>0</v>
      </c>
      <c r="K59" s="416">
        <f t="shared" si="26"/>
        <v>0</v>
      </c>
      <c r="L59" s="452">
        <f t="shared" si="20"/>
        <v>0</v>
      </c>
      <c r="M59" s="446">
        <f t="shared" si="27"/>
        <v>0.0022</v>
      </c>
      <c r="N59" s="416">
        <f t="shared" si="13"/>
        <v>0</v>
      </c>
      <c r="O59" s="416">
        <f t="shared" si="28"/>
        <v>0</v>
      </c>
      <c r="P59" s="452">
        <f t="shared" si="21"/>
        <v>0</v>
      </c>
      <c r="Q59" s="446">
        <f t="shared" si="29"/>
        <v>0.0022</v>
      </c>
      <c r="R59" s="416">
        <f t="shared" si="14"/>
        <v>0</v>
      </c>
      <c r="S59" s="416">
        <f t="shared" si="36"/>
        <v>0</v>
      </c>
      <c r="T59" s="452">
        <f t="shared" si="15"/>
        <v>0</v>
      </c>
      <c r="U59" s="446">
        <f t="shared" si="30"/>
        <v>0.0022</v>
      </c>
      <c r="V59" s="416">
        <f t="shared" si="31"/>
        <v>0</v>
      </c>
      <c r="W59" s="416">
        <f t="shared" si="32"/>
        <v>0</v>
      </c>
      <c r="X59" s="1176">
        <f t="shared" si="22"/>
        <v>0</v>
      </c>
      <c r="Y59" s="446">
        <f t="shared" si="33"/>
        <v>0.0022</v>
      </c>
      <c r="Z59" s="416">
        <f t="shared" si="34"/>
        <v>0</v>
      </c>
      <c r="AA59" s="416">
        <f t="shared" si="35"/>
        <v>0</v>
      </c>
    </row>
    <row r="60" spans="3:27" ht="12.75">
      <c r="C60" s="200" t="s">
        <v>625</v>
      </c>
      <c r="D60" s="336">
        <f t="shared" si="16"/>
        <v>0</v>
      </c>
      <c r="E60" s="446">
        <f t="shared" si="23"/>
        <v>0.0022</v>
      </c>
      <c r="F60" s="416">
        <f t="shared" si="17"/>
        <v>0</v>
      </c>
      <c r="G60" s="416">
        <f t="shared" si="24"/>
        <v>0</v>
      </c>
      <c r="H60" s="452">
        <f t="shared" si="18"/>
        <v>0</v>
      </c>
      <c r="I60" s="446">
        <f t="shared" si="25"/>
        <v>0.0022</v>
      </c>
      <c r="J60" s="416">
        <f t="shared" si="19"/>
        <v>0</v>
      </c>
      <c r="K60" s="416">
        <f t="shared" si="26"/>
        <v>0</v>
      </c>
      <c r="L60" s="452">
        <f t="shared" si="20"/>
        <v>0</v>
      </c>
      <c r="M60" s="446">
        <f t="shared" si="27"/>
        <v>0.0022</v>
      </c>
      <c r="N60" s="416">
        <f t="shared" si="13"/>
        <v>0</v>
      </c>
      <c r="O60" s="416">
        <f t="shared" si="28"/>
        <v>0</v>
      </c>
      <c r="P60" s="452">
        <f t="shared" si="21"/>
        <v>0</v>
      </c>
      <c r="Q60" s="446">
        <f t="shared" si="29"/>
        <v>0.0022</v>
      </c>
      <c r="R60" s="416">
        <f t="shared" si="14"/>
        <v>0</v>
      </c>
      <c r="S60" s="416">
        <f t="shared" si="36"/>
        <v>0</v>
      </c>
      <c r="T60" s="452">
        <f t="shared" si="15"/>
        <v>0</v>
      </c>
      <c r="U60" s="446">
        <f t="shared" si="30"/>
        <v>0.0022</v>
      </c>
      <c r="V60" s="416">
        <f t="shared" si="31"/>
        <v>0</v>
      </c>
      <c r="W60" s="416">
        <f t="shared" si="32"/>
        <v>0</v>
      </c>
      <c r="X60" s="1176">
        <f t="shared" si="22"/>
        <v>0</v>
      </c>
      <c r="Y60" s="446">
        <f t="shared" si="33"/>
        <v>0.0022</v>
      </c>
      <c r="Z60" s="416">
        <f t="shared" si="34"/>
        <v>0</v>
      </c>
      <c r="AA60" s="416">
        <f t="shared" si="35"/>
        <v>0</v>
      </c>
    </row>
    <row r="61" spans="3:27" ht="12.75">
      <c r="C61" s="200" t="s">
        <v>626</v>
      </c>
      <c r="D61" s="336">
        <f t="shared" si="16"/>
        <v>0</v>
      </c>
      <c r="E61" s="446">
        <f t="shared" si="23"/>
        <v>0.0022</v>
      </c>
      <c r="F61" s="416">
        <f t="shared" si="17"/>
        <v>0</v>
      </c>
      <c r="G61" s="416">
        <f t="shared" si="24"/>
        <v>0</v>
      </c>
      <c r="H61" s="452">
        <f t="shared" si="18"/>
        <v>0</v>
      </c>
      <c r="I61" s="446">
        <f t="shared" si="25"/>
        <v>0.0022</v>
      </c>
      <c r="J61" s="416">
        <f t="shared" si="19"/>
        <v>0</v>
      </c>
      <c r="K61" s="416">
        <f t="shared" si="26"/>
        <v>0</v>
      </c>
      <c r="L61" s="452">
        <f t="shared" si="20"/>
        <v>0</v>
      </c>
      <c r="M61" s="446">
        <f t="shared" si="27"/>
        <v>0.0022</v>
      </c>
      <c r="N61" s="416">
        <f t="shared" si="13"/>
        <v>0</v>
      </c>
      <c r="O61" s="416">
        <f t="shared" si="28"/>
        <v>0</v>
      </c>
      <c r="P61" s="452">
        <f t="shared" si="21"/>
        <v>0</v>
      </c>
      <c r="Q61" s="446">
        <f t="shared" si="29"/>
        <v>0.0022</v>
      </c>
      <c r="R61" s="416">
        <f t="shared" si="14"/>
        <v>0</v>
      </c>
      <c r="S61" s="416">
        <f t="shared" si="36"/>
        <v>0</v>
      </c>
      <c r="T61" s="452">
        <f t="shared" si="15"/>
        <v>0</v>
      </c>
      <c r="U61" s="446">
        <f t="shared" si="30"/>
        <v>0.0022</v>
      </c>
      <c r="V61" s="416">
        <f t="shared" si="31"/>
        <v>0</v>
      </c>
      <c r="W61" s="416">
        <f t="shared" si="32"/>
        <v>0</v>
      </c>
      <c r="X61" s="1176">
        <f t="shared" si="22"/>
        <v>0</v>
      </c>
      <c r="Y61" s="446">
        <f t="shared" si="33"/>
        <v>0.0022</v>
      </c>
      <c r="Z61" s="416">
        <f t="shared" si="34"/>
        <v>0</v>
      </c>
      <c r="AA61" s="416">
        <f t="shared" si="35"/>
        <v>0</v>
      </c>
    </row>
    <row r="62" spans="3:27" ht="12.75">
      <c r="C62" s="415" t="s">
        <v>627</v>
      </c>
      <c r="D62" s="560">
        <f t="shared" si="16"/>
        <v>0</v>
      </c>
      <c r="E62" s="447">
        <f t="shared" si="23"/>
        <v>0.0022</v>
      </c>
      <c r="F62" s="418">
        <f t="shared" si="17"/>
        <v>0</v>
      </c>
      <c r="G62" s="418">
        <f t="shared" si="24"/>
        <v>0</v>
      </c>
      <c r="H62" s="453">
        <f t="shared" si="18"/>
        <v>0</v>
      </c>
      <c r="I62" s="447">
        <f t="shared" si="25"/>
        <v>0.0022</v>
      </c>
      <c r="J62" s="418">
        <f t="shared" si="19"/>
        <v>0</v>
      </c>
      <c r="K62" s="418">
        <f t="shared" si="26"/>
        <v>0</v>
      </c>
      <c r="L62" s="453">
        <f t="shared" si="20"/>
        <v>0</v>
      </c>
      <c r="M62" s="447">
        <f t="shared" si="27"/>
        <v>0.0022</v>
      </c>
      <c r="N62" s="418">
        <f t="shared" si="13"/>
        <v>0</v>
      </c>
      <c r="O62" s="418">
        <f t="shared" si="28"/>
        <v>0</v>
      </c>
      <c r="P62" s="453">
        <f t="shared" si="21"/>
        <v>0</v>
      </c>
      <c r="Q62" s="447">
        <f t="shared" si="29"/>
        <v>0.0022</v>
      </c>
      <c r="R62" s="418">
        <f t="shared" si="14"/>
        <v>0</v>
      </c>
      <c r="S62" s="418">
        <f t="shared" si="36"/>
        <v>0</v>
      </c>
      <c r="T62" s="453">
        <f t="shared" si="15"/>
        <v>0</v>
      </c>
      <c r="U62" s="447">
        <f t="shared" si="30"/>
        <v>0.0022</v>
      </c>
      <c r="V62" s="418">
        <f t="shared" si="31"/>
        <v>0</v>
      </c>
      <c r="W62" s="418">
        <f t="shared" si="32"/>
        <v>0</v>
      </c>
      <c r="X62" s="1177">
        <f t="shared" si="22"/>
        <v>0</v>
      </c>
      <c r="Y62" s="447">
        <f t="shared" si="33"/>
        <v>0.0022</v>
      </c>
      <c r="Z62" s="418">
        <f t="shared" si="34"/>
        <v>0</v>
      </c>
      <c r="AA62" s="418">
        <f t="shared" si="35"/>
        <v>0</v>
      </c>
    </row>
    <row r="63" spans="3:27" ht="12.75">
      <c r="C63" s="200" t="s">
        <v>449</v>
      </c>
      <c r="D63" s="416"/>
      <c r="E63" s="416"/>
      <c r="F63" s="416">
        <f>SUM(F51:F62)</f>
        <v>0</v>
      </c>
      <c r="G63" s="416">
        <f>AVERAGE(G50:G62)</f>
        <v>0</v>
      </c>
      <c r="J63" s="416">
        <f>SUM(J51:J62)</f>
        <v>0</v>
      </c>
      <c r="K63" s="416">
        <f>AVERAGE(K50:K62)</f>
        <v>0</v>
      </c>
      <c r="N63" s="416">
        <f>SUM(N51:N62)</f>
        <v>0</v>
      </c>
      <c r="O63" s="416">
        <f>AVERAGE(O50:O62)</f>
        <v>0</v>
      </c>
      <c r="R63" s="416">
        <f>SUM(R51:R62)</f>
        <v>0</v>
      </c>
      <c r="S63" s="416">
        <f>AVERAGE(S50:S62)</f>
        <v>0</v>
      </c>
      <c r="V63" s="416">
        <f>SUM(V51:V62)</f>
        <v>0</v>
      </c>
      <c r="W63" s="416">
        <f>AVERAGE(W50:W62)</f>
        <v>0</v>
      </c>
      <c r="Z63" s="416">
        <f>SUM(Z51:Z62)</f>
        <v>0</v>
      </c>
      <c r="AA63" s="416">
        <f>AVERAGE(AA50:AA62)</f>
        <v>0</v>
      </c>
    </row>
    <row r="64" spans="2:11" ht="12.75">
      <c r="B64" s="200"/>
      <c r="G64" s="1345" t="s">
        <v>1092</v>
      </c>
      <c r="H64" s="416">
        <f>G63+K63+O63+S63+W63+AA63</f>
        <v>0</v>
      </c>
      <c r="I64" s="416" t="str">
        <f>"goes to line "&amp;'Appendix A'!$A$43&amp;" of the formula"</f>
        <v>goes to line 23 of the formula</v>
      </c>
      <c r="K64" s="412"/>
    </row>
    <row r="65" spans="6:9" ht="12.75">
      <c r="F65" s="416"/>
      <c r="G65" s="1345" t="s">
        <v>1093</v>
      </c>
      <c r="H65" s="416">
        <f>F63+J63+N63+R63+V63+Z63</f>
        <v>0</v>
      </c>
      <c r="I65" s="416" t="str">
        <f>"goes to line "&amp;'Appendix A'!$A$132&amp;" of the formula"</f>
        <v>goes to line 77 of the formula</v>
      </c>
    </row>
    <row r="66" spans="2:12" ht="12.75">
      <c r="B66" s="200"/>
      <c r="H66" s="416"/>
      <c r="I66" s="416"/>
      <c r="J66" s="416"/>
      <c r="K66" s="416"/>
      <c r="L66" s="416"/>
    </row>
    <row r="67" spans="1:5" ht="12.75">
      <c r="A67" s="408">
        <v>3</v>
      </c>
      <c r="B67" s="408" t="str">
        <f>+B24</f>
        <v>April</v>
      </c>
      <c r="C67" s="408" t="str">
        <f>+C24</f>
        <v>Year 2</v>
      </c>
      <c r="D67" s="410" t="str">
        <f>+D5</f>
        <v>TO adds 13 month average Cap Adds and retirements (line 14), CWIP (line 36) and associated depreciation (lines 23 and 77) to the Formula.</v>
      </c>
      <c r="E67" s="410"/>
    </row>
    <row r="68" spans="5:12" ht="12.75">
      <c r="E68" s="419"/>
      <c r="F68" s="200" t="s">
        <v>53</v>
      </c>
      <c r="G68" s="416"/>
      <c r="H68" s="408"/>
      <c r="I68" s="408"/>
      <c r="J68" s="408"/>
      <c r="K68" s="408"/>
      <c r="L68" s="416"/>
    </row>
    <row r="69" spans="4:12" ht="12.75">
      <c r="D69" s="419"/>
      <c r="E69" s="419"/>
      <c r="F69" s="408"/>
      <c r="G69" s="416"/>
      <c r="H69" s="408"/>
      <c r="I69" s="408"/>
      <c r="J69" s="408"/>
      <c r="K69" s="408"/>
      <c r="L69" s="416"/>
    </row>
    <row r="70" spans="1:4" ht="12.75">
      <c r="A70" s="408">
        <v>4</v>
      </c>
      <c r="B70" s="408" t="str">
        <f>+B6</f>
        <v>May</v>
      </c>
      <c r="C70" s="408" t="str">
        <f>+C67</f>
        <v>Year 2</v>
      </c>
      <c r="D70" s="200" t="str">
        <f>+D6</f>
        <v>Post results of Step 3 on PJM web site.</v>
      </c>
    </row>
    <row r="71" spans="4:7" ht="12.75">
      <c r="D71" s="840">
        <v>0</v>
      </c>
      <c r="F71" s="410" t="s">
        <v>269</v>
      </c>
      <c r="G71" s="419"/>
    </row>
    <row r="72" spans="4:5" ht="12.75">
      <c r="D72" s="273"/>
      <c r="E72" s="413"/>
    </row>
    <row r="73" spans="1:12" ht="12.75">
      <c r="A73" s="408">
        <f>+A7</f>
        <v>5</v>
      </c>
      <c r="B73" s="408" t="str">
        <f>+B7</f>
        <v>June</v>
      </c>
      <c r="C73" s="408" t="str">
        <f>+C7</f>
        <v>Year 2</v>
      </c>
      <c r="D73" s="410" t="str">
        <f>+D7</f>
        <v>Results of Step 3 go into effect.</v>
      </c>
      <c r="E73" s="410"/>
      <c r="H73" s="438"/>
      <c r="I73" s="438"/>
      <c r="J73" s="438"/>
      <c r="K73" s="438"/>
      <c r="L73" s="438"/>
    </row>
    <row r="74" spans="4:12" ht="12.75">
      <c r="D74" s="841"/>
      <c r="E74" s="419"/>
      <c r="H74" s="438"/>
      <c r="I74" s="438"/>
      <c r="J74" s="438"/>
      <c r="K74" s="438"/>
      <c r="L74" s="438"/>
    </row>
    <row r="75" spans="1:15" ht="12.75">
      <c r="A75" s="409"/>
      <c r="B75" s="409"/>
      <c r="C75" s="409"/>
      <c r="D75" s="329"/>
      <c r="E75" s="329"/>
      <c r="F75" s="329"/>
      <c r="G75" s="329"/>
      <c r="H75" s="329"/>
      <c r="K75" s="329"/>
      <c r="L75" s="329"/>
      <c r="M75" s="329"/>
      <c r="N75" s="329"/>
      <c r="O75" s="329"/>
    </row>
    <row r="76" spans="1:5" ht="12.75">
      <c r="A76" s="408">
        <f>+A8</f>
        <v>6</v>
      </c>
      <c r="B76" s="408" t="str">
        <f>+B8</f>
        <v>April</v>
      </c>
      <c r="C76" s="408" t="str">
        <f>+C8</f>
        <v>Year 3</v>
      </c>
      <c r="D76" s="200" t="str">
        <f>+D8</f>
        <v>TO populates the formula with Year 2 data from FERC Form 1.</v>
      </c>
      <c r="E76" s="410"/>
    </row>
    <row r="77" spans="4:5" ht="12.75">
      <c r="D77" s="960"/>
      <c r="E77" s="960"/>
    </row>
    <row r="78" spans="4:7" ht="12.75">
      <c r="D78" s="841"/>
      <c r="E78" s="200" t="s">
        <v>663</v>
      </c>
      <c r="G78" s="410" t="s">
        <v>270</v>
      </c>
    </row>
    <row r="79" spans="4:7" ht="12.75">
      <c r="D79" s="1161"/>
      <c r="G79" s="410"/>
    </row>
    <row r="80" spans="4:18" ht="12.75">
      <c r="D80" s="410" t="s">
        <v>375</v>
      </c>
      <c r="G80" s="410"/>
      <c r="O80" s="329"/>
      <c r="P80" s="329"/>
      <c r="R80" s="329"/>
    </row>
    <row r="81" spans="4:29" ht="12.75">
      <c r="D81" s="410"/>
      <c r="E81" s="410"/>
      <c r="T81" s="200" t="s">
        <v>844</v>
      </c>
      <c r="U81" s="200" t="s">
        <v>845</v>
      </c>
      <c r="V81" s="200" t="s">
        <v>846</v>
      </c>
      <c r="W81" s="200" t="s">
        <v>783</v>
      </c>
      <c r="X81" s="200" t="s">
        <v>847</v>
      </c>
      <c r="Y81" s="200" t="s">
        <v>856</v>
      </c>
      <c r="Z81" s="200" t="s">
        <v>857</v>
      </c>
      <c r="AA81" s="200" t="s">
        <v>858</v>
      </c>
      <c r="AB81" s="200" t="s">
        <v>851</v>
      </c>
      <c r="AC81" s="200" t="s">
        <v>859</v>
      </c>
    </row>
    <row r="82" spans="3:29" ht="12.75">
      <c r="C82" s="410"/>
      <c r="D82" s="200" t="s">
        <v>530</v>
      </c>
      <c r="E82" s="200" t="s">
        <v>531</v>
      </c>
      <c r="F82" s="200" t="s">
        <v>492</v>
      </c>
      <c r="G82" s="200" t="s">
        <v>532</v>
      </c>
      <c r="H82" s="200" t="s">
        <v>726</v>
      </c>
      <c r="I82" s="200" t="s">
        <v>145</v>
      </c>
      <c r="J82" s="200" t="s">
        <v>146</v>
      </c>
      <c r="K82" s="200" t="s">
        <v>728</v>
      </c>
      <c r="L82" s="200" t="s">
        <v>93</v>
      </c>
      <c r="M82" s="200" t="s">
        <v>123</v>
      </c>
      <c r="N82" s="200" t="s">
        <v>94</v>
      </c>
      <c r="O82" s="200" t="s">
        <v>780</v>
      </c>
      <c r="P82" s="200" t="s">
        <v>95</v>
      </c>
      <c r="Q82" s="200" t="s">
        <v>781</v>
      </c>
      <c r="R82" s="200" t="s">
        <v>96</v>
      </c>
      <c r="S82" s="200" t="s">
        <v>782</v>
      </c>
      <c r="T82" s="450" t="s">
        <v>727</v>
      </c>
      <c r="U82" s="414"/>
      <c r="V82" s="414"/>
      <c r="W82" s="414"/>
      <c r="X82" s="414"/>
      <c r="Y82" s="414"/>
      <c r="Z82" s="414"/>
      <c r="AA82" s="414"/>
      <c r="AB82" s="414"/>
      <c r="AC82" s="1182"/>
    </row>
    <row r="83" spans="1:30" ht="12" customHeight="1">
      <c r="A83" s="378"/>
      <c r="B83" s="329"/>
      <c r="C83" s="200"/>
      <c r="D83" s="1181" t="s">
        <v>871</v>
      </c>
      <c r="E83" s="408" t="s">
        <v>600</v>
      </c>
      <c r="F83" s="408" t="s">
        <v>874</v>
      </c>
      <c r="G83" s="408" t="s">
        <v>874</v>
      </c>
      <c r="H83" s="408" t="s">
        <v>874</v>
      </c>
      <c r="I83" s="408" t="s">
        <v>875</v>
      </c>
      <c r="J83" s="408" t="s">
        <v>875</v>
      </c>
      <c r="K83" s="408" t="s">
        <v>876</v>
      </c>
      <c r="L83" s="200" t="s">
        <v>110</v>
      </c>
      <c r="M83" s="408" t="s">
        <v>110</v>
      </c>
      <c r="N83" s="408" t="s">
        <v>850</v>
      </c>
      <c r="O83" s="408" t="s">
        <v>877</v>
      </c>
      <c r="P83" s="408" t="s">
        <v>850</v>
      </c>
      <c r="Q83" s="408" t="s">
        <v>868</v>
      </c>
      <c r="R83" s="408" t="s">
        <v>878</v>
      </c>
      <c r="S83" s="408" t="s">
        <v>868</v>
      </c>
      <c r="T83" s="1184" t="s">
        <v>871</v>
      </c>
      <c r="U83" s="1184" t="s">
        <v>874</v>
      </c>
      <c r="V83" s="1184" t="s">
        <v>879</v>
      </c>
      <c r="W83" s="1184" t="s">
        <v>875</v>
      </c>
      <c r="X83" s="1184" t="s">
        <v>875</v>
      </c>
      <c r="Y83" s="1184" t="s">
        <v>110</v>
      </c>
      <c r="Z83" s="1184" t="s">
        <v>850</v>
      </c>
      <c r="AA83" s="1184" t="s">
        <v>850</v>
      </c>
      <c r="AB83" s="1184" t="s">
        <v>868</v>
      </c>
      <c r="AC83" s="1184" t="s">
        <v>880</v>
      </c>
      <c r="AD83" s="200" t="s">
        <v>449</v>
      </c>
    </row>
    <row r="84" spans="1:29" ht="12" customHeight="1">
      <c r="A84" s="378"/>
      <c r="B84" s="329"/>
      <c r="C84" s="200"/>
      <c r="D84" s="1181" t="s">
        <v>119</v>
      </c>
      <c r="E84" s="408" t="s">
        <v>872</v>
      </c>
      <c r="F84" s="408" t="s">
        <v>873</v>
      </c>
      <c r="G84" s="408" t="s">
        <v>119</v>
      </c>
      <c r="H84" s="408" t="s">
        <v>872</v>
      </c>
      <c r="I84" s="408" t="s">
        <v>119</v>
      </c>
      <c r="J84" s="408" t="s">
        <v>872</v>
      </c>
      <c r="K84" s="408" t="s">
        <v>873</v>
      </c>
      <c r="L84" s="408" t="s">
        <v>119</v>
      </c>
      <c r="M84" s="408" t="s">
        <v>872</v>
      </c>
      <c r="N84" s="408" t="s">
        <v>119</v>
      </c>
      <c r="O84" s="408" t="s">
        <v>872</v>
      </c>
      <c r="P84" s="408" t="s">
        <v>873</v>
      </c>
      <c r="Q84" s="408" t="s">
        <v>119</v>
      </c>
      <c r="R84" s="408" t="s">
        <v>872</v>
      </c>
      <c r="S84" s="408" t="s">
        <v>873</v>
      </c>
      <c r="T84" s="1183" t="s">
        <v>119</v>
      </c>
      <c r="U84" s="1183" t="s">
        <v>873</v>
      </c>
      <c r="V84" s="1183" t="s">
        <v>119</v>
      </c>
      <c r="W84" s="1183" t="s">
        <v>119</v>
      </c>
      <c r="X84" s="1183" t="s">
        <v>873</v>
      </c>
      <c r="Y84" s="1183" t="s">
        <v>119</v>
      </c>
      <c r="Z84" s="1183" t="s">
        <v>119</v>
      </c>
      <c r="AA84" s="1183" t="s">
        <v>873</v>
      </c>
      <c r="AB84" s="1183" t="s">
        <v>119</v>
      </c>
      <c r="AC84" s="1183" t="s">
        <v>873</v>
      </c>
    </row>
    <row r="85" spans="1:32" ht="12.75">
      <c r="A85" s="378"/>
      <c r="B85" s="329"/>
      <c r="C85" s="200" t="s">
        <v>627</v>
      </c>
      <c r="D85" s="1181"/>
      <c r="E85" s="408"/>
      <c r="F85" s="408"/>
      <c r="G85" s="408"/>
      <c r="H85" s="408"/>
      <c r="I85" s="408"/>
      <c r="J85" s="408"/>
      <c r="K85" s="408"/>
      <c r="T85" s="451"/>
      <c r="U85" s="451">
        <v>0</v>
      </c>
      <c r="V85" s="451">
        <v>262950644.58900005</v>
      </c>
      <c r="W85" s="451">
        <v>155913692.679</v>
      </c>
      <c r="X85" s="451">
        <v>0</v>
      </c>
      <c r="Y85" s="451">
        <v>3158242</v>
      </c>
      <c r="Z85" s="451">
        <v>0</v>
      </c>
      <c r="AA85" s="451">
        <v>10679672.93</v>
      </c>
      <c r="AB85" s="451">
        <v>55070.79</v>
      </c>
      <c r="AC85" s="451">
        <v>3309257.5899999994</v>
      </c>
      <c r="AF85" s="1098"/>
    </row>
    <row r="86" spans="1:32" ht="15">
      <c r="A86" s="969"/>
      <c r="C86" s="200" t="s">
        <v>617</v>
      </c>
      <c r="D86" s="630">
        <v>205525.84</v>
      </c>
      <c r="E86" s="630">
        <v>-42900.32</v>
      </c>
      <c r="F86" s="630">
        <v>0</v>
      </c>
      <c r="G86" s="630">
        <v>0</v>
      </c>
      <c r="H86" s="690">
        <v>0</v>
      </c>
      <c r="I86" s="630">
        <v>0</v>
      </c>
      <c r="J86" s="690">
        <v>0</v>
      </c>
      <c r="K86" s="630">
        <v>0</v>
      </c>
      <c r="L86" s="690">
        <v>0</v>
      </c>
      <c r="M86" s="890">
        <v>0</v>
      </c>
      <c r="N86" s="890">
        <v>0</v>
      </c>
      <c r="O86" s="890">
        <v>0</v>
      </c>
      <c r="P86" s="890">
        <v>3223014.15</v>
      </c>
      <c r="Q86" s="890">
        <v>0</v>
      </c>
      <c r="R86" s="890">
        <v>0</v>
      </c>
      <c r="S86" s="890">
        <v>314562.94000000006</v>
      </c>
      <c r="T86" s="416">
        <f aca="true" t="shared" si="37" ref="T86:T97">T85+D86+E86</f>
        <v>162625.52</v>
      </c>
      <c r="U86" s="416">
        <f aca="true" t="shared" si="38" ref="U86:U97">U85+F86</f>
        <v>0</v>
      </c>
      <c r="V86" s="412">
        <f aca="true" t="shared" si="39" ref="V86:V97">V85+G86+H86</f>
        <v>262950644.58900005</v>
      </c>
      <c r="W86" s="412">
        <f aca="true" t="shared" si="40" ref="W86:W97">W85+I86+J86</f>
        <v>155913692.679</v>
      </c>
      <c r="X86" s="412">
        <f aca="true" t="shared" si="41" ref="X86:X97">X85+K86</f>
        <v>0</v>
      </c>
      <c r="Y86" s="416">
        <f aca="true" t="shared" si="42" ref="Y86:Y97">Y85+L86+M86</f>
        <v>3158242</v>
      </c>
      <c r="Z86" s="416">
        <f aca="true" t="shared" si="43" ref="Z86:Z97">Z85+N86+O86</f>
        <v>0</v>
      </c>
      <c r="AA86" s="416">
        <f aca="true" t="shared" si="44" ref="AA86:AA97">+AA85+P86</f>
        <v>13902687.08</v>
      </c>
      <c r="AB86" s="416">
        <f>AB85+Q86+R86</f>
        <v>55070.79</v>
      </c>
      <c r="AC86" s="416">
        <f>+AC85+S86</f>
        <v>3623820.5299999993</v>
      </c>
      <c r="AF86" s="1002"/>
    </row>
    <row r="87" spans="1:29" ht="12.75">
      <c r="A87" s="810"/>
      <c r="C87" s="200" t="s">
        <v>618</v>
      </c>
      <c r="D87" s="630">
        <v>1018021.8000000002</v>
      </c>
      <c r="E87" s="630">
        <v>-71763.45999999999</v>
      </c>
      <c r="F87" s="630">
        <v>0</v>
      </c>
      <c r="G87" s="630">
        <v>0</v>
      </c>
      <c r="H87" s="690">
        <v>0</v>
      </c>
      <c r="I87" s="630">
        <v>0</v>
      </c>
      <c r="J87" s="690">
        <v>0</v>
      </c>
      <c r="K87" s="630">
        <v>0</v>
      </c>
      <c r="L87" s="690">
        <f>+L86</f>
        <v>0</v>
      </c>
      <c r="M87" s="890">
        <v>0</v>
      </c>
      <c r="N87" s="890">
        <v>0</v>
      </c>
      <c r="O87" s="890">
        <v>0</v>
      </c>
      <c r="P87" s="890">
        <v>4310981.870000001</v>
      </c>
      <c r="Q87" s="890">
        <v>0</v>
      </c>
      <c r="R87" s="890">
        <v>0</v>
      </c>
      <c r="S87" s="890">
        <v>78525.97000000002</v>
      </c>
      <c r="T87" s="416">
        <f t="shared" si="37"/>
        <v>1108883.86</v>
      </c>
      <c r="U87" s="416">
        <f t="shared" si="38"/>
        <v>0</v>
      </c>
      <c r="V87" s="412">
        <f t="shared" si="39"/>
        <v>262950644.58900005</v>
      </c>
      <c r="W87" s="412">
        <f t="shared" si="40"/>
        <v>155913692.679</v>
      </c>
      <c r="X87" s="412">
        <f t="shared" si="41"/>
        <v>0</v>
      </c>
      <c r="Y87" s="416">
        <f t="shared" si="42"/>
        <v>3158242</v>
      </c>
      <c r="Z87" s="416">
        <f t="shared" si="43"/>
        <v>0</v>
      </c>
      <c r="AA87" s="416">
        <f t="shared" si="44"/>
        <v>18213668.950000003</v>
      </c>
      <c r="AB87" s="416">
        <f>AB86+Q87+R87</f>
        <v>55070.79</v>
      </c>
      <c r="AC87" s="416">
        <f aca="true" t="shared" si="45" ref="AC87:AC96">+AC86+S87</f>
        <v>3702346.4999999995</v>
      </c>
    </row>
    <row r="88" spans="1:29" ht="12.75">
      <c r="A88" s="810"/>
      <c r="C88" s="200" t="s">
        <v>619</v>
      </c>
      <c r="D88" s="630">
        <v>-118002.8600000001</v>
      </c>
      <c r="E88" s="630">
        <v>-316976.04000000004</v>
      </c>
      <c r="F88" s="630">
        <v>0</v>
      </c>
      <c r="G88" s="630">
        <v>0</v>
      </c>
      <c r="H88" s="690">
        <v>0</v>
      </c>
      <c r="I88" s="630">
        <v>0</v>
      </c>
      <c r="J88" s="690">
        <v>0</v>
      </c>
      <c r="K88" s="630">
        <v>0</v>
      </c>
      <c r="L88" s="690">
        <v>0</v>
      </c>
      <c r="M88" s="890">
        <v>0</v>
      </c>
      <c r="N88" s="890">
        <v>0</v>
      </c>
      <c r="O88" s="890">
        <v>0</v>
      </c>
      <c r="P88" s="890">
        <v>4354890.8</v>
      </c>
      <c r="Q88" s="890">
        <v>0</v>
      </c>
      <c r="R88" s="890">
        <v>0</v>
      </c>
      <c r="S88" s="890">
        <v>141924.82</v>
      </c>
      <c r="T88" s="416">
        <f t="shared" si="37"/>
        <v>673904.96</v>
      </c>
      <c r="U88" s="416">
        <f t="shared" si="38"/>
        <v>0</v>
      </c>
      <c r="V88" s="412">
        <f t="shared" si="39"/>
        <v>262950644.58900005</v>
      </c>
      <c r="W88" s="412">
        <f t="shared" si="40"/>
        <v>155913692.679</v>
      </c>
      <c r="X88" s="412">
        <f t="shared" si="41"/>
        <v>0</v>
      </c>
      <c r="Y88" s="416">
        <f t="shared" si="42"/>
        <v>3158242</v>
      </c>
      <c r="Z88" s="416">
        <f t="shared" si="43"/>
        <v>0</v>
      </c>
      <c r="AA88" s="416">
        <f t="shared" si="44"/>
        <v>22568559.750000004</v>
      </c>
      <c r="AB88" s="416">
        <f aca="true" t="shared" si="46" ref="AB88:AB97">AB87+Q88+R88</f>
        <v>55070.79</v>
      </c>
      <c r="AC88" s="416">
        <f t="shared" si="45"/>
        <v>3844271.3199999994</v>
      </c>
    </row>
    <row r="89" spans="1:32" ht="15">
      <c r="A89" s="810"/>
      <c r="C89" s="200" t="s">
        <v>620</v>
      </c>
      <c r="D89" s="630">
        <v>1614120.5799999994</v>
      </c>
      <c r="E89" s="630">
        <v>-551119.6900000001</v>
      </c>
      <c r="F89" s="630">
        <v>0</v>
      </c>
      <c r="G89" s="630">
        <v>0</v>
      </c>
      <c r="H89" s="690">
        <v>0</v>
      </c>
      <c r="I89" s="630">
        <v>0</v>
      </c>
      <c r="J89" s="690">
        <v>0</v>
      </c>
      <c r="K89" s="630">
        <v>0</v>
      </c>
      <c r="L89" s="690">
        <v>0</v>
      </c>
      <c r="M89" s="890">
        <v>0</v>
      </c>
      <c r="N89" s="890">
        <v>813418.9</v>
      </c>
      <c r="O89" s="890">
        <v>0</v>
      </c>
      <c r="P89" s="890">
        <v>2951436.6500000004</v>
      </c>
      <c r="Q89" s="890">
        <v>0</v>
      </c>
      <c r="R89" s="890">
        <v>0</v>
      </c>
      <c r="S89" s="890">
        <v>372836.14999999997</v>
      </c>
      <c r="T89" s="416">
        <f t="shared" si="37"/>
        <v>1736905.8499999992</v>
      </c>
      <c r="U89" s="416">
        <f t="shared" si="38"/>
        <v>0</v>
      </c>
      <c r="V89" s="412">
        <f t="shared" si="39"/>
        <v>262950644.58900005</v>
      </c>
      <c r="W89" s="412">
        <f t="shared" si="40"/>
        <v>155913692.679</v>
      </c>
      <c r="X89" s="412">
        <f t="shared" si="41"/>
        <v>0</v>
      </c>
      <c r="Y89" s="416">
        <f t="shared" si="42"/>
        <v>3158242</v>
      </c>
      <c r="Z89" s="416">
        <f t="shared" si="43"/>
        <v>813418.9</v>
      </c>
      <c r="AA89" s="416">
        <f t="shared" si="44"/>
        <v>25519996.400000006</v>
      </c>
      <c r="AB89" s="416">
        <f t="shared" si="46"/>
        <v>55070.79</v>
      </c>
      <c r="AC89" s="416">
        <f>+AC88+S89</f>
        <v>4217107.47</v>
      </c>
      <c r="AF89" s="1001"/>
    </row>
    <row r="90" spans="1:32" ht="15">
      <c r="A90" s="810"/>
      <c r="C90" s="200" t="s">
        <v>615</v>
      </c>
      <c r="D90" s="630">
        <v>11742002.799999999</v>
      </c>
      <c r="E90" s="630">
        <v>-58551.69</v>
      </c>
      <c r="F90" s="630">
        <v>0</v>
      </c>
      <c r="G90" s="630">
        <v>0</v>
      </c>
      <c r="H90" s="690">
        <v>0</v>
      </c>
      <c r="I90" s="630">
        <v>0</v>
      </c>
      <c r="J90" s="690">
        <v>0</v>
      </c>
      <c r="K90" s="630">
        <v>0</v>
      </c>
      <c r="L90" s="690">
        <v>0</v>
      </c>
      <c r="M90" s="890">
        <v>0</v>
      </c>
      <c r="N90" s="890">
        <v>986450.41</v>
      </c>
      <c r="O90" s="890">
        <v>0</v>
      </c>
      <c r="P90" s="890">
        <v>59335.74000000011</v>
      </c>
      <c r="Q90" s="890">
        <v>0</v>
      </c>
      <c r="R90" s="890">
        <v>0</v>
      </c>
      <c r="S90" s="890">
        <v>28650.51</v>
      </c>
      <c r="T90" s="416">
        <f t="shared" si="37"/>
        <v>13420356.959999999</v>
      </c>
      <c r="U90" s="416">
        <f t="shared" si="38"/>
        <v>0</v>
      </c>
      <c r="V90" s="412">
        <f t="shared" si="39"/>
        <v>262950644.58900005</v>
      </c>
      <c r="W90" s="412">
        <f t="shared" si="40"/>
        <v>155913692.679</v>
      </c>
      <c r="X90" s="412">
        <f t="shared" si="41"/>
        <v>0</v>
      </c>
      <c r="Y90" s="416">
        <f t="shared" si="42"/>
        <v>3158242</v>
      </c>
      <c r="Z90" s="416">
        <f t="shared" si="43"/>
        <v>1799869.31</v>
      </c>
      <c r="AA90" s="416">
        <f t="shared" si="44"/>
        <v>25579332.140000004</v>
      </c>
      <c r="AB90" s="416">
        <f t="shared" si="46"/>
        <v>55070.79</v>
      </c>
      <c r="AC90" s="416">
        <f t="shared" si="45"/>
        <v>4245757.9799999995</v>
      </c>
      <c r="AF90" s="1002"/>
    </row>
    <row r="91" spans="1:29" ht="12.75">
      <c r="A91" s="810"/>
      <c r="C91" s="200" t="s">
        <v>621</v>
      </c>
      <c r="D91" s="630">
        <v>5855399.310000001</v>
      </c>
      <c r="E91" s="630">
        <v>-2015.19</v>
      </c>
      <c r="F91" s="630">
        <v>0</v>
      </c>
      <c r="G91" s="630">
        <v>0</v>
      </c>
      <c r="H91" s="690">
        <v>0</v>
      </c>
      <c r="I91" s="630">
        <v>0</v>
      </c>
      <c r="J91" s="690">
        <v>0</v>
      </c>
      <c r="K91" s="630">
        <v>0</v>
      </c>
      <c r="L91" s="690">
        <v>0</v>
      </c>
      <c r="M91" s="890">
        <v>0</v>
      </c>
      <c r="N91" s="890">
        <v>13504087.589999998</v>
      </c>
      <c r="O91" s="890">
        <v>0</v>
      </c>
      <c r="P91" s="890">
        <v>-13377299.109999998</v>
      </c>
      <c r="Q91" s="890">
        <v>0</v>
      </c>
      <c r="R91" s="890">
        <v>0</v>
      </c>
      <c r="S91" s="890">
        <v>47947.2</v>
      </c>
      <c r="T91" s="416">
        <f t="shared" si="37"/>
        <v>19273741.08</v>
      </c>
      <c r="U91" s="416">
        <f t="shared" si="38"/>
        <v>0</v>
      </c>
      <c r="V91" s="412">
        <f t="shared" si="39"/>
        <v>262950644.58900005</v>
      </c>
      <c r="W91" s="412">
        <f t="shared" si="40"/>
        <v>155913692.679</v>
      </c>
      <c r="X91" s="412">
        <f t="shared" si="41"/>
        <v>0</v>
      </c>
      <c r="Y91" s="416">
        <f t="shared" si="42"/>
        <v>3158242</v>
      </c>
      <c r="Z91" s="416">
        <f t="shared" si="43"/>
        <v>15303956.899999999</v>
      </c>
      <c r="AA91" s="416">
        <f t="shared" si="44"/>
        <v>12202033.030000007</v>
      </c>
      <c r="AB91" s="416">
        <f t="shared" si="46"/>
        <v>55070.79</v>
      </c>
      <c r="AC91" s="416">
        <f t="shared" si="45"/>
        <v>4293705.18</v>
      </c>
    </row>
    <row r="92" spans="1:29" ht="12.75">
      <c r="A92" s="810"/>
      <c r="C92" s="200" t="s">
        <v>622</v>
      </c>
      <c r="D92" s="630">
        <v>580682.8899999987</v>
      </c>
      <c r="E92" s="630">
        <v>-759893.78</v>
      </c>
      <c r="F92" s="630">
        <v>0</v>
      </c>
      <c r="G92" s="630">
        <v>0</v>
      </c>
      <c r="H92" s="690">
        <v>0</v>
      </c>
      <c r="I92" s="630">
        <v>0</v>
      </c>
      <c r="J92" s="690">
        <v>0</v>
      </c>
      <c r="K92" s="630">
        <v>0</v>
      </c>
      <c r="L92" s="690">
        <v>0</v>
      </c>
      <c r="M92" s="890">
        <v>0</v>
      </c>
      <c r="N92" s="890">
        <v>3000.0000000000005</v>
      </c>
      <c r="O92" s="890">
        <v>0</v>
      </c>
      <c r="P92" s="890">
        <v>54703.89</v>
      </c>
      <c r="Q92" s="890">
        <v>0</v>
      </c>
      <c r="R92" s="890">
        <v>0</v>
      </c>
      <c r="S92" s="890">
        <v>123301.79999999999</v>
      </c>
      <c r="T92" s="416">
        <f t="shared" si="37"/>
        <v>19094530.189999998</v>
      </c>
      <c r="U92" s="416">
        <f t="shared" si="38"/>
        <v>0</v>
      </c>
      <c r="V92" s="412">
        <f t="shared" si="39"/>
        <v>262950644.58900005</v>
      </c>
      <c r="W92" s="412">
        <f t="shared" si="40"/>
        <v>155913692.679</v>
      </c>
      <c r="X92" s="412">
        <f t="shared" si="41"/>
        <v>0</v>
      </c>
      <c r="Y92" s="416">
        <f t="shared" si="42"/>
        <v>3158242</v>
      </c>
      <c r="Z92" s="416">
        <f t="shared" si="43"/>
        <v>15306956.899999999</v>
      </c>
      <c r="AA92" s="416">
        <f t="shared" si="44"/>
        <v>12256736.920000007</v>
      </c>
      <c r="AB92" s="416">
        <f t="shared" si="46"/>
        <v>55070.79</v>
      </c>
      <c r="AC92" s="416">
        <f t="shared" si="45"/>
        <v>4417006.9799999995</v>
      </c>
    </row>
    <row r="93" spans="1:29" ht="12.75">
      <c r="A93" s="810"/>
      <c r="C93" s="200" t="s">
        <v>623</v>
      </c>
      <c r="D93" s="630">
        <v>1168918.0999999978</v>
      </c>
      <c r="E93" s="630">
        <v>-715513.51</v>
      </c>
      <c r="F93" s="630">
        <v>0</v>
      </c>
      <c r="G93" s="630">
        <v>0</v>
      </c>
      <c r="H93" s="690">
        <v>0</v>
      </c>
      <c r="I93" s="630">
        <v>0</v>
      </c>
      <c r="J93" s="690">
        <v>0</v>
      </c>
      <c r="K93" s="630">
        <v>0</v>
      </c>
      <c r="L93" s="690">
        <v>0</v>
      </c>
      <c r="M93" s="890">
        <v>0</v>
      </c>
      <c r="N93" s="890">
        <v>248647.31</v>
      </c>
      <c r="O93" s="890">
        <v>0</v>
      </c>
      <c r="P93" s="890">
        <v>-204083.16999999998</v>
      </c>
      <c r="Q93" s="890">
        <v>90672.51</v>
      </c>
      <c r="R93" s="890">
        <v>0</v>
      </c>
      <c r="S93" s="890">
        <v>48787.90999999999</v>
      </c>
      <c r="T93" s="416">
        <f t="shared" si="37"/>
        <v>19547934.779999994</v>
      </c>
      <c r="U93" s="416">
        <f t="shared" si="38"/>
        <v>0</v>
      </c>
      <c r="V93" s="412">
        <f t="shared" si="39"/>
        <v>262950644.58900005</v>
      </c>
      <c r="W93" s="412">
        <f t="shared" si="40"/>
        <v>155913692.679</v>
      </c>
      <c r="X93" s="412">
        <f t="shared" si="41"/>
        <v>0</v>
      </c>
      <c r="Y93" s="416">
        <f t="shared" si="42"/>
        <v>3158242</v>
      </c>
      <c r="Z93" s="416">
        <f t="shared" si="43"/>
        <v>15555604.209999999</v>
      </c>
      <c r="AA93" s="416">
        <f t="shared" si="44"/>
        <v>12052653.750000007</v>
      </c>
      <c r="AB93" s="416">
        <f t="shared" si="46"/>
        <v>145743.3</v>
      </c>
      <c r="AC93" s="416">
        <f t="shared" si="45"/>
        <v>4465794.89</v>
      </c>
    </row>
    <row r="94" spans="1:29" ht="12.75">
      <c r="A94" s="810"/>
      <c r="C94" s="200" t="s">
        <v>624</v>
      </c>
      <c r="D94" s="630">
        <v>114372.13000000079</v>
      </c>
      <c r="E94" s="630">
        <v>-46296.63</v>
      </c>
      <c r="F94" s="630">
        <v>0</v>
      </c>
      <c r="G94" s="630">
        <v>0</v>
      </c>
      <c r="H94" s="690">
        <v>0</v>
      </c>
      <c r="I94" s="630">
        <v>0</v>
      </c>
      <c r="J94" s="690">
        <v>0</v>
      </c>
      <c r="K94" s="630">
        <v>0</v>
      </c>
      <c r="L94" s="690">
        <v>0</v>
      </c>
      <c r="M94" s="890">
        <v>0</v>
      </c>
      <c r="N94" s="890">
        <v>163626.2</v>
      </c>
      <c r="O94" s="890">
        <v>0</v>
      </c>
      <c r="P94" s="890">
        <v>184633.68</v>
      </c>
      <c r="Q94" s="890">
        <v>0</v>
      </c>
      <c r="R94" s="890">
        <v>0</v>
      </c>
      <c r="S94" s="890">
        <v>565008.54</v>
      </c>
      <c r="T94" s="416">
        <f>T93+D94+E94</f>
        <v>19616010.279999994</v>
      </c>
      <c r="U94" s="416">
        <f t="shared" si="38"/>
        <v>0</v>
      </c>
      <c r="V94" s="412">
        <f t="shared" si="39"/>
        <v>262950644.58900005</v>
      </c>
      <c r="W94" s="412">
        <f t="shared" si="40"/>
        <v>155913692.679</v>
      </c>
      <c r="X94" s="412">
        <f t="shared" si="41"/>
        <v>0</v>
      </c>
      <c r="Y94" s="416">
        <f t="shared" si="42"/>
        <v>3158242</v>
      </c>
      <c r="Z94" s="416">
        <f t="shared" si="43"/>
        <v>15719230.409999998</v>
      </c>
      <c r="AA94" s="416">
        <f t="shared" si="44"/>
        <v>12237287.430000007</v>
      </c>
      <c r="AB94" s="416">
        <f t="shared" si="46"/>
        <v>145743.3</v>
      </c>
      <c r="AC94" s="416">
        <f>+AC93+S94</f>
        <v>5030803.43</v>
      </c>
    </row>
    <row r="95" spans="1:29" ht="12.75">
      <c r="A95" s="810"/>
      <c r="C95" s="200" t="s">
        <v>625</v>
      </c>
      <c r="D95" s="630">
        <v>1242040.8199999987</v>
      </c>
      <c r="E95" s="630">
        <v>-1843652.77</v>
      </c>
      <c r="F95" s="630">
        <v>0</v>
      </c>
      <c r="G95" s="630">
        <v>0</v>
      </c>
      <c r="H95" s="690">
        <v>0</v>
      </c>
      <c r="I95" s="630">
        <v>0</v>
      </c>
      <c r="J95" s="690">
        <v>0</v>
      </c>
      <c r="K95" s="630">
        <v>0</v>
      </c>
      <c r="L95" s="690">
        <v>0</v>
      </c>
      <c r="M95" s="890">
        <v>0</v>
      </c>
      <c r="N95" s="890">
        <v>246344.42999999784</v>
      </c>
      <c r="O95" s="890">
        <v>0</v>
      </c>
      <c r="P95" s="890">
        <v>223726.18000000215</v>
      </c>
      <c r="Q95" s="890">
        <v>505</v>
      </c>
      <c r="R95" s="890">
        <v>0</v>
      </c>
      <c r="S95" s="890">
        <v>3039730.02</v>
      </c>
      <c r="T95" s="416">
        <f t="shared" si="37"/>
        <v>19014398.329999994</v>
      </c>
      <c r="U95" s="416">
        <f t="shared" si="38"/>
        <v>0</v>
      </c>
      <c r="V95" s="412">
        <f t="shared" si="39"/>
        <v>262950644.58900005</v>
      </c>
      <c r="W95" s="412">
        <f t="shared" si="40"/>
        <v>155913692.679</v>
      </c>
      <c r="X95" s="412">
        <f t="shared" si="41"/>
        <v>0</v>
      </c>
      <c r="Y95" s="416">
        <f t="shared" si="42"/>
        <v>3158242</v>
      </c>
      <c r="Z95" s="416">
        <f t="shared" si="43"/>
        <v>15965574.839999996</v>
      </c>
      <c r="AA95" s="416">
        <f t="shared" si="44"/>
        <v>12461013.610000009</v>
      </c>
      <c r="AB95" s="416">
        <f t="shared" si="46"/>
        <v>146248.3</v>
      </c>
      <c r="AC95" s="416">
        <f t="shared" si="45"/>
        <v>8070533.449999999</v>
      </c>
    </row>
    <row r="96" spans="1:29" ht="12.75">
      <c r="A96" s="810"/>
      <c r="C96" s="200" t="s">
        <v>626</v>
      </c>
      <c r="D96" s="630">
        <v>1959105.479999995</v>
      </c>
      <c r="E96" s="630">
        <v>-141674.48</v>
      </c>
      <c r="F96" s="630">
        <v>0</v>
      </c>
      <c r="G96" s="630">
        <v>0</v>
      </c>
      <c r="H96" s="690">
        <v>0</v>
      </c>
      <c r="I96" s="630">
        <v>0</v>
      </c>
      <c r="J96" s="690">
        <v>0</v>
      </c>
      <c r="K96" s="630">
        <v>0</v>
      </c>
      <c r="L96" s="690">
        <v>0</v>
      </c>
      <c r="M96" s="890">
        <v>0</v>
      </c>
      <c r="N96" s="890">
        <v>-457844.86000000004</v>
      </c>
      <c r="O96" s="890">
        <v>0</v>
      </c>
      <c r="P96" s="890">
        <v>248885.19</v>
      </c>
      <c r="Q96" s="890">
        <v>0</v>
      </c>
      <c r="R96" s="890">
        <v>0</v>
      </c>
      <c r="S96" s="890">
        <v>790528.28</v>
      </c>
      <c r="T96" s="416">
        <f>T95+D96+E96</f>
        <v>20831829.32999999</v>
      </c>
      <c r="U96" s="416">
        <f t="shared" si="38"/>
        <v>0</v>
      </c>
      <c r="V96" s="412">
        <f t="shared" si="39"/>
        <v>262950644.58900005</v>
      </c>
      <c r="W96" s="412">
        <f t="shared" si="40"/>
        <v>155913692.679</v>
      </c>
      <c r="X96" s="412">
        <f t="shared" si="41"/>
        <v>0</v>
      </c>
      <c r="Y96" s="416">
        <f t="shared" si="42"/>
        <v>3158242</v>
      </c>
      <c r="Z96" s="416">
        <f t="shared" si="43"/>
        <v>15507729.979999997</v>
      </c>
      <c r="AA96" s="416">
        <f t="shared" si="44"/>
        <v>12709898.800000008</v>
      </c>
      <c r="AB96" s="416">
        <f t="shared" si="46"/>
        <v>146248.3</v>
      </c>
      <c r="AC96" s="416">
        <f t="shared" si="45"/>
        <v>8861061.729999999</v>
      </c>
    </row>
    <row r="97" spans="1:30" ht="12.75">
      <c r="A97" s="810"/>
      <c r="C97" s="415" t="s">
        <v>627</v>
      </c>
      <c r="D97" s="631">
        <v>4727797.1899999995</v>
      </c>
      <c r="E97" s="631">
        <v>-21897.74</v>
      </c>
      <c r="F97" s="631">
        <v>0</v>
      </c>
      <c r="G97" s="631">
        <v>0</v>
      </c>
      <c r="H97" s="809">
        <v>0</v>
      </c>
      <c r="I97" s="631">
        <v>0</v>
      </c>
      <c r="J97" s="809">
        <v>0</v>
      </c>
      <c r="K97" s="631">
        <v>0</v>
      </c>
      <c r="L97" s="809">
        <v>0</v>
      </c>
      <c r="M97" s="809">
        <v>0</v>
      </c>
      <c r="N97" s="809">
        <v>7057991.58</v>
      </c>
      <c r="O97" s="809">
        <v>0</v>
      </c>
      <c r="P97" s="809">
        <v>-8642800.25</v>
      </c>
      <c r="Q97" s="809">
        <v>1113925.38</v>
      </c>
      <c r="R97" s="809">
        <v>0</v>
      </c>
      <c r="S97" s="809">
        <v>-660409.1299999999</v>
      </c>
      <c r="T97" s="418">
        <f t="shared" si="37"/>
        <v>25537728.77999999</v>
      </c>
      <c r="U97" s="418">
        <f t="shared" si="38"/>
        <v>0</v>
      </c>
      <c r="V97" s="417">
        <f t="shared" si="39"/>
        <v>262950644.58900005</v>
      </c>
      <c r="W97" s="417">
        <f t="shared" si="40"/>
        <v>155913692.679</v>
      </c>
      <c r="X97" s="417">
        <f t="shared" si="41"/>
        <v>0</v>
      </c>
      <c r="Y97" s="418">
        <f t="shared" si="42"/>
        <v>3158242</v>
      </c>
      <c r="Z97" s="418">
        <f t="shared" si="43"/>
        <v>22565721.559999995</v>
      </c>
      <c r="AA97" s="418">
        <f t="shared" si="44"/>
        <v>4067098.550000008</v>
      </c>
      <c r="AB97" s="418">
        <f t="shared" si="46"/>
        <v>1260173.68</v>
      </c>
      <c r="AC97" s="418">
        <f>+AC96+S97</f>
        <v>8200652.599999999</v>
      </c>
      <c r="AD97" s="415"/>
    </row>
    <row r="98" spans="1:30" ht="12.75">
      <c r="A98" s="810"/>
      <c r="C98" s="200" t="s">
        <v>449</v>
      </c>
      <c r="D98" s="416">
        <f>SUM(D86:D97)</f>
        <v>30109984.07999999</v>
      </c>
      <c r="E98" s="416">
        <f>SUM(E86:E97)</f>
        <v>-4572255.300000001</v>
      </c>
      <c r="F98" s="416">
        <f>SUM(F86:F97)</f>
        <v>0</v>
      </c>
      <c r="G98" s="416">
        <f>SUM(G86:G97)</f>
        <v>0</v>
      </c>
      <c r="H98" s="412"/>
      <c r="I98" s="416">
        <f aca="true" t="shared" si="47" ref="I98:S98">SUM(I86:I97)</f>
        <v>0</v>
      </c>
      <c r="J98" s="416">
        <f t="shared" si="47"/>
        <v>0</v>
      </c>
      <c r="K98" s="416">
        <f t="shared" si="47"/>
        <v>0</v>
      </c>
      <c r="L98" s="416">
        <f t="shared" si="47"/>
        <v>0</v>
      </c>
      <c r="M98" s="416">
        <f t="shared" si="47"/>
        <v>0</v>
      </c>
      <c r="N98" s="416">
        <f t="shared" si="47"/>
        <v>22565721.559999995</v>
      </c>
      <c r="O98" s="416">
        <f t="shared" si="47"/>
        <v>0</v>
      </c>
      <c r="P98" s="416">
        <f t="shared" si="47"/>
        <v>-6612574.379999995</v>
      </c>
      <c r="Q98" s="416">
        <f t="shared" si="47"/>
        <v>1205102.89</v>
      </c>
      <c r="R98" s="416">
        <f t="shared" si="47"/>
        <v>0</v>
      </c>
      <c r="S98" s="416">
        <f t="shared" si="47"/>
        <v>4891395.010000001</v>
      </c>
      <c r="T98" s="416">
        <f aca="true" t="shared" si="48" ref="T98:Z98">AVERAGE(T85:T97)</f>
        <v>13334904.159999998</v>
      </c>
      <c r="U98" s="416">
        <f t="shared" si="48"/>
        <v>0</v>
      </c>
      <c r="V98" s="416">
        <f t="shared" si="48"/>
        <v>262950644.58900008</v>
      </c>
      <c r="W98" s="416">
        <f t="shared" si="48"/>
        <v>155913692.67899996</v>
      </c>
      <c r="X98" s="416">
        <f t="shared" si="48"/>
        <v>0</v>
      </c>
      <c r="Y98" s="416">
        <f t="shared" si="48"/>
        <v>3158242</v>
      </c>
      <c r="Z98" s="416">
        <f t="shared" si="48"/>
        <v>9118312.539230768</v>
      </c>
      <c r="AA98" s="416">
        <f>AVERAGE(AA85:AA97)</f>
        <v>14957741.487692313</v>
      </c>
      <c r="AB98" s="416">
        <f>AVERAGE(AB85:AB97)</f>
        <v>175747.93846153846</v>
      </c>
      <c r="AC98" s="416">
        <f>AVERAGE(AC85:AC97)</f>
        <v>5098624.588461538</v>
      </c>
      <c r="AD98" s="416">
        <f>SUM(T98:AC98)</f>
        <v>464707909.98184615</v>
      </c>
    </row>
    <row r="99" spans="3:18" ht="12.75">
      <c r="C99" s="200"/>
      <c r="D99" s="416"/>
      <c r="E99" s="423"/>
      <c r="F99" s="416"/>
      <c r="G99" s="416"/>
      <c r="H99" s="412"/>
      <c r="I99" s="412"/>
      <c r="J99" s="412"/>
      <c r="K99" s="412"/>
      <c r="L99" s="416"/>
      <c r="M99" s="416"/>
      <c r="N99" s="416"/>
      <c r="O99" s="416"/>
      <c r="Q99" s="416"/>
      <c r="R99" s="416"/>
    </row>
    <row r="100" spans="3:15" ht="12.75">
      <c r="C100" s="200"/>
      <c r="D100" s="416"/>
      <c r="G100" s="416"/>
      <c r="H100" s="1160" t="s">
        <v>860</v>
      </c>
      <c r="I100" s="416">
        <f>T98+V98+W98+Y98+Z98+AB98</f>
        <v>444651543.90569234</v>
      </c>
      <c r="K100" s="412"/>
      <c r="M100" s="416"/>
      <c r="N100" s="416"/>
      <c r="O100" s="416"/>
    </row>
    <row r="101" spans="3:15" ht="12.75">
      <c r="C101" s="200"/>
      <c r="D101" s="416"/>
      <c r="G101" s="416"/>
      <c r="H101" s="1160" t="s">
        <v>862</v>
      </c>
      <c r="I101" s="416">
        <f>D98+G98+I98+L98+N98+Q98</f>
        <v>53880808.52999999</v>
      </c>
      <c r="K101" s="412"/>
      <c r="M101" s="412"/>
      <c r="N101" s="412"/>
      <c r="O101" s="416"/>
    </row>
    <row r="102" spans="3:15" ht="12.75">
      <c r="C102" s="200"/>
      <c r="D102" s="416"/>
      <c r="E102" s="416"/>
      <c r="F102" s="416"/>
      <c r="G102" s="416"/>
      <c r="H102" s="412"/>
      <c r="I102" s="416"/>
      <c r="K102" s="412"/>
      <c r="N102" s="416"/>
      <c r="O102" s="416"/>
    </row>
    <row r="103" spans="3:14" ht="12.75">
      <c r="C103" s="200"/>
      <c r="D103" s="416"/>
      <c r="G103" s="416"/>
      <c r="H103" s="1160" t="s">
        <v>863</v>
      </c>
      <c r="I103" s="416">
        <f>+U98+X98+AA98+AC98</f>
        <v>20056366.076153852</v>
      </c>
      <c r="M103" s="416"/>
      <c r="N103" s="416"/>
    </row>
    <row r="104" spans="3:15" ht="12.75">
      <c r="C104" s="200"/>
      <c r="D104" s="416"/>
      <c r="E104" s="416"/>
      <c r="F104" s="416"/>
      <c r="G104" s="416"/>
      <c r="H104" s="412"/>
      <c r="I104" s="412"/>
      <c r="J104" s="412"/>
      <c r="K104" s="416"/>
      <c r="L104" s="416"/>
      <c r="M104" s="416"/>
      <c r="N104" s="416"/>
      <c r="O104" s="416"/>
    </row>
    <row r="105" spans="3:15" ht="12.75">
      <c r="C105" s="200"/>
      <c r="D105" s="416"/>
      <c r="E105" s="416"/>
      <c r="F105" s="416"/>
      <c r="G105" s="416"/>
      <c r="H105" s="412"/>
      <c r="I105" s="412"/>
      <c r="J105" s="412"/>
      <c r="K105" s="412"/>
      <c r="L105" s="416"/>
      <c r="M105" s="416"/>
      <c r="N105" s="416"/>
      <c r="O105" s="416"/>
    </row>
    <row r="106" spans="3:27" ht="12.75">
      <c r="C106" s="410"/>
      <c r="D106" s="200" t="s">
        <v>1069</v>
      </c>
      <c r="E106" s="200" t="s">
        <v>1070</v>
      </c>
      <c r="F106" s="200" t="s">
        <v>1071</v>
      </c>
      <c r="G106" s="200" t="s">
        <v>1072</v>
      </c>
      <c r="H106" s="200" t="s">
        <v>1073</v>
      </c>
      <c r="I106" s="200" t="s">
        <v>1074</v>
      </c>
      <c r="J106" s="200" t="s">
        <v>1075</v>
      </c>
      <c r="K106" s="200" t="s">
        <v>1076</v>
      </c>
      <c r="L106" s="200" t="s">
        <v>1077</v>
      </c>
      <c r="M106" s="200" t="s">
        <v>1078</v>
      </c>
      <c r="N106" s="200" t="s">
        <v>1079</v>
      </c>
      <c r="O106" s="200" t="s">
        <v>1080</v>
      </c>
      <c r="P106" s="200" t="s">
        <v>1081</v>
      </c>
      <c r="Q106" s="200" t="s">
        <v>1082</v>
      </c>
      <c r="R106" s="200" t="s">
        <v>1083</v>
      </c>
      <c r="S106" s="200" t="s">
        <v>1084</v>
      </c>
      <c r="T106" s="200" t="s">
        <v>1085</v>
      </c>
      <c r="U106" s="200" t="s">
        <v>1088</v>
      </c>
      <c r="V106" s="200" t="s">
        <v>1086</v>
      </c>
      <c r="W106" s="200" t="s">
        <v>1089</v>
      </c>
      <c r="X106" s="200" t="s">
        <v>1087</v>
      </c>
      <c r="Y106" s="200" t="s">
        <v>1090</v>
      </c>
      <c r="Z106" s="200" t="s">
        <v>1094</v>
      </c>
      <c r="AA106" s="200" t="s">
        <v>1091</v>
      </c>
    </row>
    <row r="107" spans="3:27" ht="12.75">
      <c r="C107" s="410"/>
      <c r="D107" s="408" t="s">
        <v>142</v>
      </c>
      <c r="E107" s="200" t="s">
        <v>120</v>
      </c>
      <c r="F107" s="408" t="s">
        <v>578</v>
      </c>
      <c r="G107" s="408" t="s">
        <v>656</v>
      </c>
      <c r="H107" s="408" t="s">
        <v>144</v>
      </c>
      <c r="I107" s="200" t="s">
        <v>120</v>
      </c>
      <c r="J107" s="408" t="s">
        <v>578</v>
      </c>
      <c r="K107" s="408" t="s">
        <v>373</v>
      </c>
      <c r="L107" s="408" t="s">
        <v>784</v>
      </c>
      <c r="M107" s="200" t="s">
        <v>120</v>
      </c>
      <c r="N107" s="408" t="s">
        <v>578</v>
      </c>
      <c r="O107" s="408" t="s">
        <v>373</v>
      </c>
      <c r="P107" s="408" t="s">
        <v>110</v>
      </c>
      <c r="Q107" s="200" t="s">
        <v>120</v>
      </c>
      <c r="R107" s="408" t="s">
        <v>578</v>
      </c>
      <c r="S107" s="408" t="s">
        <v>373</v>
      </c>
      <c r="T107" s="408" t="s">
        <v>850</v>
      </c>
      <c r="U107" s="200" t="s">
        <v>120</v>
      </c>
      <c r="V107" s="408" t="s">
        <v>578</v>
      </c>
      <c r="W107" s="408" t="s">
        <v>373</v>
      </c>
      <c r="X107" s="408" t="s">
        <v>868</v>
      </c>
      <c r="Y107" s="200" t="s">
        <v>120</v>
      </c>
      <c r="Z107" s="408" t="s">
        <v>578</v>
      </c>
      <c r="AA107" s="408" t="s">
        <v>373</v>
      </c>
    </row>
    <row r="108" spans="3:27" ht="12.75">
      <c r="C108" s="200"/>
      <c r="D108" s="408" t="s">
        <v>118</v>
      </c>
      <c r="E108" s="408" t="s">
        <v>121</v>
      </c>
      <c r="F108" s="408" t="s">
        <v>122</v>
      </c>
      <c r="G108" s="408"/>
      <c r="H108" s="408" t="s">
        <v>119</v>
      </c>
      <c r="I108" s="408" t="s">
        <v>121</v>
      </c>
      <c r="J108" s="408" t="s">
        <v>122</v>
      </c>
      <c r="K108" s="408" t="s">
        <v>374</v>
      </c>
      <c r="L108" s="408" t="s">
        <v>119</v>
      </c>
      <c r="M108" s="408" t="s">
        <v>121</v>
      </c>
      <c r="N108" s="408" t="s">
        <v>122</v>
      </c>
      <c r="O108" s="408" t="s">
        <v>374</v>
      </c>
      <c r="P108" s="408" t="s">
        <v>119</v>
      </c>
      <c r="Q108" s="408" t="s">
        <v>121</v>
      </c>
      <c r="R108" s="408" t="s">
        <v>122</v>
      </c>
      <c r="S108" s="408" t="s">
        <v>374</v>
      </c>
      <c r="T108" s="408" t="s">
        <v>119</v>
      </c>
      <c r="U108" s="408" t="s">
        <v>121</v>
      </c>
      <c r="V108" s="408" t="s">
        <v>122</v>
      </c>
      <c r="W108" s="408" t="s">
        <v>374</v>
      </c>
      <c r="X108" s="408" t="s">
        <v>119</v>
      </c>
      <c r="Y108" s="408" t="s">
        <v>121</v>
      </c>
      <c r="Z108" s="408" t="s">
        <v>122</v>
      </c>
      <c r="AA108" s="408" t="s">
        <v>374</v>
      </c>
    </row>
    <row r="109" spans="3:27" ht="12.75">
      <c r="C109" s="200" t="s">
        <v>143</v>
      </c>
      <c r="D109" s="900">
        <f aca="true" t="shared" si="49" ref="D109:D121">+T85</f>
        <v>0</v>
      </c>
      <c r="E109" s="746">
        <v>0.0022</v>
      </c>
      <c r="F109" s="416">
        <f aca="true" t="shared" si="50" ref="F109:F121">D109*E109</f>
        <v>0</v>
      </c>
      <c r="G109" s="416">
        <f>F109</f>
        <v>0</v>
      </c>
      <c r="H109" s="452">
        <f aca="true" t="shared" si="51" ref="H109:H121">V85</f>
        <v>262950644.58900005</v>
      </c>
      <c r="I109" s="746">
        <f>E109</f>
        <v>0.0022</v>
      </c>
      <c r="J109" s="416">
        <f>H109*I109</f>
        <v>578491.4180958001</v>
      </c>
      <c r="K109" s="416">
        <v>68398629.4073701</v>
      </c>
      <c r="L109" s="452">
        <f aca="true" t="shared" si="52" ref="L109:L121">W85</f>
        <v>155913692.679</v>
      </c>
      <c r="M109" s="746">
        <f>E109</f>
        <v>0.0022</v>
      </c>
      <c r="N109" s="416">
        <f>L109*M109</f>
        <v>343010.1238938</v>
      </c>
      <c r="O109" s="416">
        <v>24601857.442890726</v>
      </c>
      <c r="P109" s="452">
        <f>Y85</f>
        <v>3158242</v>
      </c>
      <c r="Q109" s="746">
        <f>E109</f>
        <v>0.0022</v>
      </c>
      <c r="R109" s="416">
        <f>P109*Q109</f>
        <v>6948.1324</v>
      </c>
      <c r="S109" s="416">
        <v>687531.7090049988</v>
      </c>
      <c r="T109" s="452">
        <f>+Z85</f>
        <v>0</v>
      </c>
      <c r="U109" s="746">
        <f>E109</f>
        <v>0.0022</v>
      </c>
      <c r="V109" s="416">
        <f>T109*U109</f>
        <v>0</v>
      </c>
      <c r="W109" s="416">
        <v>0</v>
      </c>
      <c r="X109" s="1176">
        <f>+AB85</f>
        <v>55070.79</v>
      </c>
      <c r="Y109" s="446">
        <f>E109</f>
        <v>0.0022</v>
      </c>
      <c r="Z109" s="416">
        <f>X109*Y109</f>
        <v>121.15573800000001</v>
      </c>
      <c r="AA109" s="416">
        <v>364.30572200000006</v>
      </c>
    </row>
    <row r="110" spans="3:27" ht="12.75">
      <c r="C110" s="200" t="s">
        <v>617</v>
      </c>
      <c r="D110" s="416">
        <f t="shared" si="49"/>
        <v>162625.52</v>
      </c>
      <c r="E110" s="446">
        <v>0.0022</v>
      </c>
      <c r="F110" s="416">
        <f>D110*E110</f>
        <v>357.776144</v>
      </c>
      <c r="G110" s="416">
        <f>G109+F110</f>
        <v>357.776144</v>
      </c>
      <c r="H110" s="452">
        <f t="shared" si="51"/>
        <v>262950644.58900005</v>
      </c>
      <c r="I110" s="446">
        <f>+E110</f>
        <v>0.0022</v>
      </c>
      <c r="J110" s="416">
        <f aca="true" t="shared" si="53" ref="J110:J121">H110*I110</f>
        <v>578491.4180958001</v>
      </c>
      <c r="K110" s="416">
        <f>J110+K109</f>
        <v>68977120.8254659</v>
      </c>
      <c r="L110" s="452">
        <f t="shared" si="52"/>
        <v>155913692.679</v>
      </c>
      <c r="M110" s="446">
        <f>+E110</f>
        <v>0.0022</v>
      </c>
      <c r="N110" s="416">
        <f>L110*M110</f>
        <v>343010.1238938</v>
      </c>
      <c r="O110" s="416">
        <f>N110+O109</f>
        <v>24944867.566784527</v>
      </c>
      <c r="P110" s="452">
        <f aca="true" t="shared" si="54" ref="P110:P121">Y86</f>
        <v>3158242</v>
      </c>
      <c r="Q110" s="446">
        <f>+E110</f>
        <v>0.0022</v>
      </c>
      <c r="R110" s="416">
        <f aca="true" t="shared" si="55" ref="R110:R121">P110*Q110</f>
        <v>6948.1324</v>
      </c>
      <c r="S110" s="416">
        <f>R110+S109</f>
        <v>694479.8414049988</v>
      </c>
      <c r="T110" s="452">
        <f aca="true" t="shared" si="56" ref="T110:T121">+Z86</f>
        <v>0</v>
      </c>
      <c r="U110" s="446">
        <f>+U109</f>
        <v>0.0022</v>
      </c>
      <c r="V110" s="416">
        <f aca="true" t="shared" si="57" ref="V110:V121">T110*U110</f>
        <v>0</v>
      </c>
      <c r="W110" s="416">
        <f>V110+W109</f>
        <v>0</v>
      </c>
      <c r="X110" s="1176">
        <f>+AB86</f>
        <v>55070.79</v>
      </c>
      <c r="Y110" s="446">
        <f>+Y109</f>
        <v>0.0022</v>
      </c>
      <c r="Z110" s="416">
        <f>X110*Y110</f>
        <v>121.15573800000001</v>
      </c>
      <c r="AA110" s="416">
        <f>Z110+AA109</f>
        <v>485.4614600000001</v>
      </c>
    </row>
    <row r="111" spans="3:27" ht="12.75">
      <c r="C111" s="200" t="s">
        <v>618</v>
      </c>
      <c r="D111" s="416">
        <f t="shared" si="49"/>
        <v>1108883.86</v>
      </c>
      <c r="E111" s="446">
        <v>0.0022</v>
      </c>
      <c r="F111" s="416">
        <f>D111*E111</f>
        <v>2439.5444920000004</v>
      </c>
      <c r="G111" s="416">
        <f aca="true" t="shared" si="58" ref="G111:G121">G110+F111</f>
        <v>2797.3206360000004</v>
      </c>
      <c r="H111" s="452">
        <f t="shared" si="51"/>
        <v>262950644.58900005</v>
      </c>
      <c r="I111" s="446">
        <f aca="true" t="shared" si="59" ref="I111:I121">+E111</f>
        <v>0.0022</v>
      </c>
      <c r="J111" s="416">
        <f t="shared" si="53"/>
        <v>578491.4180958001</v>
      </c>
      <c r="K111" s="416">
        <f aca="true" t="shared" si="60" ref="K111:K121">J111+K110</f>
        <v>69555612.2435617</v>
      </c>
      <c r="L111" s="452">
        <f t="shared" si="52"/>
        <v>155913692.679</v>
      </c>
      <c r="M111" s="446">
        <f aca="true" t="shared" si="61" ref="M111:M121">+E111</f>
        <v>0.0022</v>
      </c>
      <c r="N111" s="416">
        <f aca="true" t="shared" si="62" ref="N111:N121">L111*M111</f>
        <v>343010.1238938</v>
      </c>
      <c r="O111" s="416">
        <f>N111+O110</f>
        <v>25287877.69067833</v>
      </c>
      <c r="P111" s="452">
        <f t="shared" si="54"/>
        <v>3158242</v>
      </c>
      <c r="Q111" s="446">
        <f aca="true" t="shared" si="63" ref="Q111:Q121">+E111</f>
        <v>0.0022</v>
      </c>
      <c r="R111" s="416">
        <f t="shared" si="55"/>
        <v>6948.1324</v>
      </c>
      <c r="S111" s="416">
        <f>R111+S110</f>
        <v>701427.9738049988</v>
      </c>
      <c r="T111" s="452">
        <f t="shared" si="56"/>
        <v>0</v>
      </c>
      <c r="U111" s="446">
        <f aca="true" t="shared" si="64" ref="U111:U121">+U110</f>
        <v>0.0022</v>
      </c>
      <c r="V111" s="416">
        <f>T111*U111</f>
        <v>0</v>
      </c>
      <c r="W111" s="416">
        <f>V111+W110</f>
        <v>0</v>
      </c>
      <c r="X111" s="1176">
        <f aca="true" t="shared" si="65" ref="X111:X121">+AB87</f>
        <v>55070.79</v>
      </c>
      <c r="Y111" s="446">
        <f aca="true" t="shared" si="66" ref="Y111:Y121">+Y110</f>
        <v>0.0022</v>
      </c>
      <c r="Z111" s="416">
        <f>X111*Y111</f>
        <v>121.15573800000001</v>
      </c>
      <c r="AA111" s="416">
        <f>Z111+AA110</f>
        <v>606.6171980000001</v>
      </c>
    </row>
    <row r="112" spans="3:27" ht="12.75">
      <c r="C112" s="200" t="s">
        <v>619</v>
      </c>
      <c r="D112" s="416">
        <f t="shared" si="49"/>
        <v>673904.96</v>
      </c>
      <c r="E112" s="446">
        <v>0.0022</v>
      </c>
      <c r="F112" s="416">
        <f t="shared" si="50"/>
        <v>1482.5909120000001</v>
      </c>
      <c r="G112" s="416">
        <f>G111+F112</f>
        <v>4279.911548</v>
      </c>
      <c r="H112" s="452">
        <f t="shared" si="51"/>
        <v>262950644.58900005</v>
      </c>
      <c r="I112" s="446">
        <f t="shared" si="59"/>
        <v>0.0022</v>
      </c>
      <c r="J112" s="416">
        <f t="shared" si="53"/>
        <v>578491.4180958001</v>
      </c>
      <c r="K112" s="416">
        <f t="shared" si="60"/>
        <v>70134103.6616575</v>
      </c>
      <c r="L112" s="452">
        <f t="shared" si="52"/>
        <v>155913692.679</v>
      </c>
      <c r="M112" s="446">
        <f t="shared" si="61"/>
        <v>0.0022</v>
      </c>
      <c r="N112" s="416">
        <f t="shared" si="62"/>
        <v>343010.1238938</v>
      </c>
      <c r="O112" s="416">
        <f aca="true" t="shared" si="67" ref="O112:O121">N112+O111</f>
        <v>25630887.81457213</v>
      </c>
      <c r="P112" s="452">
        <f t="shared" si="54"/>
        <v>3158242</v>
      </c>
      <c r="Q112" s="446">
        <f t="shared" si="63"/>
        <v>0.0022</v>
      </c>
      <c r="R112" s="416">
        <f>P112*Q112</f>
        <v>6948.1324</v>
      </c>
      <c r="S112" s="416">
        <f aca="true" t="shared" si="68" ref="S112:S121">R112+S111</f>
        <v>708376.1062049988</v>
      </c>
      <c r="T112" s="452">
        <f t="shared" si="56"/>
        <v>0</v>
      </c>
      <c r="U112" s="446">
        <f t="shared" si="64"/>
        <v>0.0022</v>
      </c>
      <c r="V112" s="416">
        <f t="shared" si="57"/>
        <v>0</v>
      </c>
      <c r="W112" s="416">
        <f aca="true" t="shared" si="69" ref="W112:W121">V112+W111</f>
        <v>0</v>
      </c>
      <c r="X112" s="1176">
        <f t="shared" si="65"/>
        <v>55070.79</v>
      </c>
      <c r="Y112" s="446">
        <f t="shared" si="66"/>
        <v>0.0022</v>
      </c>
      <c r="Z112" s="416">
        <f>X112*Y112</f>
        <v>121.15573800000001</v>
      </c>
      <c r="AA112" s="416">
        <f aca="true" t="shared" si="70" ref="AA112:AA121">Z112+AA111</f>
        <v>727.7729360000002</v>
      </c>
    </row>
    <row r="113" spans="3:27" ht="12.75">
      <c r="C113" s="200" t="s">
        <v>620</v>
      </c>
      <c r="D113" s="416">
        <f t="shared" si="49"/>
        <v>1736905.8499999992</v>
      </c>
      <c r="E113" s="446">
        <v>0.0022</v>
      </c>
      <c r="F113" s="416">
        <f t="shared" si="50"/>
        <v>3821.1928699999985</v>
      </c>
      <c r="G113" s="416">
        <f t="shared" si="58"/>
        <v>8101.104417999999</v>
      </c>
      <c r="H113" s="452">
        <f t="shared" si="51"/>
        <v>262950644.58900005</v>
      </c>
      <c r="I113" s="446">
        <f t="shared" si="59"/>
        <v>0.0022</v>
      </c>
      <c r="J113" s="416">
        <f t="shared" si="53"/>
        <v>578491.4180958001</v>
      </c>
      <c r="K113" s="416">
        <f t="shared" si="60"/>
        <v>70712595.0797533</v>
      </c>
      <c r="L113" s="452">
        <f t="shared" si="52"/>
        <v>155913692.679</v>
      </c>
      <c r="M113" s="446">
        <f t="shared" si="61"/>
        <v>0.0022</v>
      </c>
      <c r="N113" s="416">
        <f t="shared" si="62"/>
        <v>343010.1238938</v>
      </c>
      <c r="O113" s="416">
        <f t="shared" si="67"/>
        <v>25973897.93846593</v>
      </c>
      <c r="P113" s="452">
        <f t="shared" si="54"/>
        <v>3158242</v>
      </c>
      <c r="Q113" s="446">
        <f t="shared" si="63"/>
        <v>0.0022</v>
      </c>
      <c r="R113" s="416">
        <f t="shared" si="55"/>
        <v>6948.1324</v>
      </c>
      <c r="S113" s="416">
        <f t="shared" si="68"/>
        <v>715324.2386049988</v>
      </c>
      <c r="T113" s="452">
        <f t="shared" si="56"/>
        <v>813418.9</v>
      </c>
      <c r="U113" s="446">
        <f t="shared" si="64"/>
        <v>0.0022</v>
      </c>
      <c r="V113" s="416">
        <f>T113*U113</f>
        <v>1789.52158</v>
      </c>
      <c r="W113" s="416">
        <f t="shared" si="69"/>
        <v>1789.52158</v>
      </c>
      <c r="X113" s="1176">
        <f t="shared" si="65"/>
        <v>55070.79</v>
      </c>
      <c r="Y113" s="446">
        <f t="shared" si="66"/>
        <v>0.0022</v>
      </c>
      <c r="Z113" s="416">
        <f>X113*Y113</f>
        <v>121.15573800000001</v>
      </c>
      <c r="AA113" s="416">
        <f t="shared" si="70"/>
        <v>848.9286740000002</v>
      </c>
    </row>
    <row r="114" spans="3:27" ht="12.75">
      <c r="C114" s="200" t="s">
        <v>615</v>
      </c>
      <c r="D114" s="416">
        <f t="shared" si="49"/>
        <v>13420356.959999999</v>
      </c>
      <c r="E114" s="446">
        <v>0.0022</v>
      </c>
      <c r="F114" s="416">
        <f t="shared" si="50"/>
        <v>29524.785312</v>
      </c>
      <c r="G114" s="416">
        <f t="shared" si="58"/>
        <v>37625.889729999995</v>
      </c>
      <c r="H114" s="452">
        <f t="shared" si="51"/>
        <v>262950644.58900005</v>
      </c>
      <c r="I114" s="446">
        <f t="shared" si="59"/>
        <v>0.0022</v>
      </c>
      <c r="J114" s="416">
        <f t="shared" si="53"/>
        <v>578491.4180958001</v>
      </c>
      <c r="K114" s="416">
        <f t="shared" si="60"/>
        <v>71291086.49784909</v>
      </c>
      <c r="L114" s="452">
        <f t="shared" si="52"/>
        <v>155913692.679</v>
      </c>
      <c r="M114" s="446">
        <f t="shared" si="61"/>
        <v>0.0022</v>
      </c>
      <c r="N114" s="416">
        <f t="shared" si="62"/>
        <v>343010.1238938</v>
      </c>
      <c r="O114" s="416">
        <f t="shared" si="67"/>
        <v>26316908.06235973</v>
      </c>
      <c r="P114" s="452">
        <f t="shared" si="54"/>
        <v>3158242</v>
      </c>
      <c r="Q114" s="446">
        <f t="shared" si="63"/>
        <v>0.0022</v>
      </c>
      <c r="R114" s="416">
        <f t="shared" si="55"/>
        <v>6948.1324</v>
      </c>
      <c r="S114" s="416">
        <f t="shared" si="68"/>
        <v>722272.3710049988</v>
      </c>
      <c r="T114" s="452">
        <f t="shared" si="56"/>
        <v>1799869.31</v>
      </c>
      <c r="U114" s="446">
        <f t="shared" si="64"/>
        <v>0.0022</v>
      </c>
      <c r="V114" s="416">
        <f t="shared" si="57"/>
        <v>3959.7124820000004</v>
      </c>
      <c r="W114" s="416">
        <f t="shared" si="69"/>
        <v>5749.234062</v>
      </c>
      <c r="X114" s="1176">
        <f t="shared" si="65"/>
        <v>55070.79</v>
      </c>
      <c r="Y114" s="446">
        <f t="shared" si="66"/>
        <v>0.0022</v>
      </c>
      <c r="Z114" s="416">
        <f aca="true" t="shared" si="71" ref="Z114:Z121">X114*Y114</f>
        <v>121.15573800000001</v>
      </c>
      <c r="AA114" s="416">
        <f t="shared" si="70"/>
        <v>970.0844120000003</v>
      </c>
    </row>
    <row r="115" spans="3:27" ht="12.75">
      <c r="C115" s="200" t="s">
        <v>621</v>
      </c>
      <c r="D115" s="416">
        <f t="shared" si="49"/>
        <v>19273741.08</v>
      </c>
      <c r="E115" s="446">
        <v>0.0022</v>
      </c>
      <c r="F115" s="416">
        <f t="shared" si="50"/>
        <v>42402.230376</v>
      </c>
      <c r="G115" s="416">
        <f t="shared" si="58"/>
        <v>80028.12010599999</v>
      </c>
      <c r="H115" s="452">
        <f t="shared" si="51"/>
        <v>262950644.58900005</v>
      </c>
      <c r="I115" s="446">
        <f t="shared" si="59"/>
        <v>0.0022</v>
      </c>
      <c r="J115" s="416">
        <f t="shared" si="53"/>
        <v>578491.4180958001</v>
      </c>
      <c r="K115" s="416">
        <f t="shared" si="60"/>
        <v>71869577.91594489</v>
      </c>
      <c r="L115" s="452">
        <f t="shared" si="52"/>
        <v>155913692.679</v>
      </c>
      <c r="M115" s="446">
        <f t="shared" si="61"/>
        <v>0.0022</v>
      </c>
      <c r="N115" s="416">
        <f t="shared" si="62"/>
        <v>343010.1238938</v>
      </c>
      <c r="O115" s="416">
        <f t="shared" si="67"/>
        <v>26659918.186253533</v>
      </c>
      <c r="P115" s="452">
        <f t="shared" si="54"/>
        <v>3158242</v>
      </c>
      <c r="Q115" s="446">
        <f t="shared" si="63"/>
        <v>0.0022</v>
      </c>
      <c r="R115" s="416">
        <f t="shared" si="55"/>
        <v>6948.1324</v>
      </c>
      <c r="S115" s="416">
        <f t="shared" si="68"/>
        <v>729220.5034049988</v>
      </c>
      <c r="T115" s="452">
        <f t="shared" si="56"/>
        <v>15303956.899999999</v>
      </c>
      <c r="U115" s="446">
        <f t="shared" si="64"/>
        <v>0.0022</v>
      </c>
      <c r="V115" s="416">
        <f t="shared" si="57"/>
        <v>33668.70518</v>
      </c>
      <c r="W115" s="416">
        <f t="shared" si="69"/>
        <v>39417.939242</v>
      </c>
      <c r="X115" s="1176">
        <f t="shared" si="65"/>
        <v>55070.79</v>
      </c>
      <c r="Y115" s="446">
        <f t="shared" si="66"/>
        <v>0.0022</v>
      </c>
      <c r="Z115" s="416">
        <f t="shared" si="71"/>
        <v>121.15573800000001</v>
      </c>
      <c r="AA115" s="416">
        <f t="shared" si="70"/>
        <v>1091.2401500000003</v>
      </c>
    </row>
    <row r="116" spans="3:27" ht="12.75">
      <c r="C116" s="200" t="s">
        <v>622</v>
      </c>
      <c r="D116" s="416">
        <f t="shared" si="49"/>
        <v>19094530.189999998</v>
      </c>
      <c r="E116" s="446">
        <f aca="true" t="shared" si="72" ref="E116:E121">+E115</f>
        <v>0.0022</v>
      </c>
      <c r="F116" s="416">
        <f t="shared" si="50"/>
        <v>42007.966417999996</v>
      </c>
      <c r="G116" s="416">
        <f t="shared" si="58"/>
        <v>122036.08652399998</v>
      </c>
      <c r="H116" s="452">
        <f t="shared" si="51"/>
        <v>262950644.58900005</v>
      </c>
      <c r="I116" s="446">
        <f t="shared" si="59"/>
        <v>0.0022</v>
      </c>
      <c r="J116" s="416">
        <f t="shared" si="53"/>
        <v>578491.4180958001</v>
      </c>
      <c r="K116" s="416">
        <f t="shared" si="60"/>
        <v>72448069.33404069</v>
      </c>
      <c r="L116" s="452">
        <f t="shared" si="52"/>
        <v>155913692.679</v>
      </c>
      <c r="M116" s="446">
        <f t="shared" si="61"/>
        <v>0.0022</v>
      </c>
      <c r="N116" s="416">
        <f t="shared" si="62"/>
        <v>343010.1238938</v>
      </c>
      <c r="O116" s="416">
        <f t="shared" si="67"/>
        <v>27002928.310147334</v>
      </c>
      <c r="P116" s="452">
        <f t="shared" si="54"/>
        <v>3158242</v>
      </c>
      <c r="Q116" s="446">
        <f t="shared" si="63"/>
        <v>0.0022</v>
      </c>
      <c r="R116" s="416">
        <f t="shared" si="55"/>
        <v>6948.1324</v>
      </c>
      <c r="S116" s="416">
        <f t="shared" si="68"/>
        <v>736168.6358049988</v>
      </c>
      <c r="T116" s="452">
        <f t="shared" si="56"/>
        <v>15306956.899999999</v>
      </c>
      <c r="U116" s="446">
        <f t="shared" si="64"/>
        <v>0.0022</v>
      </c>
      <c r="V116" s="416">
        <f t="shared" si="57"/>
        <v>33675.305179999996</v>
      </c>
      <c r="W116" s="416">
        <f t="shared" si="69"/>
        <v>73093.24442199999</v>
      </c>
      <c r="X116" s="1176">
        <f t="shared" si="65"/>
        <v>55070.79</v>
      </c>
      <c r="Y116" s="446">
        <f t="shared" si="66"/>
        <v>0.0022</v>
      </c>
      <c r="Z116" s="416">
        <f t="shared" si="71"/>
        <v>121.15573800000001</v>
      </c>
      <c r="AA116" s="416">
        <f t="shared" si="70"/>
        <v>1212.3958880000002</v>
      </c>
    </row>
    <row r="117" spans="3:27" ht="12.75">
      <c r="C117" s="200" t="s">
        <v>623</v>
      </c>
      <c r="D117" s="416">
        <f t="shared" si="49"/>
        <v>19547934.779999994</v>
      </c>
      <c r="E117" s="446">
        <f t="shared" si="72"/>
        <v>0.0022</v>
      </c>
      <c r="F117" s="416">
        <f t="shared" si="50"/>
        <v>43005.45651599999</v>
      </c>
      <c r="G117" s="416">
        <f t="shared" si="58"/>
        <v>165041.54303999996</v>
      </c>
      <c r="H117" s="452">
        <f t="shared" si="51"/>
        <v>262950644.58900005</v>
      </c>
      <c r="I117" s="446">
        <f t="shared" si="59"/>
        <v>0.0022</v>
      </c>
      <c r="J117" s="416">
        <f t="shared" si="53"/>
        <v>578491.4180958001</v>
      </c>
      <c r="K117" s="416">
        <f t="shared" si="60"/>
        <v>73026560.75213648</v>
      </c>
      <c r="L117" s="452">
        <f t="shared" si="52"/>
        <v>155913692.679</v>
      </c>
      <c r="M117" s="446">
        <f t="shared" si="61"/>
        <v>0.0022</v>
      </c>
      <c r="N117" s="416">
        <f t="shared" si="62"/>
        <v>343010.1238938</v>
      </c>
      <c r="O117" s="416">
        <f t="shared" si="67"/>
        <v>27345938.434041135</v>
      </c>
      <c r="P117" s="452">
        <f t="shared" si="54"/>
        <v>3158242</v>
      </c>
      <c r="Q117" s="446">
        <f t="shared" si="63"/>
        <v>0.0022</v>
      </c>
      <c r="R117" s="416">
        <f t="shared" si="55"/>
        <v>6948.1324</v>
      </c>
      <c r="S117" s="416">
        <f t="shared" si="68"/>
        <v>743116.7682049988</v>
      </c>
      <c r="T117" s="452">
        <f t="shared" si="56"/>
        <v>15555604.209999999</v>
      </c>
      <c r="U117" s="446">
        <f t="shared" si="64"/>
        <v>0.0022</v>
      </c>
      <c r="V117" s="416">
        <f t="shared" si="57"/>
        <v>34222.329262</v>
      </c>
      <c r="W117" s="416">
        <f t="shared" si="69"/>
        <v>107315.57368399999</v>
      </c>
      <c r="X117" s="1176">
        <f t="shared" si="65"/>
        <v>145743.3</v>
      </c>
      <c r="Y117" s="446">
        <f t="shared" si="66"/>
        <v>0.0022</v>
      </c>
      <c r="Z117" s="416">
        <f t="shared" si="71"/>
        <v>320.63526</v>
      </c>
      <c r="AA117" s="416">
        <f t="shared" si="70"/>
        <v>1533.0311480000003</v>
      </c>
    </row>
    <row r="118" spans="3:27" ht="12.75">
      <c r="C118" s="200" t="s">
        <v>624</v>
      </c>
      <c r="D118" s="416">
        <f t="shared" si="49"/>
        <v>19616010.279999994</v>
      </c>
      <c r="E118" s="446">
        <f t="shared" si="72"/>
        <v>0.0022</v>
      </c>
      <c r="F118" s="416">
        <f t="shared" si="50"/>
        <v>43155.22261599999</v>
      </c>
      <c r="G118" s="416">
        <f t="shared" si="58"/>
        <v>208196.76565599995</v>
      </c>
      <c r="H118" s="452">
        <f t="shared" si="51"/>
        <v>262950644.58900005</v>
      </c>
      <c r="I118" s="446">
        <f t="shared" si="59"/>
        <v>0.0022</v>
      </c>
      <c r="J118" s="416">
        <f t="shared" si="53"/>
        <v>578491.4180958001</v>
      </c>
      <c r="K118" s="416">
        <f t="shared" si="60"/>
        <v>73605052.17023228</v>
      </c>
      <c r="L118" s="452">
        <f t="shared" si="52"/>
        <v>155913692.679</v>
      </c>
      <c r="M118" s="446">
        <f t="shared" si="61"/>
        <v>0.0022</v>
      </c>
      <c r="N118" s="416">
        <f t="shared" si="62"/>
        <v>343010.1238938</v>
      </c>
      <c r="O118" s="416">
        <f t="shared" si="67"/>
        <v>27688948.557934936</v>
      </c>
      <c r="P118" s="452">
        <f t="shared" si="54"/>
        <v>3158242</v>
      </c>
      <c r="Q118" s="446">
        <f t="shared" si="63"/>
        <v>0.0022</v>
      </c>
      <c r="R118" s="416">
        <f t="shared" si="55"/>
        <v>6948.1324</v>
      </c>
      <c r="S118" s="416">
        <f t="shared" si="68"/>
        <v>750064.9006049988</v>
      </c>
      <c r="T118" s="452">
        <f t="shared" si="56"/>
        <v>15719230.409999998</v>
      </c>
      <c r="U118" s="446">
        <f t="shared" si="64"/>
        <v>0.0022</v>
      </c>
      <c r="V118" s="416">
        <f t="shared" si="57"/>
        <v>34582.306902</v>
      </c>
      <c r="W118" s="416">
        <f t="shared" si="69"/>
        <v>141897.88058599998</v>
      </c>
      <c r="X118" s="1176">
        <f t="shared" si="65"/>
        <v>145743.3</v>
      </c>
      <c r="Y118" s="446">
        <f t="shared" si="66"/>
        <v>0.0022</v>
      </c>
      <c r="Z118" s="416">
        <f t="shared" si="71"/>
        <v>320.63526</v>
      </c>
      <c r="AA118" s="416">
        <f t="shared" si="70"/>
        <v>1853.6664080000003</v>
      </c>
    </row>
    <row r="119" spans="3:27" ht="12.75">
      <c r="C119" s="200" t="s">
        <v>625</v>
      </c>
      <c r="D119" s="416">
        <f t="shared" si="49"/>
        <v>19014398.329999994</v>
      </c>
      <c r="E119" s="446">
        <f t="shared" si="72"/>
        <v>0.0022</v>
      </c>
      <c r="F119" s="416">
        <f t="shared" si="50"/>
        <v>41831.67632599999</v>
      </c>
      <c r="G119" s="416">
        <f t="shared" si="58"/>
        <v>250028.44198199993</v>
      </c>
      <c r="H119" s="452">
        <f t="shared" si="51"/>
        <v>262950644.58900005</v>
      </c>
      <c r="I119" s="446">
        <f t="shared" si="59"/>
        <v>0.0022</v>
      </c>
      <c r="J119" s="416">
        <f t="shared" si="53"/>
        <v>578491.4180958001</v>
      </c>
      <c r="K119" s="416">
        <f t="shared" si="60"/>
        <v>74183543.58832808</v>
      </c>
      <c r="L119" s="452">
        <f t="shared" si="52"/>
        <v>155913692.679</v>
      </c>
      <c r="M119" s="446">
        <f t="shared" si="61"/>
        <v>0.0022</v>
      </c>
      <c r="N119" s="416">
        <f t="shared" si="62"/>
        <v>343010.1238938</v>
      </c>
      <c r="O119" s="416">
        <f t="shared" si="67"/>
        <v>28031958.681828737</v>
      </c>
      <c r="P119" s="452">
        <f t="shared" si="54"/>
        <v>3158242</v>
      </c>
      <c r="Q119" s="446">
        <f t="shared" si="63"/>
        <v>0.0022</v>
      </c>
      <c r="R119" s="416">
        <f t="shared" si="55"/>
        <v>6948.1324</v>
      </c>
      <c r="S119" s="416">
        <f t="shared" si="68"/>
        <v>757013.0330049988</v>
      </c>
      <c r="T119" s="452">
        <f t="shared" si="56"/>
        <v>15965574.839999996</v>
      </c>
      <c r="U119" s="446">
        <f t="shared" si="64"/>
        <v>0.0022</v>
      </c>
      <c r="V119" s="416">
        <f t="shared" si="57"/>
        <v>35124.264648</v>
      </c>
      <c r="W119" s="416">
        <f t="shared" si="69"/>
        <v>177022.145234</v>
      </c>
      <c r="X119" s="1176">
        <f t="shared" si="65"/>
        <v>146248.3</v>
      </c>
      <c r="Y119" s="446">
        <f t="shared" si="66"/>
        <v>0.0022</v>
      </c>
      <c r="Z119" s="416">
        <f t="shared" si="71"/>
        <v>321.74626</v>
      </c>
      <c r="AA119" s="416">
        <f t="shared" si="70"/>
        <v>2175.4126680000004</v>
      </c>
    </row>
    <row r="120" spans="3:27" ht="12.75">
      <c r="C120" s="200" t="s">
        <v>626</v>
      </c>
      <c r="D120" s="416">
        <f t="shared" si="49"/>
        <v>20831829.32999999</v>
      </c>
      <c r="E120" s="446">
        <f t="shared" si="72"/>
        <v>0.0022</v>
      </c>
      <c r="F120" s="416">
        <f t="shared" si="50"/>
        <v>45830.02452599998</v>
      </c>
      <c r="G120" s="416">
        <f t="shared" si="58"/>
        <v>295858.4665079999</v>
      </c>
      <c r="H120" s="452">
        <f t="shared" si="51"/>
        <v>262950644.58900005</v>
      </c>
      <c r="I120" s="446">
        <f t="shared" si="59"/>
        <v>0.0022</v>
      </c>
      <c r="J120" s="416">
        <f t="shared" si="53"/>
        <v>578491.4180958001</v>
      </c>
      <c r="K120" s="416">
        <f t="shared" si="60"/>
        <v>74762035.00642388</v>
      </c>
      <c r="L120" s="452">
        <f t="shared" si="52"/>
        <v>155913692.679</v>
      </c>
      <c r="M120" s="446">
        <f t="shared" si="61"/>
        <v>0.0022</v>
      </c>
      <c r="N120" s="416">
        <f t="shared" si="62"/>
        <v>343010.1238938</v>
      </c>
      <c r="O120" s="416">
        <f t="shared" si="67"/>
        <v>28374968.80572254</v>
      </c>
      <c r="P120" s="452">
        <f t="shared" si="54"/>
        <v>3158242</v>
      </c>
      <c r="Q120" s="446">
        <f t="shared" si="63"/>
        <v>0.0022</v>
      </c>
      <c r="R120" s="416">
        <f t="shared" si="55"/>
        <v>6948.1324</v>
      </c>
      <c r="S120" s="416">
        <f t="shared" si="68"/>
        <v>763961.1654049988</v>
      </c>
      <c r="T120" s="452">
        <f t="shared" si="56"/>
        <v>15507729.979999997</v>
      </c>
      <c r="U120" s="446">
        <f t="shared" si="64"/>
        <v>0.0022</v>
      </c>
      <c r="V120" s="416">
        <f t="shared" si="57"/>
        <v>34117.00595599999</v>
      </c>
      <c r="W120" s="416">
        <f t="shared" si="69"/>
        <v>211139.15119</v>
      </c>
      <c r="X120" s="1176">
        <f t="shared" si="65"/>
        <v>146248.3</v>
      </c>
      <c r="Y120" s="446">
        <f t="shared" si="66"/>
        <v>0.0022</v>
      </c>
      <c r="Z120" s="416">
        <f t="shared" si="71"/>
        <v>321.74626</v>
      </c>
      <c r="AA120" s="416">
        <f t="shared" si="70"/>
        <v>2497.1589280000003</v>
      </c>
    </row>
    <row r="121" spans="3:27" ht="12.75">
      <c r="C121" s="415" t="s">
        <v>627</v>
      </c>
      <c r="D121" s="418">
        <f t="shared" si="49"/>
        <v>25537728.77999999</v>
      </c>
      <c r="E121" s="447">
        <f t="shared" si="72"/>
        <v>0.0022</v>
      </c>
      <c r="F121" s="418">
        <f t="shared" si="50"/>
        <v>56183.00331599998</v>
      </c>
      <c r="G121" s="418">
        <f t="shared" si="58"/>
        <v>352041.4698239999</v>
      </c>
      <c r="H121" s="453">
        <f t="shared" si="51"/>
        <v>262950644.58900005</v>
      </c>
      <c r="I121" s="447">
        <f t="shared" si="59"/>
        <v>0.0022</v>
      </c>
      <c r="J121" s="418">
        <f t="shared" si="53"/>
        <v>578491.4180958001</v>
      </c>
      <c r="K121" s="418">
        <f t="shared" si="60"/>
        <v>75340526.42451967</v>
      </c>
      <c r="L121" s="453">
        <f t="shared" si="52"/>
        <v>155913692.679</v>
      </c>
      <c r="M121" s="447">
        <f t="shared" si="61"/>
        <v>0.0022</v>
      </c>
      <c r="N121" s="418">
        <f t="shared" si="62"/>
        <v>343010.1238938</v>
      </c>
      <c r="O121" s="418">
        <f t="shared" si="67"/>
        <v>28717978.92961634</v>
      </c>
      <c r="P121" s="453">
        <f t="shared" si="54"/>
        <v>3158242</v>
      </c>
      <c r="Q121" s="447">
        <f t="shared" si="63"/>
        <v>0.0022</v>
      </c>
      <c r="R121" s="418">
        <f t="shared" si="55"/>
        <v>6948.1324</v>
      </c>
      <c r="S121" s="418">
        <f t="shared" si="68"/>
        <v>770909.2978049988</v>
      </c>
      <c r="T121" s="453">
        <f t="shared" si="56"/>
        <v>22565721.559999995</v>
      </c>
      <c r="U121" s="447">
        <f t="shared" si="64"/>
        <v>0.0022</v>
      </c>
      <c r="V121" s="418">
        <f t="shared" si="57"/>
        <v>49644.58743199999</v>
      </c>
      <c r="W121" s="418">
        <f t="shared" si="69"/>
        <v>260783.738622</v>
      </c>
      <c r="X121" s="1177">
        <f t="shared" si="65"/>
        <v>1260173.68</v>
      </c>
      <c r="Y121" s="447">
        <f t="shared" si="66"/>
        <v>0.0022</v>
      </c>
      <c r="Z121" s="418">
        <f t="shared" si="71"/>
        <v>2772.382096</v>
      </c>
      <c r="AA121" s="418">
        <f t="shared" si="70"/>
        <v>5269.541024</v>
      </c>
    </row>
    <row r="122" spans="3:30" ht="12.75">
      <c r="C122" s="200" t="s">
        <v>449</v>
      </c>
      <c r="D122" s="416"/>
      <c r="E122" s="416"/>
      <c r="F122" s="416">
        <f>SUM(F110:F121)</f>
        <v>352041.4698239999</v>
      </c>
      <c r="G122" s="416">
        <f>AVERAGE(G109:G121)</f>
        <v>117414.8381627692</v>
      </c>
      <c r="H122" s="416">
        <f>AVERAGE(H109:H121)</f>
        <v>262950644.58900008</v>
      </c>
      <c r="J122" s="416">
        <f>SUM(J110:J121)</f>
        <v>6941897.017149601</v>
      </c>
      <c r="K122" s="416">
        <f>AVERAGE(K109:K121)</f>
        <v>71869577.91594489</v>
      </c>
      <c r="L122" s="416">
        <f>AVERAGE(L109:L121)</f>
        <v>155913692.67899996</v>
      </c>
      <c r="N122" s="416">
        <f>SUM(N110:N121)</f>
        <v>4116121.486725601</v>
      </c>
      <c r="O122" s="416">
        <f>AVERAGE(O109:O121)</f>
        <v>26659918.186253533</v>
      </c>
      <c r="P122" s="416">
        <f>AVERAGE(P109:P121)</f>
        <v>3158242</v>
      </c>
      <c r="R122" s="416">
        <f>SUM(R110:R121)</f>
        <v>83377.58880000001</v>
      </c>
      <c r="S122" s="416">
        <f>AVERAGE(S109:S121)</f>
        <v>729220.5034049989</v>
      </c>
      <c r="T122" s="416">
        <f>AVERAGE(T109:T121)</f>
        <v>9118312.539230768</v>
      </c>
      <c r="V122" s="416">
        <f>SUM(V110:V121)</f>
        <v>260783.738622</v>
      </c>
      <c r="W122" s="416">
        <f>AVERAGE(W109:W121)</f>
        <v>78323.72527861538</v>
      </c>
      <c r="X122" s="416">
        <f>AVERAGE(X109:X121)</f>
        <v>175747.93846153846</v>
      </c>
      <c r="Y122" s="1147"/>
      <c r="Z122" s="416">
        <f>SUM(Z110:Z121)</f>
        <v>4905.235302</v>
      </c>
      <c r="AA122" s="416">
        <f>AVERAGE(AA109:AA121)</f>
        <v>1510.4320473846155</v>
      </c>
      <c r="AB122" s="1147"/>
      <c r="AC122" s="1147"/>
      <c r="AD122" s="1147"/>
    </row>
    <row r="123" spans="3:35" ht="12.75">
      <c r="C123" s="200"/>
      <c r="D123" s="416"/>
      <c r="E123" s="416"/>
      <c r="F123" s="416"/>
      <c r="G123" s="416"/>
      <c r="M123" s="416"/>
      <c r="N123" s="416"/>
      <c r="AE123" s="1098" t="s">
        <v>839</v>
      </c>
      <c r="AF123" s="1147"/>
      <c r="AG123" s="1147"/>
      <c r="AH123" s="1147"/>
      <c r="AI123" s="1147"/>
    </row>
    <row r="124" spans="3:35" ht="12.75">
      <c r="C124" s="200"/>
      <c r="D124" s="416"/>
      <c r="E124" s="416"/>
      <c r="F124" s="416"/>
      <c r="G124" s="416"/>
      <c r="AE124" s="1165" t="s">
        <v>826</v>
      </c>
      <c r="AF124" s="1147"/>
      <c r="AG124" s="1147"/>
      <c r="AH124" s="1147"/>
      <c r="AI124" s="1147"/>
    </row>
    <row r="125" spans="4:35" ht="12.75">
      <c r="D125" s="420"/>
      <c r="E125" s="420"/>
      <c r="AE125" s="1165"/>
      <c r="AF125" s="1165"/>
      <c r="AG125" s="1165"/>
      <c r="AH125" s="1147"/>
      <c r="AI125" s="1147"/>
    </row>
    <row r="126" spans="1:35" ht="12.75">
      <c r="A126" s="408">
        <f>+A9</f>
        <v>7</v>
      </c>
      <c r="B126" s="408" t="str">
        <f>+B9</f>
        <v>April</v>
      </c>
      <c r="C126" s="408" t="str">
        <f>+C9</f>
        <v>Year 3</v>
      </c>
      <c r="D126" s="1438" t="str">
        <f>+D9</f>
        <v>Reconciliation - TO calculates the true up amount by subtracting the results of Step 6 by Step 3.</v>
      </c>
      <c r="E126" s="1438"/>
      <c r="F126" s="1390"/>
      <c r="G126" s="1390"/>
      <c r="H126" s="1390"/>
      <c r="I126" s="1390"/>
      <c r="J126" s="1390"/>
      <c r="K126" s="1390"/>
      <c r="L126" s="1390"/>
      <c r="M126" s="1390"/>
      <c r="N126" s="1390"/>
      <c r="O126" s="1390"/>
      <c r="AE126" s="1147" t="s">
        <v>827</v>
      </c>
      <c r="AF126" s="1147"/>
      <c r="AG126" s="1147"/>
      <c r="AH126" s="1147"/>
      <c r="AI126" s="1099">
        <v>0</v>
      </c>
    </row>
    <row r="127" spans="4:35" ht="12.75">
      <c r="D127" s="1390"/>
      <c r="E127" s="1390"/>
      <c r="F127" s="1390"/>
      <c r="G127" s="1390"/>
      <c r="H127" s="1390"/>
      <c r="I127" s="1390"/>
      <c r="J127" s="1390"/>
      <c r="K127" s="1390"/>
      <c r="L127" s="1390"/>
      <c r="M127" s="1390"/>
      <c r="N127" s="1390"/>
      <c r="O127" s="1390"/>
      <c r="AE127" s="1165" t="s">
        <v>822</v>
      </c>
      <c r="AF127" s="1166"/>
      <c r="AG127" s="1166"/>
      <c r="AH127" s="1147"/>
      <c r="AI127" s="1147"/>
    </row>
    <row r="128" spans="5:36" ht="12.75" customHeight="1">
      <c r="E128" s="363" t="s">
        <v>265</v>
      </c>
      <c r="F128" s="413">
        <v>136480552.115212</v>
      </c>
      <c r="G128" s="1162"/>
      <c r="H128" s="277"/>
      <c r="I128" s="413"/>
      <c r="J128" s="1161"/>
      <c r="K128" s="277"/>
      <c r="AE128" s="1165" t="s">
        <v>823</v>
      </c>
      <c r="AF128" s="1147"/>
      <c r="AG128" s="1147"/>
      <c r="AH128" s="1147"/>
      <c r="AI128" s="1099">
        <f>IF('Appendix A'!I1=1,0,-4368602.16639409)*0</f>
        <v>0</v>
      </c>
      <c r="AJ128" s="200" t="s">
        <v>824</v>
      </c>
    </row>
    <row r="129" spans="5:36" ht="12.75">
      <c r="E129" s="277" t="s">
        <v>264</v>
      </c>
      <c r="F129" s="417">
        <f>138019594+3244721</f>
        <v>141264315</v>
      </c>
      <c r="G129" s="1163"/>
      <c r="H129" s="1018"/>
      <c r="I129" s="1019"/>
      <c r="J129" s="1018"/>
      <c r="K129" s="363"/>
      <c r="AE129" s="1147"/>
      <c r="AF129" s="1147"/>
      <c r="AG129" s="1147"/>
      <c r="AH129" s="1147"/>
      <c r="AI129" s="1099">
        <v>0</v>
      </c>
      <c r="AJ129" s="200" t="s">
        <v>825</v>
      </c>
    </row>
    <row r="130" spans="4:35" ht="12.75">
      <c r="D130" s="420"/>
      <c r="E130" s="420" t="s">
        <v>266</v>
      </c>
      <c r="F130" s="419">
        <f>F128-F129</f>
        <v>-4783762.884788007</v>
      </c>
      <c r="G130" s="200" t="s">
        <v>267</v>
      </c>
      <c r="AE130" s="1147"/>
      <c r="AF130" s="1147"/>
      <c r="AG130" s="1147"/>
      <c r="AH130" s="1147"/>
      <c r="AI130" s="1147"/>
    </row>
    <row r="131" spans="5:35" ht="12.75">
      <c r="E131" s="200" t="s">
        <v>268</v>
      </c>
      <c r="F131" s="413">
        <f>F130/12</f>
        <v>-398646.9070656672</v>
      </c>
      <c r="G131" s="200" t="s">
        <v>275</v>
      </c>
      <c r="L131" s="416"/>
      <c r="AE131" s="1147"/>
      <c r="AF131" s="1147"/>
      <c r="AG131" s="1147"/>
      <c r="AH131" s="1147"/>
      <c r="AI131" s="1147"/>
    </row>
    <row r="132" spans="6:35" ht="12.75">
      <c r="F132" s="413"/>
      <c r="H132" s="200" t="s">
        <v>376</v>
      </c>
      <c r="L132" s="416"/>
      <c r="AE132" s="1147" t="s">
        <v>828</v>
      </c>
      <c r="AF132" s="1147"/>
      <c r="AG132" s="1147"/>
      <c r="AH132" s="1147"/>
      <c r="AI132" s="1099">
        <v>0</v>
      </c>
    </row>
    <row r="133" spans="6:35" ht="12.75">
      <c r="F133" s="413"/>
      <c r="L133" s="416"/>
      <c r="AE133" s="1147" t="s">
        <v>829</v>
      </c>
      <c r="AF133" s="1147"/>
      <c r="AG133" s="1147"/>
      <c r="AH133" s="1147"/>
      <c r="AI133" s="1099">
        <v>0</v>
      </c>
    </row>
    <row r="134" spans="1:35" ht="12.75">
      <c r="A134" s="408">
        <f>+A10</f>
        <v>8</v>
      </c>
      <c r="B134" s="408" t="str">
        <f>+B10</f>
        <v>April</v>
      </c>
      <c r="C134" s="408" t="str">
        <f>+C10</f>
        <v>Year 3</v>
      </c>
      <c r="D134" s="1438" t="str">
        <f>+D10</f>
        <v>Reconciliation - TO calculates interest and amortization associated with the true up calculated in Step 7 and applies that amount to line 164 of the formula (if the difference results in refund and a cash refund is made, then this step is not implemented).</v>
      </c>
      <c r="E134" s="1438"/>
      <c r="F134" s="1439"/>
      <c r="G134" s="1439"/>
      <c r="H134" s="1439"/>
      <c r="I134" s="1439"/>
      <c r="J134" s="1439"/>
      <c r="K134" s="1439"/>
      <c r="L134" s="1439"/>
      <c r="M134" s="1439"/>
      <c r="N134" s="1439"/>
      <c r="O134" s="1439"/>
      <c r="AE134" s="1147" t="s">
        <v>830</v>
      </c>
      <c r="AF134" s="1147"/>
      <c r="AG134" s="1147"/>
      <c r="AH134" s="1147"/>
      <c r="AI134" s="1167">
        <f>AI133-AI132</f>
        <v>0</v>
      </c>
    </row>
    <row r="135" spans="4:15" ht="12.75">
      <c r="D135" s="1439"/>
      <c r="E135" s="1439"/>
      <c r="F135" s="1439"/>
      <c r="G135" s="1439"/>
      <c r="H135" s="1439"/>
      <c r="I135" s="1439"/>
      <c r="J135" s="1439"/>
      <c r="K135" s="1439"/>
      <c r="L135" s="1439"/>
      <c r="M135" s="1439"/>
      <c r="N135" s="1439"/>
      <c r="O135" s="1439"/>
    </row>
    <row r="136" spans="4:12" ht="12.75">
      <c r="D136" s="422" t="s">
        <v>628</v>
      </c>
      <c r="E136" s="422"/>
      <c r="F136" s="408"/>
      <c r="G136" s="416"/>
      <c r="H136" s="408"/>
      <c r="I136" s="408"/>
      <c r="J136" s="408"/>
      <c r="K136" s="408"/>
      <c r="L136" s="416"/>
    </row>
    <row r="137" spans="4:12" ht="12.75">
      <c r="D137" s="422" t="s">
        <v>683</v>
      </c>
      <c r="E137" s="422"/>
      <c r="F137" s="408"/>
      <c r="G137" s="923">
        <v>0.0027</v>
      </c>
      <c r="H137" s="277"/>
      <c r="I137" s="1020"/>
      <c r="J137" s="1003"/>
      <c r="K137" s="412"/>
      <c r="L137" s="416"/>
    </row>
    <row r="138" spans="3:11" ht="24.75" customHeight="1">
      <c r="C138" s="423" t="s">
        <v>610</v>
      </c>
      <c r="D138" s="408" t="s">
        <v>629</v>
      </c>
      <c r="E138" s="408"/>
      <c r="F138" s="408" t="str">
        <f>"1/12 of Step "&amp;A126&amp;""</f>
        <v>1/12 of Step 7</v>
      </c>
      <c r="G138" s="424" t="s">
        <v>641</v>
      </c>
      <c r="H138" s="408"/>
      <c r="I138" s="423" t="s">
        <v>630</v>
      </c>
      <c r="J138" s="408" t="s">
        <v>631</v>
      </c>
      <c r="K138" s="408"/>
    </row>
    <row r="139" spans="4:11" ht="12.75">
      <c r="D139" s="408"/>
      <c r="E139" s="408"/>
      <c r="F139" s="408"/>
      <c r="G139" s="408" t="s">
        <v>632</v>
      </c>
      <c r="H139" s="408" t="s">
        <v>633</v>
      </c>
      <c r="I139" s="408"/>
      <c r="J139" s="408"/>
      <c r="K139" s="408"/>
    </row>
    <row r="140" spans="1:10" ht="12.75">
      <c r="A140" s="824"/>
      <c r="C140" s="200" t="s">
        <v>621</v>
      </c>
      <c r="D140" s="200" t="s">
        <v>23</v>
      </c>
      <c r="F140" s="630">
        <f>F131</f>
        <v>-398646.9070656672</v>
      </c>
      <c r="G140" s="421">
        <f>+G137</f>
        <v>0.0027</v>
      </c>
      <c r="H140" s="200">
        <v>11.5</v>
      </c>
      <c r="I140" s="412">
        <f aca="true" t="shared" si="73" ref="I140:I151">+H140*G140*F140</f>
        <v>-12377.986464388967</v>
      </c>
      <c r="J140" s="412">
        <f aca="true" t="shared" si="74" ref="J140:J151">+F140+I140</f>
        <v>-411024.8935300562</v>
      </c>
    </row>
    <row r="141" spans="1:10" ht="12.75">
      <c r="A141" s="824"/>
      <c r="C141" s="200" t="s">
        <v>622</v>
      </c>
      <c r="D141" s="200" t="str">
        <f aca="true" t="shared" si="75" ref="D141:G146">+D140</f>
        <v>Year 1</v>
      </c>
      <c r="F141" s="690">
        <f>F140</f>
        <v>-398646.9070656672</v>
      </c>
      <c r="G141" s="425">
        <f t="shared" si="75"/>
        <v>0.0027</v>
      </c>
      <c r="H141" s="200">
        <f aca="true" t="shared" si="76" ref="H141:H151">+H140-1</f>
        <v>10.5</v>
      </c>
      <c r="I141" s="412">
        <f t="shared" si="73"/>
        <v>-11301.639815311666</v>
      </c>
      <c r="J141" s="412">
        <f t="shared" si="74"/>
        <v>-409948.54688097886</v>
      </c>
    </row>
    <row r="142" spans="1:10" ht="12.75">
      <c r="A142" s="824"/>
      <c r="C142" s="200" t="s">
        <v>623</v>
      </c>
      <c r="D142" s="200" t="str">
        <f t="shared" si="75"/>
        <v>Year 1</v>
      </c>
      <c r="F142" s="690">
        <f t="shared" si="75"/>
        <v>-398646.9070656672</v>
      </c>
      <c r="G142" s="425">
        <f t="shared" si="75"/>
        <v>0.0027</v>
      </c>
      <c r="H142" s="200">
        <f t="shared" si="76"/>
        <v>9.5</v>
      </c>
      <c r="I142" s="412">
        <f t="shared" si="73"/>
        <v>-10225.293166234365</v>
      </c>
      <c r="J142" s="412">
        <f t="shared" si="74"/>
        <v>-408872.2002319016</v>
      </c>
    </row>
    <row r="143" spans="1:10" ht="12.75">
      <c r="A143" s="824"/>
      <c r="C143" s="200" t="s">
        <v>624</v>
      </c>
      <c r="D143" s="200" t="str">
        <f t="shared" si="75"/>
        <v>Year 1</v>
      </c>
      <c r="F143" s="690">
        <f t="shared" si="75"/>
        <v>-398646.9070656672</v>
      </c>
      <c r="G143" s="425">
        <f t="shared" si="75"/>
        <v>0.0027</v>
      </c>
      <c r="H143" s="200">
        <f t="shared" si="76"/>
        <v>8.5</v>
      </c>
      <c r="I143" s="412">
        <f t="shared" si="73"/>
        <v>-9148.946517157063</v>
      </c>
      <c r="J143" s="412">
        <f t="shared" si="74"/>
        <v>-407795.8535828243</v>
      </c>
    </row>
    <row r="144" spans="1:10" ht="12.75">
      <c r="A144" s="824"/>
      <c r="C144" s="200" t="s">
        <v>625</v>
      </c>
      <c r="D144" s="200" t="str">
        <f t="shared" si="75"/>
        <v>Year 1</v>
      </c>
      <c r="F144" s="690">
        <f t="shared" si="75"/>
        <v>-398646.9070656672</v>
      </c>
      <c r="G144" s="425">
        <f t="shared" si="75"/>
        <v>0.0027</v>
      </c>
      <c r="H144" s="200">
        <f t="shared" si="76"/>
        <v>7.5</v>
      </c>
      <c r="I144" s="412">
        <f t="shared" si="73"/>
        <v>-8072.599868079761</v>
      </c>
      <c r="J144" s="412">
        <f t="shared" si="74"/>
        <v>-406719.506933747</v>
      </c>
    </row>
    <row r="145" spans="1:10" ht="12.75">
      <c r="A145" s="824"/>
      <c r="C145" s="200" t="s">
        <v>626</v>
      </c>
      <c r="D145" s="200" t="str">
        <f t="shared" si="75"/>
        <v>Year 1</v>
      </c>
      <c r="F145" s="690">
        <f t="shared" si="75"/>
        <v>-398646.9070656672</v>
      </c>
      <c r="G145" s="425">
        <f t="shared" si="75"/>
        <v>0.0027</v>
      </c>
      <c r="H145" s="200">
        <f t="shared" si="76"/>
        <v>6.5</v>
      </c>
      <c r="I145" s="412">
        <f t="shared" si="73"/>
        <v>-6996.253219002459</v>
      </c>
      <c r="J145" s="412">
        <f t="shared" si="74"/>
        <v>-405643.16028466966</v>
      </c>
    </row>
    <row r="146" spans="1:10" ht="12.75">
      <c r="A146" s="824"/>
      <c r="C146" s="200" t="s">
        <v>627</v>
      </c>
      <c r="D146" s="200" t="str">
        <f t="shared" si="75"/>
        <v>Year 1</v>
      </c>
      <c r="F146" s="690">
        <f aca="true" t="shared" si="77" ref="F146:F151">F145</f>
        <v>-398646.9070656672</v>
      </c>
      <c r="G146" s="425">
        <f t="shared" si="75"/>
        <v>0.0027</v>
      </c>
      <c r="H146" s="200">
        <f t="shared" si="76"/>
        <v>5.5</v>
      </c>
      <c r="I146" s="412">
        <f t="shared" si="73"/>
        <v>-5919.906569925159</v>
      </c>
      <c r="J146" s="412">
        <f t="shared" si="74"/>
        <v>-404566.81363559235</v>
      </c>
    </row>
    <row r="147" spans="1:10" ht="12.75">
      <c r="A147" s="824"/>
      <c r="C147" s="200" t="s">
        <v>617</v>
      </c>
      <c r="D147" s="200" t="s">
        <v>21</v>
      </c>
      <c r="F147" s="690">
        <f t="shared" si="77"/>
        <v>-398646.9070656672</v>
      </c>
      <c r="G147" s="425">
        <f>+G146</f>
        <v>0.0027</v>
      </c>
      <c r="H147" s="200">
        <f t="shared" si="76"/>
        <v>4.5</v>
      </c>
      <c r="I147" s="412">
        <f t="shared" si="73"/>
        <v>-4843.559920847857</v>
      </c>
      <c r="J147" s="412">
        <f t="shared" si="74"/>
        <v>-403490.4669865151</v>
      </c>
    </row>
    <row r="148" spans="1:10" ht="12.75">
      <c r="A148" s="824"/>
      <c r="C148" s="200" t="s">
        <v>618</v>
      </c>
      <c r="D148" s="200" t="str">
        <f>+D147</f>
        <v>Year 2</v>
      </c>
      <c r="F148" s="690">
        <f t="shared" si="77"/>
        <v>-398646.9070656672</v>
      </c>
      <c r="G148" s="425">
        <f>+G147</f>
        <v>0.0027</v>
      </c>
      <c r="H148" s="200">
        <f t="shared" si="76"/>
        <v>3.5</v>
      </c>
      <c r="I148" s="412">
        <f t="shared" si="73"/>
        <v>-3767.2132717705554</v>
      </c>
      <c r="J148" s="412">
        <f t="shared" si="74"/>
        <v>-402414.1203374378</v>
      </c>
    </row>
    <row r="149" spans="1:10" ht="12.75">
      <c r="A149" s="824"/>
      <c r="C149" s="200" t="s">
        <v>619</v>
      </c>
      <c r="D149" s="200" t="str">
        <f>+D148</f>
        <v>Year 2</v>
      </c>
      <c r="F149" s="690">
        <f t="shared" si="77"/>
        <v>-398646.9070656672</v>
      </c>
      <c r="G149" s="425">
        <f>+G148</f>
        <v>0.0027</v>
      </c>
      <c r="H149" s="200">
        <f t="shared" si="76"/>
        <v>2.5</v>
      </c>
      <c r="I149" s="412">
        <f t="shared" si="73"/>
        <v>-2690.866622693254</v>
      </c>
      <c r="J149" s="412">
        <f t="shared" si="74"/>
        <v>-401337.77368836047</v>
      </c>
    </row>
    <row r="150" spans="1:10" ht="12.75">
      <c r="A150" s="824"/>
      <c r="C150" s="200" t="s">
        <v>620</v>
      </c>
      <c r="D150" s="200" t="str">
        <f>+D149</f>
        <v>Year 2</v>
      </c>
      <c r="F150" s="690">
        <f t="shared" si="77"/>
        <v>-398646.9070656672</v>
      </c>
      <c r="G150" s="425">
        <f>+G149</f>
        <v>0.0027</v>
      </c>
      <c r="H150" s="200">
        <f t="shared" si="76"/>
        <v>1.5</v>
      </c>
      <c r="I150" s="412">
        <f t="shared" si="73"/>
        <v>-1614.519973615952</v>
      </c>
      <c r="J150" s="412">
        <f t="shared" si="74"/>
        <v>-400261.42703928315</v>
      </c>
    </row>
    <row r="151" spans="1:10" ht="12.75">
      <c r="A151" s="824"/>
      <c r="C151" s="200" t="s">
        <v>615</v>
      </c>
      <c r="D151" s="200" t="str">
        <f>+D150</f>
        <v>Year 2</v>
      </c>
      <c r="F151" s="690">
        <f t="shared" si="77"/>
        <v>-398646.9070656672</v>
      </c>
      <c r="G151" s="425">
        <f>+G150</f>
        <v>0.0027</v>
      </c>
      <c r="H151" s="200">
        <f t="shared" si="76"/>
        <v>0.5</v>
      </c>
      <c r="I151" s="412">
        <f t="shared" si="73"/>
        <v>-538.1733245386507</v>
      </c>
      <c r="J151" s="412">
        <f t="shared" si="74"/>
        <v>-399185.08039020584</v>
      </c>
    </row>
    <row r="152" spans="1:10" ht="12.75">
      <c r="A152" s="824"/>
      <c r="C152" s="200" t="s">
        <v>449</v>
      </c>
      <c r="F152" s="416">
        <f>SUM(F140:F151)</f>
        <v>-4783762.884788007</v>
      </c>
      <c r="J152" s="412">
        <f>SUM(J140:J151)</f>
        <v>-4861259.843521572</v>
      </c>
    </row>
    <row r="153" spans="1:10" ht="12.75">
      <c r="A153" s="824"/>
      <c r="C153" s="200"/>
      <c r="F153" s="416"/>
      <c r="J153" s="412"/>
    </row>
    <row r="154" spans="1:11" ht="12.75">
      <c r="A154" s="824"/>
      <c r="C154" s="200"/>
      <c r="F154" s="423" t="s">
        <v>634</v>
      </c>
      <c r="G154" s="408" t="s">
        <v>630</v>
      </c>
      <c r="H154" s="408" t="s">
        <v>635</v>
      </c>
      <c r="I154" s="408" t="s">
        <v>634</v>
      </c>
      <c r="K154" s="408"/>
    </row>
    <row r="155" spans="1:11" ht="12.75">
      <c r="A155" s="824"/>
      <c r="C155" s="200" t="str">
        <f aca="true" t="shared" si="78" ref="C155:C166">+C140</f>
        <v>Jun</v>
      </c>
      <c r="D155" s="200" t="str">
        <f>+D151</f>
        <v>Year 2</v>
      </c>
      <c r="F155" s="690">
        <f>J152</f>
        <v>-4861259.843521572</v>
      </c>
      <c r="G155" s="425">
        <f>+G151</f>
        <v>0.0027</v>
      </c>
      <c r="H155" s="412">
        <f>-PMT(G155,12,J152)</f>
        <v>-412249.72392226884</v>
      </c>
      <c r="I155" s="412">
        <f aca="true" t="shared" si="79" ref="I155:I166">+F155+F155*G155-H155</f>
        <v>-4462135.521176811</v>
      </c>
      <c r="K155" s="412"/>
    </row>
    <row r="156" spans="1:11" ht="12.75">
      <c r="A156" s="824"/>
      <c r="C156" s="200" t="str">
        <f t="shared" si="78"/>
        <v>Jul</v>
      </c>
      <c r="D156" s="200" t="str">
        <f aca="true" t="shared" si="80" ref="D156:D161">+D155</f>
        <v>Year 2</v>
      </c>
      <c r="F156" s="690">
        <f aca="true" t="shared" si="81" ref="F156:F166">I155</f>
        <v>-4462135.521176811</v>
      </c>
      <c r="G156" s="425">
        <f aca="true" t="shared" si="82" ref="G156:G166">+G155</f>
        <v>0.0027</v>
      </c>
      <c r="H156" s="416">
        <f aca="true" t="shared" si="83" ref="H156:H166">+H155</f>
        <v>-412249.72392226884</v>
      </c>
      <c r="I156" s="412">
        <f t="shared" si="79"/>
        <v>-4061933.56316172</v>
      </c>
      <c r="K156" s="416"/>
    </row>
    <row r="157" spans="1:11" ht="12.75">
      <c r="A157" s="824"/>
      <c r="C157" s="200" t="str">
        <f t="shared" si="78"/>
        <v>Aug</v>
      </c>
      <c r="D157" s="200" t="str">
        <f t="shared" si="80"/>
        <v>Year 2</v>
      </c>
      <c r="F157" s="690">
        <f t="shared" si="81"/>
        <v>-4061933.56316172</v>
      </c>
      <c r="G157" s="425">
        <f t="shared" si="82"/>
        <v>0.0027</v>
      </c>
      <c r="H157" s="416">
        <f t="shared" si="83"/>
        <v>-412249.72392226884</v>
      </c>
      <c r="I157" s="412">
        <f t="shared" si="79"/>
        <v>-3660651.059859988</v>
      </c>
      <c r="K157" s="416"/>
    </row>
    <row r="158" spans="1:14" ht="12.75">
      <c r="A158" s="824"/>
      <c r="C158" s="200" t="str">
        <f t="shared" si="78"/>
        <v>Sep</v>
      </c>
      <c r="D158" s="200" t="str">
        <f t="shared" si="80"/>
        <v>Year 2</v>
      </c>
      <c r="F158" s="690">
        <f t="shared" si="81"/>
        <v>-3660651.059859988</v>
      </c>
      <c r="G158" s="425">
        <f t="shared" si="82"/>
        <v>0.0027</v>
      </c>
      <c r="H158" s="416">
        <f t="shared" si="83"/>
        <v>-412249.72392226884</v>
      </c>
      <c r="I158" s="412">
        <f t="shared" si="79"/>
        <v>-3258285.093799341</v>
      </c>
      <c r="K158" s="416"/>
      <c r="N158" s="426"/>
    </row>
    <row r="159" spans="1:14" ht="12.75">
      <c r="A159" s="824"/>
      <c r="C159" s="200" t="str">
        <f t="shared" si="78"/>
        <v>Oct</v>
      </c>
      <c r="D159" s="200" t="str">
        <f t="shared" si="80"/>
        <v>Year 2</v>
      </c>
      <c r="F159" s="690">
        <f t="shared" si="81"/>
        <v>-3258285.093799341</v>
      </c>
      <c r="G159" s="425">
        <f t="shared" si="82"/>
        <v>0.0027</v>
      </c>
      <c r="H159" s="416">
        <f t="shared" si="83"/>
        <v>-412249.72392226884</v>
      </c>
      <c r="I159" s="412">
        <f t="shared" si="79"/>
        <v>-2854832.7396303304</v>
      </c>
      <c r="K159" s="416"/>
      <c r="N159" s="425"/>
    </row>
    <row r="160" spans="1:11" ht="12.75">
      <c r="A160" s="824"/>
      <c r="C160" s="200" t="str">
        <f t="shared" si="78"/>
        <v>Nov</v>
      </c>
      <c r="D160" s="200" t="str">
        <f t="shared" si="80"/>
        <v>Year 2</v>
      </c>
      <c r="F160" s="690">
        <f t="shared" si="81"/>
        <v>-2854832.7396303304</v>
      </c>
      <c r="G160" s="425">
        <f t="shared" si="82"/>
        <v>0.0027</v>
      </c>
      <c r="H160" s="416">
        <f t="shared" si="83"/>
        <v>-412249.72392226884</v>
      </c>
      <c r="I160" s="412">
        <f t="shared" si="79"/>
        <v>-2450291.064105063</v>
      </c>
      <c r="K160" s="416"/>
    </row>
    <row r="161" spans="1:11" ht="12.75">
      <c r="A161" s="824"/>
      <c r="C161" s="200" t="str">
        <f t="shared" si="78"/>
        <v>Dec</v>
      </c>
      <c r="D161" s="200" t="str">
        <f t="shared" si="80"/>
        <v>Year 2</v>
      </c>
      <c r="F161" s="690">
        <f t="shared" si="81"/>
        <v>-2450291.064105063</v>
      </c>
      <c r="G161" s="425">
        <f t="shared" si="82"/>
        <v>0.0027</v>
      </c>
      <c r="H161" s="416">
        <f t="shared" si="83"/>
        <v>-412249.72392226884</v>
      </c>
      <c r="I161" s="412">
        <f t="shared" si="79"/>
        <v>-2044657.1260558781</v>
      </c>
      <c r="K161" s="416"/>
    </row>
    <row r="162" spans="1:11" ht="12.75">
      <c r="A162" s="824"/>
      <c r="C162" s="200" t="str">
        <f t="shared" si="78"/>
        <v>Jan</v>
      </c>
      <c r="D162" s="200" t="s">
        <v>20</v>
      </c>
      <c r="F162" s="690">
        <f t="shared" si="81"/>
        <v>-2044657.1260558781</v>
      </c>
      <c r="G162" s="425">
        <f t="shared" si="82"/>
        <v>0.0027</v>
      </c>
      <c r="H162" s="416">
        <f t="shared" si="83"/>
        <v>-412249.72392226884</v>
      </c>
      <c r="I162" s="412">
        <f t="shared" si="79"/>
        <v>-1637927.9763739603</v>
      </c>
      <c r="K162" s="416"/>
    </row>
    <row r="163" spans="1:11" ht="12.75">
      <c r="A163" s="824"/>
      <c r="C163" s="200" t="str">
        <f t="shared" si="78"/>
        <v>Feb</v>
      </c>
      <c r="D163" s="200" t="str">
        <f>+D162</f>
        <v>Year 3</v>
      </c>
      <c r="F163" s="690">
        <f t="shared" si="81"/>
        <v>-1637927.9763739603</v>
      </c>
      <c r="G163" s="425">
        <f t="shared" si="82"/>
        <v>0.0027</v>
      </c>
      <c r="H163" s="416">
        <f t="shared" si="83"/>
        <v>-412249.72392226884</v>
      </c>
      <c r="I163" s="412">
        <f t="shared" si="79"/>
        <v>-1230100.657987901</v>
      </c>
      <c r="K163" s="416"/>
    </row>
    <row r="164" spans="1:11" ht="12.75">
      <c r="A164" s="824"/>
      <c r="C164" s="200" t="str">
        <f t="shared" si="78"/>
        <v>Mar</v>
      </c>
      <c r="D164" s="200" t="str">
        <f>+D163</f>
        <v>Year 3</v>
      </c>
      <c r="F164" s="690">
        <f t="shared" si="81"/>
        <v>-1230100.657987901</v>
      </c>
      <c r="G164" s="425">
        <f t="shared" si="82"/>
        <v>0.0027</v>
      </c>
      <c r="H164" s="416">
        <f t="shared" si="83"/>
        <v>-412249.72392226884</v>
      </c>
      <c r="I164" s="412">
        <f t="shared" si="79"/>
        <v>-821172.2058421996</v>
      </c>
      <c r="K164" s="416"/>
    </row>
    <row r="165" spans="1:11" ht="12.75">
      <c r="A165" s="824"/>
      <c r="C165" s="200" t="str">
        <f t="shared" si="78"/>
        <v>Apr</v>
      </c>
      <c r="D165" s="200" t="str">
        <f>+D164</f>
        <v>Year 3</v>
      </c>
      <c r="F165" s="690">
        <f t="shared" si="81"/>
        <v>-821172.2058421996</v>
      </c>
      <c r="G165" s="425">
        <f t="shared" si="82"/>
        <v>0.0027</v>
      </c>
      <c r="H165" s="416">
        <f t="shared" si="83"/>
        <v>-412249.72392226884</v>
      </c>
      <c r="I165" s="412">
        <f t="shared" si="79"/>
        <v>-411139.64687570476</v>
      </c>
      <c r="K165" s="416"/>
    </row>
    <row r="166" spans="1:11" ht="12.75">
      <c r="A166" s="824"/>
      <c r="C166" s="200" t="str">
        <f t="shared" si="78"/>
        <v>May</v>
      </c>
      <c r="D166" s="200" t="str">
        <f>+D165</f>
        <v>Year 3</v>
      </c>
      <c r="F166" s="690">
        <f t="shared" si="81"/>
        <v>-411139.64687570476</v>
      </c>
      <c r="G166" s="425">
        <f t="shared" si="82"/>
        <v>0.0027</v>
      </c>
      <c r="H166" s="416">
        <f t="shared" si="83"/>
        <v>-412249.72392226884</v>
      </c>
      <c r="I166" s="412">
        <f t="shared" si="79"/>
        <v>0</v>
      </c>
      <c r="K166" s="416"/>
    </row>
    <row r="167" spans="3:11" ht="12.75">
      <c r="C167" s="200" t="s">
        <v>733</v>
      </c>
      <c r="H167" s="416">
        <f>SUM(H155:H166)</f>
        <v>-4946996.6870672265</v>
      </c>
      <c r="K167" s="416"/>
    </row>
    <row r="168" ht="12.75">
      <c r="C168" s="200"/>
    </row>
    <row r="169" spans="3:9" ht="12.75">
      <c r="C169" s="422" t="str">
        <f>"The difference between the Reconciliation in Step "&amp;A76&amp;" and the forecast in Prior Year with interest"</f>
        <v>The difference between the Reconciliation in Step 6 and the forecast in Prior Year with interest</v>
      </c>
      <c r="D169" s="408"/>
      <c r="E169" s="408"/>
      <c r="G169" s="408"/>
      <c r="I169" s="416">
        <f>+H167</f>
        <v>-4946996.6870672265</v>
      </c>
    </row>
    <row r="170" spans="3:13" ht="12.75">
      <c r="C170" s="422"/>
      <c r="D170" s="408"/>
      <c r="E170" s="410" t="str">
        <f>"Place result in line "&amp;'Appendix A'!A267&amp;" of the formula for Year 2 rate"</f>
        <v>Place result in line 164 of the formula for Year 2 rate</v>
      </c>
      <c r="G170" s="408"/>
      <c r="L170" s="416"/>
      <c r="M170" s="416"/>
    </row>
    <row r="171" spans="3:13" ht="12.75">
      <c r="C171" s="419"/>
      <c r="D171" s="408"/>
      <c r="E171" s="410"/>
      <c r="G171" s="408"/>
      <c r="H171" s="416"/>
      <c r="I171" s="416"/>
      <c r="J171" s="416"/>
      <c r="K171" s="416"/>
      <c r="L171" s="416"/>
      <c r="M171" s="416"/>
    </row>
    <row r="172" spans="3:13" ht="12.75">
      <c r="C172" s="419"/>
      <c r="D172" s="408"/>
      <c r="E172" s="410"/>
      <c r="G172" s="408"/>
      <c r="H172" s="416"/>
      <c r="I172" s="416"/>
      <c r="J172" s="416"/>
      <c r="K172" s="416"/>
      <c r="L172" s="410"/>
      <c r="M172" s="416"/>
    </row>
    <row r="173" spans="3:13" ht="12.75">
      <c r="C173" s="200"/>
      <c r="D173" s="408"/>
      <c r="E173" s="410"/>
      <c r="G173" s="408"/>
      <c r="H173" s="419"/>
      <c r="I173" s="419"/>
      <c r="J173" s="419"/>
      <c r="K173" s="419"/>
      <c r="L173" s="842"/>
      <c r="M173" s="416"/>
    </row>
    <row r="174" spans="3:13" ht="12.75">
      <c r="C174" s="419"/>
      <c r="D174" s="408"/>
      <c r="G174" s="408"/>
      <c r="H174" s="410"/>
      <c r="I174" s="410"/>
      <c r="J174" s="410"/>
      <c r="K174" s="410"/>
      <c r="L174" s="410"/>
      <c r="M174" s="416"/>
    </row>
    <row r="175" spans="3:13" ht="12.75">
      <c r="C175" s="419"/>
      <c r="D175" s="408"/>
      <c r="E175" s="410"/>
      <c r="G175" s="408"/>
      <c r="H175" s="416"/>
      <c r="I175" s="416"/>
      <c r="J175" s="416"/>
      <c r="K175" s="416"/>
      <c r="L175" s="410"/>
      <c r="M175" s="416"/>
    </row>
    <row r="176" spans="3:13" ht="12.75">
      <c r="C176" s="419"/>
      <c r="D176" s="408"/>
      <c r="E176" s="410"/>
      <c r="G176" s="408"/>
      <c r="H176" s="416"/>
      <c r="I176" s="416"/>
      <c r="J176" s="416"/>
      <c r="K176" s="416"/>
      <c r="L176" s="410"/>
      <c r="M176" s="416"/>
    </row>
    <row r="177" spans="3:25" ht="12.75">
      <c r="C177" s="419"/>
      <c r="D177" s="408"/>
      <c r="E177" s="408"/>
      <c r="G177" s="408"/>
      <c r="H177" s="416"/>
      <c r="I177" s="416"/>
      <c r="J177" s="416"/>
      <c r="K177" s="416"/>
      <c r="L177" s="410"/>
      <c r="M177" s="416"/>
      <c r="Y177" s="952"/>
    </row>
    <row r="178" spans="1:25" ht="12.75">
      <c r="A178" s="408">
        <f>A12</f>
        <v>9</v>
      </c>
      <c r="B178" s="408" t="str">
        <f>+B12</f>
        <v>April</v>
      </c>
      <c r="C178" s="408" t="str">
        <f>+C12</f>
        <v>Year 3</v>
      </c>
      <c r="D178" s="410" t="str">
        <f>+D12</f>
        <v>TO estimates all transmission Cap Adds, Retirements, CWIP and associated depreciation for Year 3 based on Months expected to be in service and monthly CWIP balances in Year 3.</v>
      </c>
      <c r="E178" s="410"/>
      <c r="Y178" s="952"/>
    </row>
    <row r="179" spans="18:32" ht="12.75">
      <c r="R179" s="408"/>
      <c r="S179" s="408"/>
      <c r="T179" s="408"/>
      <c r="U179" s="408"/>
      <c r="V179" s="408"/>
      <c r="Z179" s="952"/>
      <c r="AA179" s="952"/>
      <c r="AE179" s="963"/>
      <c r="AF179" s="963"/>
    </row>
    <row r="180" spans="4:29" ht="12.75">
      <c r="D180" s="410"/>
      <c r="E180" s="410"/>
      <c r="T180" s="200" t="s">
        <v>844</v>
      </c>
      <c r="U180" s="200" t="s">
        <v>845</v>
      </c>
      <c r="V180" s="200" t="s">
        <v>846</v>
      </c>
      <c r="W180" s="200" t="s">
        <v>783</v>
      </c>
      <c r="X180" s="200" t="s">
        <v>847</v>
      </c>
      <c r="Y180" s="200" t="s">
        <v>856</v>
      </c>
      <c r="Z180" s="200" t="s">
        <v>857</v>
      </c>
      <c r="AA180" s="200" t="s">
        <v>858</v>
      </c>
      <c r="AB180" s="200" t="s">
        <v>851</v>
      </c>
      <c r="AC180" s="200" t="s">
        <v>859</v>
      </c>
    </row>
    <row r="181" spans="1:50" ht="12.75">
      <c r="A181" s="810"/>
      <c r="C181" s="410"/>
      <c r="D181" s="200" t="s">
        <v>530</v>
      </c>
      <c r="E181" s="200" t="s">
        <v>531</v>
      </c>
      <c r="F181" s="200" t="s">
        <v>492</v>
      </c>
      <c r="G181" s="200" t="s">
        <v>532</v>
      </c>
      <c r="H181" s="200" t="s">
        <v>726</v>
      </c>
      <c r="I181" s="200" t="s">
        <v>145</v>
      </c>
      <c r="J181" s="200" t="s">
        <v>146</v>
      </c>
      <c r="K181" s="200" t="s">
        <v>728</v>
      </c>
      <c r="L181" s="200" t="s">
        <v>93</v>
      </c>
      <c r="M181" s="200" t="s">
        <v>123</v>
      </c>
      <c r="N181" s="200" t="s">
        <v>94</v>
      </c>
      <c r="O181" s="200" t="s">
        <v>780</v>
      </c>
      <c r="P181" s="200" t="s">
        <v>95</v>
      </c>
      <c r="Q181" s="200" t="s">
        <v>781</v>
      </c>
      <c r="R181" s="200" t="s">
        <v>96</v>
      </c>
      <c r="S181" s="200" t="s">
        <v>782</v>
      </c>
      <c r="T181" s="450" t="s">
        <v>727</v>
      </c>
      <c r="U181" s="414"/>
      <c r="V181" s="414"/>
      <c r="W181" s="414"/>
      <c r="X181" s="414"/>
      <c r="Y181" s="414"/>
      <c r="Z181" s="414"/>
      <c r="AA181" s="414"/>
      <c r="AB181" s="414"/>
      <c r="AC181" s="1182"/>
      <c r="AH181" s="410"/>
      <c r="AI181" s="200" t="s">
        <v>530</v>
      </c>
      <c r="AJ181" s="200" t="s">
        <v>531</v>
      </c>
      <c r="AK181" s="200" t="s">
        <v>492</v>
      </c>
      <c r="AL181" s="200" t="s">
        <v>532</v>
      </c>
      <c r="AM181" s="200" t="s">
        <v>726</v>
      </c>
      <c r="AN181" s="200" t="s">
        <v>145</v>
      </c>
      <c r="AO181" s="200" t="s">
        <v>146</v>
      </c>
      <c r="AP181" s="200" t="s">
        <v>728</v>
      </c>
      <c r="AQ181" s="200" t="s">
        <v>93</v>
      </c>
      <c r="AR181" s="200" t="s">
        <v>123</v>
      </c>
      <c r="AS181" s="200" t="s">
        <v>94</v>
      </c>
      <c r="AT181" s="200" t="s">
        <v>780</v>
      </c>
      <c r="AU181" s="200" t="s">
        <v>95</v>
      </c>
      <c r="AV181" s="200" t="s">
        <v>781</v>
      </c>
      <c r="AW181" s="200" t="s">
        <v>96</v>
      </c>
      <c r="AX181" s="200" t="s">
        <v>782</v>
      </c>
    </row>
    <row r="182" spans="1:50" ht="12.75">
      <c r="A182" s="810"/>
      <c r="C182" s="200"/>
      <c r="D182" s="1181" t="s">
        <v>871</v>
      </c>
      <c r="E182" s="408" t="s">
        <v>600</v>
      </c>
      <c r="F182" s="408" t="s">
        <v>874</v>
      </c>
      <c r="G182" s="408" t="s">
        <v>874</v>
      </c>
      <c r="H182" s="408" t="s">
        <v>874</v>
      </c>
      <c r="I182" s="408" t="s">
        <v>875</v>
      </c>
      <c r="J182" s="408" t="s">
        <v>875</v>
      </c>
      <c r="K182" s="408" t="s">
        <v>876</v>
      </c>
      <c r="L182" s="200" t="s">
        <v>110</v>
      </c>
      <c r="M182" s="408" t="s">
        <v>110</v>
      </c>
      <c r="N182" s="408" t="s">
        <v>850</v>
      </c>
      <c r="O182" s="408" t="s">
        <v>877</v>
      </c>
      <c r="P182" s="408" t="s">
        <v>850</v>
      </c>
      <c r="Q182" s="408" t="s">
        <v>868</v>
      </c>
      <c r="R182" s="408" t="s">
        <v>878</v>
      </c>
      <c r="S182" s="408" t="s">
        <v>868</v>
      </c>
      <c r="T182" s="1184" t="s">
        <v>871</v>
      </c>
      <c r="U182" s="1184" t="s">
        <v>874</v>
      </c>
      <c r="V182" s="1184" t="s">
        <v>879</v>
      </c>
      <c r="W182" s="1184" t="s">
        <v>875</v>
      </c>
      <c r="X182" s="1184" t="s">
        <v>875</v>
      </c>
      <c r="Y182" s="1184" t="s">
        <v>110</v>
      </c>
      <c r="Z182" s="1184" t="s">
        <v>850</v>
      </c>
      <c r="AA182" s="1184" t="s">
        <v>850</v>
      </c>
      <c r="AB182" s="1184" t="s">
        <v>868</v>
      </c>
      <c r="AC182" s="1184" t="s">
        <v>880</v>
      </c>
      <c r="AD182" s="200" t="s">
        <v>449</v>
      </c>
      <c r="AI182" s="1181" t="s">
        <v>871</v>
      </c>
      <c r="AJ182" s="408" t="s">
        <v>600</v>
      </c>
      <c r="AK182" s="408" t="s">
        <v>874</v>
      </c>
      <c r="AL182" s="408" t="s">
        <v>874</v>
      </c>
      <c r="AM182" s="408" t="s">
        <v>874</v>
      </c>
      <c r="AN182" s="408" t="s">
        <v>875</v>
      </c>
      <c r="AO182" s="408" t="s">
        <v>875</v>
      </c>
      <c r="AP182" s="408" t="s">
        <v>876</v>
      </c>
      <c r="AQ182" s="200" t="s">
        <v>110</v>
      </c>
      <c r="AR182" s="408" t="s">
        <v>110</v>
      </c>
      <c r="AS182" s="408" t="s">
        <v>850</v>
      </c>
      <c r="AT182" s="408" t="s">
        <v>877</v>
      </c>
      <c r="AU182" s="408" t="s">
        <v>850</v>
      </c>
      <c r="AV182" s="408" t="s">
        <v>868</v>
      </c>
      <c r="AW182" s="408" t="s">
        <v>878</v>
      </c>
      <c r="AX182" s="408" t="s">
        <v>868</v>
      </c>
    </row>
    <row r="183" spans="1:50" ht="12.75">
      <c r="A183" s="810"/>
      <c r="C183" s="200"/>
      <c r="D183" s="1181" t="s">
        <v>119</v>
      </c>
      <c r="E183" s="408" t="s">
        <v>872</v>
      </c>
      <c r="F183" s="408" t="s">
        <v>873</v>
      </c>
      <c r="G183" s="408" t="s">
        <v>119</v>
      </c>
      <c r="H183" s="408" t="s">
        <v>872</v>
      </c>
      <c r="I183" s="408" t="s">
        <v>119</v>
      </c>
      <c r="J183" s="408" t="s">
        <v>872</v>
      </c>
      <c r="K183" s="408" t="s">
        <v>873</v>
      </c>
      <c r="L183" s="408" t="s">
        <v>119</v>
      </c>
      <c r="M183" s="408" t="s">
        <v>872</v>
      </c>
      <c r="N183" s="408" t="s">
        <v>119</v>
      </c>
      <c r="O183" s="408" t="s">
        <v>872</v>
      </c>
      <c r="P183" s="408" t="s">
        <v>873</v>
      </c>
      <c r="Q183" s="408" t="s">
        <v>119</v>
      </c>
      <c r="R183" s="408" t="s">
        <v>872</v>
      </c>
      <c r="S183" s="408" t="s">
        <v>873</v>
      </c>
      <c r="T183" s="1183" t="s">
        <v>119</v>
      </c>
      <c r="U183" s="1183" t="s">
        <v>873</v>
      </c>
      <c r="V183" s="1183" t="s">
        <v>119</v>
      </c>
      <c r="W183" s="1183" t="s">
        <v>119</v>
      </c>
      <c r="X183" s="1183" t="s">
        <v>873</v>
      </c>
      <c r="Y183" s="1183" t="s">
        <v>119</v>
      </c>
      <c r="Z183" s="1183" t="s">
        <v>119</v>
      </c>
      <c r="AA183" s="1183" t="s">
        <v>873</v>
      </c>
      <c r="AB183" s="1183" t="s">
        <v>119</v>
      </c>
      <c r="AC183" s="1183" t="s">
        <v>873</v>
      </c>
      <c r="AI183" s="1181" t="s">
        <v>119</v>
      </c>
      <c r="AJ183" s="408" t="s">
        <v>872</v>
      </c>
      <c r="AK183" s="408" t="s">
        <v>873</v>
      </c>
      <c r="AL183" s="408" t="s">
        <v>119</v>
      </c>
      <c r="AM183" s="408" t="s">
        <v>872</v>
      </c>
      <c r="AN183" s="408" t="s">
        <v>119</v>
      </c>
      <c r="AO183" s="408" t="s">
        <v>872</v>
      </c>
      <c r="AP183" s="408" t="s">
        <v>873</v>
      </c>
      <c r="AQ183" s="408" t="s">
        <v>119</v>
      </c>
      <c r="AR183" s="408" t="s">
        <v>872</v>
      </c>
      <c r="AS183" s="408" t="s">
        <v>119</v>
      </c>
      <c r="AT183" s="408" t="s">
        <v>872</v>
      </c>
      <c r="AU183" s="408" t="s">
        <v>873</v>
      </c>
      <c r="AV183" s="408" t="s">
        <v>119</v>
      </c>
      <c r="AW183" s="408" t="s">
        <v>872</v>
      </c>
      <c r="AX183" s="408" t="s">
        <v>873</v>
      </c>
    </row>
    <row r="184" spans="1:49" ht="12.75">
      <c r="A184" s="810"/>
      <c r="C184" s="200" t="s">
        <v>627</v>
      </c>
      <c r="D184" s="412"/>
      <c r="E184" s="412"/>
      <c r="F184" s="412"/>
      <c r="G184" s="412"/>
      <c r="H184" s="412"/>
      <c r="I184" s="412"/>
      <c r="J184" s="412"/>
      <c r="K184" s="412"/>
      <c r="T184" s="480">
        <v>0</v>
      </c>
      <c r="U184" s="675">
        <f>IF('Appendix A'!I1=1,0,0)</f>
        <v>0</v>
      </c>
      <c r="V184" s="675">
        <f>230181505*0</f>
        <v>0</v>
      </c>
      <c r="W184" s="1125">
        <f>93942082*0</f>
        <v>0</v>
      </c>
      <c r="X184" s="1125">
        <f>IF('Appendix A'!I1=1,0,41112497*0)</f>
        <v>0</v>
      </c>
      <c r="Y184" s="675">
        <f>IF('Appendix A'!I1=1,0,3158241.79*0)</f>
        <v>0</v>
      </c>
      <c r="Z184" s="675">
        <v>0</v>
      </c>
      <c r="AA184" s="675">
        <f>IF('Appendix A'!I1=1,0,'6- Est &amp; Reconcile WS'!AA97)</f>
        <v>4067098.550000008</v>
      </c>
      <c r="AB184" s="675">
        <v>0</v>
      </c>
      <c r="AC184" s="675">
        <f>IF('Appendix A'!I1=1,0,'6- Est &amp; Reconcile WS'!AC97)</f>
        <v>8200652.599999999</v>
      </c>
      <c r="AG184" s="200" t="s">
        <v>627</v>
      </c>
      <c r="AJ184" s="412"/>
      <c r="AM184" s="412"/>
      <c r="AO184" s="412"/>
      <c r="AT184" s="412"/>
      <c r="AW184" s="1175"/>
    </row>
    <row r="185" spans="1:50" ht="12.75">
      <c r="A185" s="810"/>
      <c r="C185" s="200" t="s">
        <v>617</v>
      </c>
      <c r="D185" s="630">
        <f>IF('Appendix A'!$I$1=1,0,'6- Est &amp; Reconcile WS'!AI185)</f>
        <v>205808.21999999872</v>
      </c>
      <c r="E185" s="630">
        <f>IF('Appendix A'!$I$1=1,0,'6- Est &amp; Reconcile WS'!AJ185)</f>
        <v>0</v>
      </c>
      <c r="F185" s="630">
        <f>IF('Appendix A'!$I$1=1,0,'6- Est &amp; Reconcile WS'!AK185)</f>
        <v>0</v>
      </c>
      <c r="G185" s="630">
        <f>IF('Appendix A'!$I$1=1,0,'6- Est &amp; Reconcile WS'!AL185)</f>
        <v>0</v>
      </c>
      <c r="H185" s="630">
        <f>IF('Appendix A'!$I$1=1,0,'6- Est &amp; Reconcile WS'!AM185)</f>
        <v>0</v>
      </c>
      <c r="I185" s="630">
        <f>IF('Appendix A'!$I$1=1,0,'6- Est &amp; Reconcile WS'!AN185)</f>
        <v>0</v>
      </c>
      <c r="J185" s="630">
        <f>IF('Appendix A'!$I$1=1,0,'6- Est &amp; Reconcile WS'!AO185)</f>
        <v>0</v>
      </c>
      <c r="K185" s="630">
        <f>IF('Appendix A'!$I$1=1,0,'6- Est &amp; Reconcile WS'!AP185)</f>
        <v>0</v>
      </c>
      <c r="L185" s="630">
        <f>IF('Appendix A'!$I$1=1,0,'6- Est &amp; Reconcile WS'!AQ185)</f>
        <v>0</v>
      </c>
      <c r="M185" s="630">
        <f>IF('Appendix A'!$I$1=1,0,'6- Est &amp; Reconcile WS'!AR185)</f>
        <v>0</v>
      </c>
      <c r="N185" s="630">
        <f>IF('Appendix A'!$I$1=1,0,'6- Est &amp; Reconcile WS'!AS185)</f>
        <v>6732.889999999999</v>
      </c>
      <c r="O185" s="630">
        <f>IF('Appendix A'!$I$1=1,0,'6- Est &amp; Reconcile WS'!AT185)</f>
        <v>0</v>
      </c>
      <c r="P185" s="630">
        <f>IF('Appendix A'!$I$1=1,0,'6- Est &amp; Reconcile WS'!AU185)</f>
        <v>66953.85</v>
      </c>
      <c r="Q185" s="630">
        <f>IF('Appendix A'!$I$1=1,0,'6- Est &amp; Reconcile WS'!AV185)</f>
        <v>60732.899999999994</v>
      </c>
      <c r="R185" s="630">
        <f>IF('Appendix A'!$I$1=1,0,'6- Est &amp; Reconcile WS'!AW185)</f>
        <v>0</v>
      </c>
      <c r="S185" s="630">
        <f>IF('Appendix A'!$I$1=1,0,'6- Est &amp; Reconcile WS'!AX185)</f>
        <v>445130.66000000003</v>
      </c>
      <c r="T185" s="416">
        <f aca="true" t="shared" si="84" ref="T185:T196">T184+D185+E185</f>
        <v>205808.21999999872</v>
      </c>
      <c r="U185" s="416">
        <f aca="true" t="shared" si="85" ref="U185:U196">U184+F185</f>
        <v>0</v>
      </c>
      <c r="V185" s="412">
        <f aca="true" t="shared" si="86" ref="V185:V196">V184+G185+H185</f>
        <v>0</v>
      </c>
      <c r="W185" s="412">
        <f aca="true" t="shared" si="87" ref="W185:W196">W184+I185+J185</f>
        <v>0</v>
      </c>
      <c r="X185" s="412">
        <f aca="true" t="shared" si="88" ref="X185:X196">X184+K185</f>
        <v>0</v>
      </c>
      <c r="Y185" s="416">
        <f aca="true" t="shared" si="89" ref="Y185:Y196">Y184+L185+M185</f>
        <v>0</v>
      </c>
      <c r="Z185" s="416">
        <f aca="true" t="shared" si="90" ref="Z185:Z196">Z184+N185+O185</f>
        <v>6732.889999999999</v>
      </c>
      <c r="AA185" s="416">
        <f aca="true" t="shared" si="91" ref="AA185:AA196">+AA184+P185</f>
        <v>4134052.4000000083</v>
      </c>
      <c r="AB185" s="451">
        <f>AB184+Q185+R185</f>
        <v>60732.899999999994</v>
      </c>
      <c r="AC185" s="416">
        <f>+AC184+S185</f>
        <v>8645783.259999998</v>
      </c>
      <c r="AG185" s="200" t="s">
        <v>617</v>
      </c>
      <c r="AH185" s="200" t="s">
        <v>786</v>
      </c>
      <c r="AI185" s="890">
        <v>205808.21999999872</v>
      </c>
      <c r="AJ185" s="890">
        <v>0</v>
      </c>
      <c r="AK185" s="890">
        <v>0</v>
      </c>
      <c r="AL185" s="890">
        <v>0</v>
      </c>
      <c r="AM185" s="890">
        <v>0</v>
      </c>
      <c r="AN185" s="890">
        <v>0</v>
      </c>
      <c r="AO185" s="890">
        <v>0</v>
      </c>
      <c r="AP185" s="890">
        <v>0</v>
      </c>
      <c r="AQ185" s="890">
        <v>0</v>
      </c>
      <c r="AR185" s="890">
        <v>0</v>
      </c>
      <c r="AS185" s="890">
        <v>6732.889999999999</v>
      </c>
      <c r="AT185" s="890">
        <v>0</v>
      </c>
      <c r="AU185" s="890">
        <v>66953.85</v>
      </c>
      <c r="AV185" s="890">
        <v>60732.899999999994</v>
      </c>
      <c r="AW185" s="890">
        <v>0</v>
      </c>
      <c r="AX185" s="890">
        <v>445130.66000000003</v>
      </c>
    </row>
    <row r="186" spans="1:50" ht="12.75">
      <c r="A186" s="810"/>
      <c r="C186" s="200" t="s">
        <v>618</v>
      </c>
      <c r="D186" s="630">
        <f>IF('Appendix A'!$I$1=1,0,'6- Est &amp; Reconcile WS'!AI186)</f>
        <v>349128.45000000007</v>
      </c>
      <c r="E186" s="630">
        <f>IF('Appendix A'!$I$1=1,0,'6- Est &amp; Reconcile WS'!AJ186)</f>
        <v>0</v>
      </c>
      <c r="F186" s="630">
        <f>IF('Appendix A'!$I$1=1,0,'6- Est &amp; Reconcile WS'!AK186)</f>
        <v>0</v>
      </c>
      <c r="G186" s="630">
        <f>IF('Appendix A'!$I$1=1,0,'6- Est &amp; Reconcile WS'!AL186)</f>
        <v>0</v>
      </c>
      <c r="H186" s="630">
        <f>IF('Appendix A'!$I$1=1,0,'6- Est &amp; Reconcile WS'!AM186)</f>
        <v>0</v>
      </c>
      <c r="I186" s="630">
        <f>IF('Appendix A'!$I$1=1,0,'6- Est &amp; Reconcile WS'!AN186)</f>
        <v>0</v>
      </c>
      <c r="J186" s="630">
        <f>IF('Appendix A'!$I$1=1,0,'6- Est &amp; Reconcile WS'!AO186)</f>
        <v>0</v>
      </c>
      <c r="K186" s="630">
        <f>IF('Appendix A'!$I$1=1,0,'6- Est &amp; Reconcile WS'!AP186)</f>
        <v>0</v>
      </c>
      <c r="L186" s="630">
        <f>IF('Appendix A'!$I$1=1,0,'6- Est &amp; Reconcile WS'!AQ186)</f>
        <v>0</v>
      </c>
      <c r="M186" s="630">
        <f>IF('Appendix A'!$I$1=1,0,'6- Est &amp; Reconcile WS'!AR186)</f>
        <v>0</v>
      </c>
      <c r="N186" s="630">
        <f>IF('Appendix A'!$I$1=1,0,'6- Est &amp; Reconcile WS'!AS186)</f>
        <v>-27334.299999999996</v>
      </c>
      <c r="O186" s="630">
        <f>IF('Appendix A'!$I$1=1,0,'6- Est &amp; Reconcile WS'!AT186)</f>
        <v>0</v>
      </c>
      <c r="P186" s="630">
        <f>IF('Appendix A'!$I$1=1,0,'6- Est &amp; Reconcile WS'!AU186)</f>
        <v>-86150.82</v>
      </c>
      <c r="Q186" s="630">
        <f>IF('Appendix A'!$I$1=1,0,'6- Est &amp; Reconcile WS'!AV186)</f>
        <v>758948.68</v>
      </c>
      <c r="R186" s="630">
        <f>IF('Appendix A'!$I$1=1,0,'6- Est &amp; Reconcile WS'!AW186)</f>
        <v>0</v>
      </c>
      <c r="S186" s="630">
        <f>IF('Appendix A'!$I$1=1,0,'6- Est &amp; Reconcile WS'!AX186)</f>
        <v>240798.6299999999</v>
      </c>
      <c r="T186" s="416">
        <f t="shared" si="84"/>
        <v>554936.6699999988</v>
      </c>
      <c r="U186" s="416">
        <f t="shared" si="85"/>
        <v>0</v>
      </c>
      <c r="V186" s="412">
        <f t="shared" si="86"/>
        <v>0</v>
      </c>
      <c r="W186" s="412">
        <f t="shared" si="87"/>
        <v>0</v>
      </c>
      <c r="X186" s="412">
        <f t="shared" si="88"/>
        <v>0</v>
      </c>
      <c r="Y186" s="416">
        <f t="shared" si="89"/>
        <v>0</v>
      </c>
      <c r="Z186" s="416">
        <f t="shared" si="90"/>
        <v>-20601.409999999996</v>
      </c>
      <c r="AA186" s="416">
        <f t="shared" si="91"/>
        <v>4047901.5800000085</v>
      </c>
      <c r="AB186" s="451">
        <f aca="true" t="shared" si="92" ref="AB186:AB196">AB185+Q186+R186</f>
        <v>819681.5800000001</v>
      </c>
      <c r="AC186" s="416">
        <f aca="true" t="shared" si="93" ref="AC186:AC196">+AC185+S186</f>
        <v>8886581.889999997</v>
      </c>
      <c r="AG186" s="200" t="s">
        <v>618</v>
      </c>
      <c r="AH186" s="200" t="s">
        <v>786</v>
      </c>
      <c r="AI186" s="890">
        <v>349128.45000000007</v>
      </c>
      <c r="AJ186" s="890">
        <v>0</v>
      </c>
      <c r="AK186" s="890">
        <v>0</v>
      </c>
      <c r="AL186" s="890">
        <v>0</v>
      </c>
      <c r="AM186" s="890">
        <v>0</v>
      </c>
      <c r="AN186" s="890">
        <v>0</v>
      </c>
      <c r="AO186" s="890">
        <v>0</v>
      </c>
      <c r="AP186" s="890">
        <v>0</v>
      </c>
      <c r="AQ186" s="890">
        <v>0</v>
      </c>
      <c r="AR186" s="890">
        <v>0</v>
      </c>
      <c r="AS186" s="890">
        <v>-27334.299999999996</v>
      </c>
      <c r="AT186" s="890">
        <v>0</v>
      </c>
      <c r="AU186" s="890">
        <v>-86150.82</v>
      </c>
      <c r="AV186" s="890">
        <v>758948.68</v>
      </c>
      <c r="AW186" s="890">
        <v>0</v>
      </c>
      <c r="AX186" s="890">
        <v>240798.6299999999</v>
      </c>
    </row>
    <row r="187" spans="1:50" ht="12.75">
      <c r="A187" s="810"/>
      <c r="C187" s="200" t="s">
        <v>619</v>
      </c>
      <c r="D187" s="630">
        <f>IF('Appendix A'!$I$1=1,0,'6- Est &amp; Reconcile WS'!AI187)</f>
        <v>1545656.9199999995</v>
      </c>
      <c r="E187" s="630">
        <f>IF('Appendix A'!$I$1=1,0,'6- Est &amp; Reconcile WS'!AJ187)</f>
        <v>0</v>
      </c>
      <c r="F187" s="630">
        <f>IF('Appendix A'!$I$1=1,0,'6- Est &amp; Reconcile WS'!AK187)</f>
        <v>0</v>
      </c>
      <c r="G187" s="630">
        <f>IF('Appendix A'!$I$1=1,0,'6- Est &amp; Reconcile WS'!AL187)</f>
        <v>0</v>
      </c>
      <c r="H187" s="630">
        <f>IF('Appendix A'!$I$1=1,0,'6- Est &amp; Reconcile WS'!AM187)</f>
        <v>0</v>
      </c>
      <c r="I187" s="630">
        <f>IF('Appendix A'!$I$1=1,0,'6- Est &amp; Reconcile WS'!AN187)</f>
        <v>0</v>
      </c>
      <c r="J187" s="630">
        <f>IF('Appendix A'!$I$1=1,0,'6- Est &amp; Reconcile WS'!AO187)</f>
        <v>0</v>
      </c>
      <c r="K187" s="630">
        <f>IF('Appendix A'!$I$1=1,0,'6- Est &amp; Reconcile WS'!AP187)</f>
        <v>0</v>
      </c>
      <c r="L187" s="630">
        <f>IF('Appendix A'!$I$1=1,0,'6- Est &amp; Reconcile WS'!AQ187)</f>
        <v>0</v>
      </c>
      <c r="M187" s="630">
        <f>IF('Appendix A'!$I$1=1,0,'6- Est &amp; Reconcile WS'!AR187)</f>
        <v>0</v>
      </c>
      <c r="N187" s="630">
        <f>IF('Appendix A'!$I$1=1,0,'6- Est &amp; Reconcile WS'!AS187)</f>
        <v>-55953.62000000009</v>
      </c>
      <c r="O187" s="630">
        <f>IF('Appendix A'!$I$1=1,0,'6- Est &amp; Reconcile WS'!AT187)</f>
        <v>0</v>
      </c>
      <c r="P187" s="630">
        <f>IF('Appendix A'!$I$1=1,0,'6- Est &amp; Reconcile WS'!AU187)</f>
        <v>66896.3800000002</v>
      </c>
      <c r="Q187" s="630">
        <f>IF('Appendix A'!$I$1=1,0,'6- Est &amp; Reconcile WS'!AV187)</f>
        <v>-60801.39000000004</v>
      </c>
      <c r="R187" s="630">
        <f>IF('Appendix A'!$I$1=1,0,'6- Est &amp; Reconcile WS'!AW187)</f>
        <v>0</v>
      </c>
      <c r="S187" s="630">
        <f>IF('Appendix A'!$I$1=1,0,'6- Est &amp; Reconcile WS'!AX187)</f>
        <v>473184.29000000004</v>
      </c>
      <c r="T187" s="416">
        <f t="shared" si="84"/>
        <v>2100593.589999998</v>
      </c>
      <c r="U187" s="416">
        <f t="shared" si="85"/>
        <v>0</v>
      </c>
      <c r="V187" s="412">
        <f t="shared" si="86"/>
        <v>0</v>
      </c>
      <c r="W187" s="412">
        <f t="shared" si="87"/>
        <v>0</v>
      </c>
      <c r="X187" s="412">
        <f t="shared" si="88"/>
        <v>0</v>
      </c>
      <c r="Y187" s="416">
        <f t="shared" si="89"/>
        <v>0</v>
      </c>
      <c r="Z187" s="416">
        <f t="shared" si="90"/>
        <v>-76555.03000000009</v>
      </c>
      <c r="AA187" s="416">
        <f t="shared" si="91"/>
        <v>4114797.960000009</v>
      </c>
      <c r="AB187" s="451">
        <f t="shared" si="92"/>
        <v>758880.1900000001</v>
      </c>
      <c r="AC187" s="416">
        <f t="shared" si="93"/>
        <v>9359766.179999996</v>
      </c>
      <c r="AG187" s="200" t="s">
        <v>619</v>
      </c>
      <c r="AH187" s="200" t="s">
        <v>787</v>
      </c>
      <c r="AI187" s="890">
        <v>1545656.9199999995</v>
      </c>
      <c r="AJ187" s="890">
        <v>0</v>
      </c>
      <c r="AK187" s="890">
        <v>0</v>
      </c>
      <c r="AL187" s="890">
        <v>0</v>
      </c>
      <c r="AM187" s="890">
        <v>0</v>
      </c>
      <c r="AN187" s="890">
        <v>0</v>
      </c>
      <c r="AO187" s="890">
        <v>0</v>
      </c>
      <c r="AP187" s="890">
        <v>0</v>
      </c>
      <c r="AQ187" s="890">
        <v>0</v>
      </c>
      <c r="AR187" s="890">
        <v>0</v>
      </c>
      <c r="AS187" s="890">
        <v>-55953.62000000009</v>
      </c>
      <c r="AT187" s="890">
        <v>0</v>
      </c>
      <c r="AU187" s="890">
        <v>66896.3800000002</v>
      </c>
      <c r="AV187" s="890">
        <v>-60801.39000000004</v>
      </c>
      <c r="AW187" s="890">
        <v>0</v>
      </c>
      <c r="AX187" s="890">
        <v>473184.29000000004</v>
      </c>
    </row>
    <row r="188" spans="1:50" ht="12.75">
      <c r="A188" s="810"/>
      <c r="C188" s="200" t="s">
        <v>620</v>
      </c>
      <c r="D188" s="630">
        <f>IF('Appendix A'!$I$1=1,0,'6- Est &amp; Reconcile WS'!AI188)</f>
        <v>-287186.7199999994</v>
      </c>
      <c r="E188" s="630">
        <f>IF('Appendix A'!$I$1=1,0,'6- Est &amp; Reconcile WS'!AJ188)</f>
        <v>0</v>
      </c>
      <c r="F188" s="630">
        <f>IF('Appendix A'!$I$1=1,0,'6- Est &amp; Reconcile WS'!AK188)</f>
        <v>0</v>
      </c>
      <c r="G188" s="630">
        <f>IF('Appendix A'!$I$1=1,0,'6- Est &amp; Reconcile WS'!AL188)</f>
        <v>0</v>
      </c>
      <c r="H188" s="630">
        <f>IF('Appendix A'!$I$1=1,0,'6- Est &amp; Reconcile WS'!AM188)</f>
        <v>0</v>
      </c>
      <c r="I188" s="630">
        <f>IF('Appendix A'!$I$1=1,0,'6- Est &amp; Reconcile WS'!AN188)</f>
        <v>0</v>
      </c>
      <c r="J188" s="630">
        <f>IF('Appendix A'!$I$1=1,0,'6- Est &amp; Reconcile WS'!AO188)</f>
        <v>0</v>
      </c>
      <c r="K188" s="630">
        <f>IF('Appendix A'!$I$1=1,0,'6- Est &amp; Reconcile WS'!AP188)</f>
        <v>0</v>
      </c>
      <c r="L188" s="630">
        <f>IF('Appendix A'!$I$1=1,0,'6- Est &amp; Reconcile WS'!AQ188)</f>
        <v>0</v>
      </c>
      <c r="M188" s="630">
        <f>IF('Appendix A'!$I$1=1,0,'6- Est &amp; Reconcile WS'!AR188)</f>
        <v>0</v>
      </c>
      <c r="N188" s="630">
        <f>IF('Appendix A'!$I$1=1,0,'6- Est &amp; Reconcile WS'!AS188)</f>
        <v>94492.01999999999</v>
      </c>
      <c r="O188" s="630">
        <f>IF('Appendix A'!$I$1=1,0,'6- Est &amp; Reconcile WS'!AT188)</f>
        <v>0</v>
      </c>
      <c r="P188" s="630">
        <f>IF('Appendix A'!$I$1=1,0,'6- Est &amp; Reconcile WS'!AU188)</f>
        <v>1262.93999999999</v>
      </c>
      <c r="Q188" s="630">
        <f>IF('Appendix A'!$I$1=1,0,'6- Est &amp; Reconcile WS'!AV188)</f>
        <v>208964.61</v>
      </c>
      <c r="R188" s="630">
        <f>IF('Appendix A'!$I$1=1,0,'6- Est &amp; Reconcile WS'!AW188)</f>
        <v>0</v>
      </c>
      <c r="S188" s="630">
        <f>IF('Appendix A'!$I$1=1,0,'6- Est &amp; Reconcile WS'!AX188)</f>
        <v>-70529.24</v>
      </c>
      <c r="T188" s="416">
        <f t="shared" si="84"/>
        <v>1813406.8699999987</v>
      </c>
      <c r="U188" s="416">
        <f t="shared" si="85"/>
        <v>0</v>
      </c>
      <c r="V188" s="412">
        <f t="shared" si="86"/>
        <v>0</v>
      </c>
      <c r="W188" s="412">
        <f t="shared" si="87"/>
        <v>0</v>
      </c>
      <c r="X188" s="412">
        <f t="shared" si="88"/>
        <v>0</v>
      </c>
      <c r="Y188" s="416">
        <f t="shared" si="89"/>
        <v>0</v>
      </c>
      <c r="Z188" s="416">
        <f t="shared" si="90"/>
        <v>17936.989999999903</v>
      </c>
      <c r="AA188" s="416">
        <f t="shared" si="91"/>
        <v>4116060.9000000088</v>
      </c>
      <c r="AB188" s="451">
        <f t="shared" si="92"/>
        <v>967844.8</v>
      </c>
      <c r="AC188" s="416">
        <f t="shared" si="93"/>
        <v>9289236.939999996</v>
      </c>
      <c r="AG188" s="200" t="s">
        <v>620</v>
      </c>
      <c r="AH188" s="200" t="s">
        <v>787</v>
      </c>
      <c r="AI188" s="890">
        <v>-287186.7199999994</v>
      </c>
      <c r="AJ188" s="890">
        <v>0</v>
      </c>
      <c r="AK188" s="890">
        <v>0</v>
      </c>
      <c r="AL188" s="890">
        <v>0</v>
      </c>
      <c r="AM188" s="890">
        <f aca="true" t="shared" si="94" ref="AM188:AM196">+AM187</f>
        <v>0</v>
      </c>
      <c r="AN188" s="890">
        <v>0</v>
      </c>
      <c r="AO188" s="890">
        <v>0</v>
      </c>
      <c r="AP188" s="890">
        <v>0</v>
      </c>
      <c r="AQ188" s="890">
        <v>0</v>
      </c>
      <c r="AR188" s="890">
        <v>0</v>
      </c>
      <c r="AS188" s="890">
        <v>94492.01999999999</v>
      </c>
      <c r="AT188" s="890">
        <v>0</v>
      </c>
      <c r="AU188" s="890">
        <v>1262.93999999999</v>
      </c>
      <c r="AV188" s="890">
        <v>208964.61</v>
      </c>
      <c r="AW188" s="890">
        <v>0</v>
      </c>
      <c r="AX188" s="890">
        <v>-70529.24</v>
      </c>
    </row>
    <row r="189" spans="1:50" ht="12.75">
      <c r="A189" s="810"/>
      <c r="C189" s="200" t="s">
        <v>615</v>
      </c>
      <c r="D189" s="630">
        <f>IF('Appendix A'!$I$1=1,0,'6- Est &amp; Reconcile WS'!AI189)</f>
        <v>22570894.303720836</v>
      </c>
      <c r="E189" s="630">
        <f>IF('Appendix A'!$I$1=1,0,'6- Est &amp; Reconcile WS'!AJ189)</f>
        <v>0</v>
      </c>
      <c r="F189" s="630">
        <f>IF('Appendix A'!$I$1=1,0,'6- Est &amp; Reconcile WS'!AK189)</f>
        <v>0</v>
      </c>
      <c r="G189" s="630">
        <f>IF('Appendix A'!$I$1=1,0,'6- Est &amp; Reconcile WS'!AL189)</f>
        <v>0</v>
      </c>
      <c r="H189" s="630">
        <f>IF('Appendix A'!$I$1=1,0,'6- Est &amp; Reconcile WS'!AM189)</f>
        <v>0</v>
      </c>
      <c r="I189" s="630">
        <f>IF('Appendix A'!$I$1=1,0,'6- Est &amp; Reconcile WS'!AN189)</f>
        <v>0</v>
      </c>
      <c r="J189" s="630">
        <f>IF('Appendix A'!$I$1=1,0,'6- Est &amp; Reconcile WS'!AO189)</f>
        <v>0</v>
      </c>
      <c r="K189" s="630">
        <f>IF('Appendix A'!$I$1=1,0,'6- Est &amp; Reconcile WS'!AP189)</f>
        <v>0</v>
      </c>
      <c r="L189" s="630">
        <f>IF('Appendix A'!$I$1=1,0,'6- Est &amp; Reconcile WS'!AQ189)</f>
        <v>0</v>
      </c>
      <c r="M189" s="630">
        <f>IF('Appendix A'!$I$1=1,0,'6- Est &amp; Reconcile WS'!AR189)</f>
        <v>0</v>
      </c>
      <c r="N189" s="630">
        <f>IF('Appendix A'!$I$1=1,0,'6- Est &amp; Reconcile WS'!AS189)</f>
        <v>0</v>
      </c>
      <c r="O189" s="630">
        <f>IF('Appendix A'!$I$1=1,0,'6- Est &amp; Reconcile WS'!AT189)</f>
        <v>0</v>
      </c>
      <c r="P189" s="630">
        <f>IF('Appendix A'!$I$1=1,0,'6- Est &amp; Reconcile WS'!AU189)</f>
        <v>9075.495</v>
      </c>
      <c r="Q189" s="630">
        <f>IF('Appendix A'!$I$1=1,0,'6- Est &amp; Reconcile WS'!AV189)</f>
        <v>6216984.2</v>
      </c>
      <c r="R189" s="630">
        <f>IF('Appendix A'!$I$1=1,0,'6- Est &amp; Reconcile WS'!AW189)</f>
        <v>0</v>
      </c>
      <c r="S189" s="630">
        <f>IF('Appendix A'!$I$1=1,0,'6- Est &amp; Reconcile WS'!AX189)</f>
        <v>-5833318.720000001</v>
      </c>
      <c r="T189" s="416">
        <f t="shared" si="84"/>
        <v>24384301.173720833</v>
      </c>
      <c r="U189" s="416">
        <f t="shared" si="85"/>
        <v>0</v>
      </c>
      <c r="V189" s="412">
        <f t="shared" si="86"/>
        <v>0</v>
      </c>
      <c r="W189" s="412">
        <f t="shared" si="87"/>
        <v>0</v>
      </c>
      <c r="X189" s="412">
        <f t="shared" si="88"/>
        <v>0</v>
      </c>
      <c r="Y189" s="416">
        <f t="shared" si="89"/>
        <v>0</v>
      </c>
      <c r="Z189" s="416">
        <f t="shared" si="90"/>
        <v>17936.989999999903</v>
      </c>
      <c r="AA189" s="416">
        <f t="shared" si="91"/>
        <v>4125136.395000009</v>
      </c>
      <c r="AB189" s="451">
        <f t="shared" si="92"/>
        <v>7184829</v>
      </c>
      <c r="AC189" s="416">
        <f t="shared" si="93"/>
        <v>3455918.219999995</v>
      </c>
      <c r="AG189" s="200" t="s">
        <v>615</v>
      </c>
      <c r="AH189" s="200" t="s">
        <v>787</v>
      </c>
      <c r="AI189" s="890">
        <v>22570894.303720836</v>
      </c>
      <c r="AJ189" s="890">
        <v>0</v>
      </c>
      <c r="AK189" s="890">
        <v>0</v>
      </c>
      <c r="AL189" s="890">
        <v>0</v>
      </c>
      <c r="AM189" s="890">
        <f t="shared" si="94"/>
        <v>0</v>
      </c>
      <c r="AN189" s="890">
        <v>0</v>
      </c>
      <c r="AO189" s="890">
        <v>0</v>
      </c>
      <c r="AP189" s="890">
        <v>0</v>
      </c>
      <c r="AQ189" s="890">
        <v>0</v>
      </c>
      <c r="AR189" s="890">
        <v>0</v>
      </c>
      <c r="AS189" s="890">
        <v>0</v>
      </c>
      <c r="AT189" s="890">
        <v>0</v>
      </c>
      <c r="AU189" s="890">
        <v>9075.495</v>
      </c>
      <c r="AV189" s="890">
        <v>6216984.2</v>
      </c>
      <c r="AW189" s="890">
        <v>0</v>
      </c>
      <c r="AX189" s="890">
        <v>-5833318.720000001</v>
      </c>
    </row>
    <row r="190" spans="1:50" ht="12.75">
      <c r="A190" s="810"/>
      <c r="C190" s="200" t="s">
        <v>621</v>
      </c>
      <c r="D190" s="630">
        <f>IF('Appendix A'!$I$1=1,0,'6- Est &amp; Reconcile WS'!AI190)</f>
        <v>2385254.715820833</v>
      </c>
      <c r="E190" s="630">
        <f>IF('Appendix A'!$I$1=1,0,'6- Est &amp; Reconcile WS'!AJ190)</f>
        <v>0</v>
      </c>
      <c r="F190" s="630">
        <f>IF('Appendix A'!$I$1=1,0,'6- Est &amp; Reconcile WS'!AK190)</f>
        <v>0</v>
      </c>
      <c r="G190" s="630">
        <f>IF('Appendix A'!$I$1=1,0,'6- Est &amp; Reconcile WS'!AL190)</f>
        <v>0</v>
      </c>
      <c r="H190" s="630">
        <f>IF('Appendix A'!$I$1=1,0,'6- Est &amp; Reconcile WS'!AM190)</f>
        <v>0</v>
      </c>
      <c r="I190" s="630">
        <f>IF('Appendix A'!$I$1=1,0,'6- Est &amp; Reconcile WS'!AN190)</f>
        <v>0</v>
      </c>
      <c r="J190" s="630">
        <f>IF('Appendix A'!$I$1=1,0,'6- Est &amp; Reconcile WS'!AO190)</f>
        <v>0</v>
      </c>
      <c r="K190" s="630">
        <f>IF('Appendix A'!$I$1=1,0,'6- Est &amp; Reconcile WS'!AP190)</f>
        <v>0</v>
      </c>
      <c r="L190" s="630">
        <f>IF('Appendix A'!$I$1=1,0,'6- Est &amp; Reconcile WS'!AQ190)</f>
        <v>0</v>
      </c>
      <c r="M190" s="630">
        <f>IF('Appendix A'!$I$1=1,0,'6- Est &amp; Reconcile WS'!AR190)</f>
        <v>0</v>
      </c>
      <c r="N190" s="630">
        <f>IF('Appendix A'!$I$1=1,0,'6- Est &amp; Reconcile WS'!AS190)</f>
        <v>0</v>
      </c>
      <c r="O190" s="630">
        <f>IF('Appendix A'!$I$1=1,0,'6- Est &amp; Reconcile WS'!AT190)</f>
        <v>0</v>
      </c>
      <c r="P190" s="630">
        <f>IF('Appendix A'!$I$1=1,0,'6- Est &amp; Reconcile WS'!AU190)</f>
        <v>9987.12</v>
      </c>
      <c r="Q190" s="630">
        <f>IF('Appendix A'!$I$1=1,0,'6- Est &amp; Reconcile WS'!AV190)</f>
        <v>0</v>
      </c>
      <c r="R190" s="630">
        <f>IF('Appendix A'!$I$1=1,0,'6- Est &amp; Reconcile WS'!AW190)</f>
        <v>0</v>
      </c>
      <c r="S190" s="630">
        <f>IF('Appendix A'!$I$1=1,0,'6- Est &amp; Reconcile WS'!AX190)</f>
        <v>0</v>
      </c>
      <c r="T190" s="416">
        <f t="shared" si="84"/>
        <v>26769555.889541667</v>
      </c>
      <c r="U190" s="416">
        <f t="shared" si="85"/>
        <v>0</v>
      </c>
      <c r="V190" s="412">
        <f t="shared" si="86"/>
        <v>0</v>
      </c>
      <c r="W190" s="412">
        <f t="shared" si="87"/>
        <v>0</v>
      </c>
      <c r="X190" s="412">
        <f t="shared" si="88"/>
        <v>0</v>
      </c>
      <c r="Y190" s="416">
        <f t="shared" si="89"/>
        <v>0</v>
      </c>
      <c r="Z190" s="416">
        <f t="shared" si="90"/>
        <v>17936.989999999903</v>
      </c>
      <c r="AA190" s="416">
        <f t="shared" si="91"/>
        <v>4135123.515000009</v>
      </c>
      <c r="AB190" s="451">
        <f t="shared" si="92"/>
        <v>7184829</v>
      </c>
      <c r="AC190" s="416">
        <f>+AC189+S190</f>
        <v>3455918.219999995</v>
      </c>
      <c r="AG190" s="200" t="s">
        <v>621</v>
      </c>
      <c r="AH190" s="200" t="s">
        <v>787</v>
      </c>
      <c r="AI190" s="890">
        <v>2385254.715820833</v>
      </c>
      <c r="AJ190" s="890">
        <v>0</v>
      </c>
      <c r="AK190" s="890">
        <v>0</v>
      </c>
      <c r="AL190" s="890">
        <v>0</v>
      </c>
      <c r="AM190" s="890">
        <f t="shared" si="94"/>
        <v>0</v>
      </c>
      <c r="AN190" s="890">
        <v>0</v>
      </c>
      <c r="AO190" s="890">
        <v>0</v>
      </c>
      <c r="AP190" s="890">
        <v>0</v>
      </c>
      <c r="AQ190" s="890">
        <v>0</v>
      </c>
      <c r="AR190" s="890">
        <v>0</v>
      </c>
      <c r="AS190" s="890">
        <v>0</v>
      </c>
      <c r="AT190" s="890">
        <v>0</v>
      </c>
      <c r="AU190" s="890">
        <v>9987.12</v>
      </c>
      <c r="AV190" s="890">
        <v>0</v>
      </c>
      <c r="AW190" s="890">
        <v>0</v>
      </c>
      <c r="AX190" s="890">
        <v>0</v>
      </c>
    </row>
    <row r="191" spans="1:50" ht="12.75">
      <c r="A191" s="810"/>
      <c r="C191" s="200" t="s">
        <v>622</v>
      </c>
      <c r="D191" s="630">
        <f>IF('Appendix A'!$I$1=1,0,'6- Est &amp; Reconcile WS'!AI191)</f>
        <v>401916.94262083335</v>
      </c>
      <c r="E191" s="630">
        <f>IF('Appendix A'!$I$1=1,0,'6- Est &amp; Reconcile WS'!AJ191)</f>
        <v>0</v>
      </c>
      <c r="F191" s="630">
        <f>IF('Appendix A'!$I$1=1,0,'6- Est &amp; Reconcile WS'!AK191)</f>
        <v>0</v>
      </c>
      <c r="G191" s="630">
        <f>IF('Appendix A'!$I$1=1,0,'6- Est &amp; Reconcile WS'!AL191)</f>
        <v>0</v>
      </c>
      <c r="H191" s="630">
        <f>IF('Appendix A'!$I$1=1,0,'6- Est &amp; Reconcile WS'!AM191)</f>
        <v>0</v>
      </c>
      <c r="I191" s="630">
        <f>IF('Appendix A'!$I$1=1,0,'6- Est &amp; Reconcile WS'!AN191)</f>
        <v>0</v>
      </c>
      <c r="J191" s="630">
        <f>IF('Appendix A'!$I$1=1,0,'6- Est &amp; Reconcile WS'!AO191)</f>
        <v>0</v>
      </c>
      <c r="K191" s="630">
        <f>IF('Appendix A'!$I$1=1,0,'6- Est &amp; Reconcile WS'!AP191)</f>
        <v>0</v>
      </c>
      <c r="L191" s="630">
        <f>IF('Appendix A'!$I$1=1,0,'6- Est &amp; Reconcile WS'!AQ191)</f>
        <v>0</v>
      </c>
      <c r="M191" s="630">
        <f>IF('Appendix A'!$I$1=1,0,'6- Est &amp; Reconcile WS'!AR191)</f>
        <v>0</v>
      </c>
      <c r="N191" s="630">
        <f>IF('Appendix A'!$I$1=1,0,'6- Est &amp; Reconcile WS'!AS191)</f>
        <v>0</v>
      </c>
      <c r="O191" s="630">
        <f>IF('Appendix A'!$I$1=1,0,'6- Est &amp; Reconcile WS'!AT191)</f>
        <v>0</v>
      </c>
      <c r="P191" s="630">
        <f>IF('Appendix A'!$I$1=1,0,'6- Est &amp; Reconcile WS'!AU191)</f>
        <v>9530.235</v>
      </c>
      <c r="Q191" s="630">
        <f>IF('Appendix A'!$I$1=1,0,'6- Est &amp; Reconcile WS'!AV191)</f>
        <v>0</v>
      </c>
      <c r="R191" s="630">
        <f>IF('Appendix A'!$I$1=1,0,'6- Est &amp; Reconcile WS'!AW191)</f>
        <v>0</v>
      </c>
      <c r="S191" s="630">
        <f>IF('Appendix A'!$I$1=1,0,'6- Est &amp; Reconcile WS'!AX191)</f>
        <v>0</v>
      </c>
      <c r="T191" s="416">
        <f t="shared" si="84"/>
        <v>27171472.8321625</v>
      </c>
      <c r="U191" s="416">
        <f t="shared" si="85"/>
        <v>0</v>
      </c>
      <c r="V191" s="412">
        <f t="shared" si="86"/>
        <v>0</v>
      </c>
      <c r="W191" s="412">
        <f t="shared" si="87"/>
        <v>0</v>
      </c>
      <c r="X191" s="412">
        <f t="shared" si="88"/>
        <v>0</v>
      </c>
      <c r="Y191" s="416">
        <f t="shared" si="89"/>
        <v>0</v>
      </c>
      <c r="Z191" s="416">
        <f t="shared" si="90"/>
        <v>17936.989999999903</v>
      </c>
      <c r="AA191" s="416">
        <f t="shared" si="91"/>
        <v>4144653.750000009</v>
      </c>
      <c r="AB191" s="451">
        <f t="shared" si="92"/>
        <v>7184829</v>
      </c>
      <c r="AC191" s="416">
        <f t="shared" si="93"/>
        <v>3455918.219999995</v>
      </c>
      <c r="AG191" s="200" t="s">
        <v>622</v>
      </c>
      <c r="AH191" s="200" t="s">
        <v>787</v>
      </c>
      <c r="AI191" s="890">
        <v>401916.94262083335</v>
      </c>
      <c r="AJ191" s="890">
        <v>0</v>
      </c>
      <c r="AK191" s="890">
        <v>0</v>
      </c>
      <c r="AL191" s="890">
        <v>0</v>
      </c>
      <c r="AM191" s="890">
        <f t="shared" si="94"/>
        <v>0</v>
      </c>
      <c r="AN191" s="890">
        <v>0</v>
      </c>
      <c r="AO191" s="890">
        <v>0</v>
      </c>
      <c r="AP191" s="890">
        <v>0</v>
      </c>
      <c r="AQ191" s="890">
        <v>0</v>
      </c>
      <c r="AR191" s="890">
        <v>0</v>
      </c>
      <c r="AS191" s="890">
        <v>0</v>
      </c>
      <c r="AT191" s="890">
        <v>0</v>
      </c>
      <c r="AU191" s="890">
        <v>9530.235</v>
      </c>
      <c r="AV191" s="890">
        <v>0</v>
      </c>
      <c r="AW191" s="890">
        <v>0</v>
      </c>
      <c r="AX191" s="890">
        <v>0</v>
      </c>
    </row>
    <row r="192" spans="1:50" ht="12.75">
      <c r="A192" s="810"/>
      <c r="C192" s="200" t="s">
        <v>623</v>
      </c>
      <c r="D192" s="630">
        <f>IF('Appendix A'!$I$1=1,0,'6- Est &amp; Reconcile WS'!AI192)</f>
        <v>401916.94262083335</v>
      </c>
      <c r="E192" s="630">
        <f>IF('Appendix A'!$I$1=1,0,'6- Est &amp; Reconcile WS'!AJ192)</f>
        <v>0</v>
      </c>
      <c r="F192" s="630">
        <f>IF('Appendix A'!$I$1=1,0,'6- Est &amp; Reconcile WS'!AK192)</f>
        <v>0</v>
      </c>
      <c r="G192" s="630">
        <f>IF('Appendix A'!$I$1=1,0,'6- Est &amp; Reconcile WS'!AL192)</f>
        <v>0</v>
      </c>
      <c r="H192" s="630">
        <f>IF('Appendix A'!$I$1=1,0,'6- Est &amp; Reconcile WS'!AM192)</f>
        <v>0</v>
      </c>
      <c r="I192" s="630">
        <f>IF('Appendix A'!$I$1=1,0,'6- Est &amp; Reconcile WS'!AN192)</f>
        <v>0</v>
      </c>
      <c r="J192" s="630">
        <f>IF('Appendix A'!$I$1=1,0,'6- Est &amp; Reconcile WS'!AO192)</f>
        <v>0</v>
      </c>
      <c r="K192" s="630">
        <f>IF('Appendix A'!$I$1=1,0,'6- Est &amp; Reconcile WS'!AP192)</f>
        <v>0</v>
      </c>
      <c r="L192" s="630">
        <f>IF('Appendix A'!$I$1=1,0,'6- Est &amp; Reconcile WS'!AQ192)</f>
        <v>0</v>
      </c>
      <c r="M192" s="630">
        <f>IF('Appendix A'!$I$1=1,0,'6- Est &amp; Reconcile WS'!AR192)</f>
        <v>0</v>
      </c>
      <c r="N192" s="630">
        <f>IF('Appendix A'!$I$1=1,0,'6- Est &amp; Reconcile WS'!AS192)</f>
        <v>0</v>
      </c>
      <c r="O192" s="630">
        <f>IF('Appendix A'!$I$1=1,0,'6- Est &amp; Reconcile WS'!AT192)</f>
        <v>0</v>
      </c>
      <c r="P192" s="630">
        <f>IF('Appendix A'!$I$1=1,0,'6- Est &amp; Reconcile WS'!AU192)</f>
        <v>9987.12</v>
      </c>
      <c r="Q192" s="630">
        <f>IF('Appendix A'!$I$1=1,0,'6- Est &amp; Reconcile WS'!AV192)</f>
        <v>0</v>
      </c>
      <c r="R192" s="630">
        <f>IF('Appendix A'!$I$1=1,0,'6- Est &amp; Reconcile WS'!AW192)</f>
        <v>0</v>
      </c>
      <c r="S192" s="630">
        <f>IF('Appendix A'!$I$1=1,0,'6- Est &amp; Reconcile WS'!AX192)</f>
        <v>240350</v>
      </c>
      <c r="T192" s="416">
        <f t="shared" si="84"/>
        <v>27573389.774783332</v>
      </c>
      <c r="U192" s="416">
        <f t="shared" si="85"/>
        <v>0</v>
      </c>
      <c r="V192" s="412">
        <f t="shared" si="86"/>
        <v>0</v>
      </c>
      <c r="W192" s="412">
        <f t="shared" si="87"/>
        <v>0</v>
      </c>
      <c r="X192" s="412">
        <f t="shared" si="88"/>
        <v>0</v>
      </c>
      <c r="Y192" s="416">
        <f t="shared" si="89"/>
        <v>0</v>
      </c>
      <c r="Z192" s="416">
        <f t="shared" si="90"/>
        <v>17936.989999999903</v>
      </c>
      <c r="AA192" s="416">
        <f t="shared" si="91"/>
        <v>4154640.870000009</v>
      </c>
      <c r="AB192" s="451">
        <f t="shared" si="92"/>
        <v>7184829</v>
      </c>
      <c r="AC192" s="416">
        <f t="shared" si="93"/>
        <v>3696268.219999995</v>
      </c>
      <c r="AG192" s="200" t="s">
        <v>623</v>
      </c>
      <c r="AH192" s="200" t="s">
        <v>787</v>
      </c>
      <c r="AI192" s="890">
        <v>401916.94262083335</v>
      </c>
      <c r="AJ192" s="890">
        <v>0</v>
      </c>
      <c r="AK192" s="890">
        <v>0</v>
      </c>
      <c r="AL192" s="890">
        <v>0</v>
      </c>
      <c r="AM192" s="890">
        <f t="shared" si="94"/>
        <v>0</v>
      </c>
      <c r="AN192" s="890">
        <v>0</v>
      </c>
      <c r="AO192" s="890">
        <v>0</v>
      </c>
      <c r="AP192" s="890">
        <v>0</v>
      </c>
      <c r="AQ192" s="890">
        <v>0</v>
      </c>
      <c r="AR192" s="890">
        <v>0</v>
      </c>
      <c r="AS192" s="890">
        <v>0</v>
      </c>
      <c r="AT192" s="890">
        <v>0</v>
      </c>
      <c r="AU192" s="890">
        <v>9987.12</v>
      </c>
      <c r="AV192" s="890">
        <v>0</v>
      </c>
      <c r="AW192" s="890">
        <v>0</v>
      </c>
      <c r="AX192" s="890">
        <v>240350</v>
      </c>
    </row>
    <row r="193" spans="1:50" ht="12.75">
      <c r="A193" s="810"/>
      <c r="C193" s="200" t="s">
        <v>624</v>
      </c>
      <c r="D193" s="630">
        <f>IF('Appendix A'!$I$1=1,0,'6- Est &amp; Reconcile WS'!AI193)</f>
        <v>643736.0425708332</v>
      </c>
      <c r="E193" s="630">
        <f>IF('Appendix A'!$I$1=1,0,'6- Est &amp; Reconcile WS'!AJ193)</f>
        <v>0</v>
      </c>
      <c r="F193" s="630">
        <f>IF('Appendix A'!$I$1=1,0,'6- Est &amp; Reconcile WS'!AK193)</f>
        <v>0</v>
      </c>
      <c r="G193" s="630">
        <f>IF('Appendix A'!$I$1=1,0,'6- Est &amp; Reconcile WS'!AL193)</f>
        <v>0</v>
      </c>
      <c r="H193" s="630">
        <f>IF('Appendix A'!$I$1=1,0,'6- Est &amp; Reconcile WS'!AM193)</f>
        <v>0</v>
      </c>
      <c r="I193" s="630">
        <f>IF('Appendix A'!$I$1=1,0,'6- Est &amp; Reconcile WS'!AN193)</f>
        <v>0</v>
      </c>
      <c r="J193" s="630">
        <f>IF('Appendix A'!$I$1=1,0,'6- Est &amp; Reconcile WS'!AO193)</f>
        <v>0</v>
      </c>
      <c r="K193" s="630">
        <f>IF('Appendix A'!$I$1=1,0,'6- Est &amp; Reconcile WS'!AP193)</f>
        <v>0</v>
      </c>
      <c r="L193" s="630">
        <f>IF('Appendix A'!$I$1=1,0,'6- Est &amp; Reconcile WS'!AQ193)</f>
        <v>0</v>
      </c>
      <c r="M193" s="630">
        <f>IF('Appendix A'!$I$1=1,0,'6- Est &amp; Reconcile WS'!AR193)</f>
        <v>0</v>
      </c>
      <c r="N193" s="630">
        <f>IF('Appendix A'!$I$1=1,0,'6- Est &amp; Reconcile WS'!AS193)</f>
        <v>0</v>
      </c>
      <c r="O193" s="630">
        <f>IF('Appendix A'!$I$1=1,0,'6- Est &amp; Reconcile WS'!AT193)</f>
        <v>0</v>
      </c>
      <c r="P193" s="630">
        <f>IF('Appendix A'!$I$1=1,0,'6- Est &amp; Reconcile WS'!AU193)</f>
        <v>284930.305</v>
      </c>
      <c r="Q193" s="630">
        <f>IF('Appendix A'!$I$1=1,0,'6- Est &amp; Reconcile WS'!AV193)</f>
        <v>0</v>
      </c>
      <c r="R193" s="630">
        <f>IF('Appendix A'!$I$1=1,0,'6- Est &amp; Reconcile WS'!AW193)</f>
        <v>0</v>
      </c>
      <c r="S193" s="630">
        <f>IF('Appendix A'!$I$1=1,0,'6- Est &amp; Reconcile WS'!AX193)</f>
        <v>148841.22</v>
      </c>
      <c r="T193" s="416">
        <f t="shared" si="84"/>
        <v>28217125.817354165</v>
      </c>
      <c r="U193" s="416">
        <f t="shared" si="85"/>
        <v>0</v>
      </c>
      <c r="V193" s="412">
        <f t="shared" si="86"/>
        <v>0</v>
      </c>
      <c r="W193" s="412">
        <f t="shared" si="87"/>
        <v>0</v>
      </c>
      <c r="X193" s="412">
        <f t="shared" si="88"/>
        <v>0</v>
      </c>
      <c r="Y193" s="416">
        <f t="shared" si="89"/>
        <v>0</v>
      </c>
      <c r="Z193" s="416">
        <f t="shared" si="90"/>
        <v>17936.989999999903</v>
      </c>
      <c r="AA193" s="416">
        <f t="shared" si="91"/>
        <v>4439571.175000009</v>
      </c>
      <c r="AB193" s="451">
        <f t="shared" si="92"/>
        <v>7184829</v>
      </c>
      <c r="AC193" s="416">
        <f t="shared" si="93"/>
        <v>3845109.4399999953</v>
      </c>
      <c r="AG193" s="200" t="s">
        <v>624</v>
      </c>
      <c r="AH193" s="200" t="s">
        <v>787</v>
      </c>
      <c r="AI193" s="890">
        <v>643736.0425708332</v>
      </c>
      <c r="AJ193" s="890">
        <v>0</v>
      </c>
      <c r="AK193" s="890">
        <v>0</v>
      </c>
      <c r="AL193" s="890">
        <v>0</v>
      </c>
      <c r="AM193" s="890">
        <f t="shared" si="94"/>
        <v>0</v>
      </c>
      <c r="AN193" s="890">
        <v>0</v>
      </c>
      <c r="AO193" s="890">
        <v>0</v>
      </c>
      <c r="AP193" s="890">
        <v>0</v>
      </c>
      <c r="AQ193" s="890">
        <v>0</v>
      </c>
      <c r="AR193" s="890">
        <v>0</v>
      </c>
      <c r="AS193" s="890">
        <v>0</v>
      </c>
      <c r="AT193" s="890">
        <v>0</v>
      </c>
      <c r="AU193" s="890">
        <v>284930.305</v>
      </c>
      <c r="AV193" s="890">
        <v>0</v>
      </c>
      <c r="AW193" s="890">
        <v>0</v>
      </c>
      <c r="AX193" s="890">
        <v>148841.22</v>
      </c>
    </row>
    <row r="194" spans="1:50" ht="12.75">
      <c r="A194" s="810"/>
      <c r="C194" s="200" t="s">
        <v>625</v>
      </c>
      <c r="D194" s="630">
        <f>IF('Appendix A'!$I$1=1,0,'6- Est &amp; Reconcile WS'!AI194)</f>
        <v>401916.94262083335</v>
      </c>
      <c r="E194" s="630">
        <f>IF('Appendix A'!$I$1=1,0,'6- Est &amp; Reconcile WS'!AJ194)</f>
        <v>0</v>
      </c>
      <c r="F194" s="630">
        <f>IF('Appendix A'!$I$1=1,0,'6- Est &amp; Reconcile WS'!AK194)</f>
        <v>0</v>
      </c>
      <c r="G194" s="630">
        <f>IF('Appendix A'!$I$1=1,0,'6- Est &amp; Reconcile WS'!AL194)</f>
        <v>0</v>
      </c>
      <c r="H194" s="630">
        <f>IF('Appendix A'!$I$1=1,0,'6- Est &amp; Reconcile WS'!AM194)</f>
        <v>0</v>
      </c>
      <c r="I194" s="630">
        <f>IF('Appendix A'!$I$1=1,0,'6- Est &amp; Reconcile WS'!AN194)</f>
        <v>0</v>
      </c>
      <c r="J194" s="630">
        <f>IF('Appendix A'!$I$1=1,0,'6- Est &amp; Reconcile WS'!AO194)</f>
        <v>0</v>
      </c>
      <c r="K194" s="630">
        <f>IF('Appendix A'!$I$1=1,0,'6- Est &amp; Reconcile WS'!AP194)</f>
        <v>0</v>
      </c>
      <c r="L194" s="630">
        <f>IF('Appendix A'!$I$1=1,0,'6- Est &amp; Reconcile WS'!AQ194)</f>
        <v>0</v>
      </c>
      <c r="M194" s="630">
        <f>IF('Appendix A'!$I$1=1,0,'6- Est &amp; Reconcile WS'!AR194)</f>
        <v>0</v>
      </c>
      <c r="N194" s="630">
        <f>IF('Appendix A'!$I$1=1,0,'6- Est &amp; Reconcile WS'!AS194)</f>
        <v>760720</v>
      </c>
      <c r="O194" s="630">
        <f>IF('Appendix A'!$I$1=1,0,'6- Est &amp; Reconcile WS'!AT194)</f>
        <v>0</v>
      </c>
      <c r="P194" s="630">
        <f>IF('Appendix A'!$I$1=1,0,'6- Est &amp; Reconcile WS'!AU194)</f>
        <v>-664024.885</v>
      </c>
      <c r="Q194" s="630">
        <f>IF('Appendix A'!$I$1=1,0,'6- Est &amp; Reconcile WS'!AV194)</f>
        <v>1141080</v>
      </c>
      <c r="R194" s="630">
        <f>IF('Appendix A'!$I$1=1,0,'6- Est &amp; Reconcile WS'!AW194)</f>
        <v>0</v>
      </c>
      <c r="S194" s="630">
        <f>IF('Appendix A'!$I$1=1,0,'6- Est &amp; Reconcile WS'!AX194)</f>
        <v>-800329.37</v>
      </c>
      <c r="T194" s="416">
        <f t="shared" si="84"/>
        <v>28619042.759974997</v>
      </c>
      <c r="U194" s="416">
        <f t="shared" si="85"/>
        <v>0</v>
      </c>
      <c r="V194" s="412">
        <f t="shared" si="86"/>
        <v>0</v>
      </c>
      <c r="W194" s="412">
        <f t="shared" si="87"/>
        <v>0</v>
      </c>
      <c r="X194" s="412">
        <f t="shared" si="88"/>
        <v>0</v>
      </c>
      <c r="Y194" s="416">
        <f t="shared" si="89"/>
        <v>0</v>
      </c>
      <c r="Z194" s="416">
        <f t="shared" si="90"/>
        <v>778656.9899999999</v>
      </c>
      <c r="AA194" s="416">
        <f t="shared" si="91"/>
        <v>3775546.2900000094</v>
      </c>
      <c r="AB194" s="451">
        <f t="shared" si="92"/>
        <v>8325909</v>
      </c>
      <c r="AC194" s="416">
        <f t="shared" si="93"/>
        <v>3044780.069999995</v>
      </c>
      <c r="AG194" s="200" t="s">
        <v>625</v>
      </c>
      <c r="AH194" s="200" t="s">
        <v>787</v>
      </c>
      <c r="AI194" s="890">
        <v>401916.94262083335</v>
      </c>
      <c r="AJ194" s="890">
        <v>0</v>
      </c>
      <c r="AK194" s="890">
        <v>0</v>
      </c>
      <c r="AL194" s="890">
        <v>0</v>
      </c>
      <c r="AM194" s="890">
        <f t="shared" si="94"/>
        <v>0</v>
      </c>
      <c r="AN194" s="890">
        <v>0</v>
      </c>
      <c r="AO194" s="890">
        <v>0</v>
      </c>
      <c r="AP194" s="890">
        <v>0</v>
      </c>
      <c r="AQ194" s="890">
        <v>0</v>
      </c>
      <c r="AR194" s="890">
        <v>0</v>
      </c>
      <c r="AS194" s="890">
        <v>760720</v>
      </c>
      <c r="AT194" s="890">
        <v>0</v>
      </c>
      <c r="AU194" s="890">
        <v>-664024.885</v>
      </c>
      <c r="AV194" s="890">
        <v>1141080</v>
      </c>
      <c r="AW194" s="890">
        <v>0</v>
      </c>
      <c r="AX194" s="890">
        <v>-800329.37</v>
      </c>
    </row>
    <row r="195" spans="1:50" ht="12.75">
      <c r="A195" s="810"/>
      <c r="C195" s="200" t="s">
        <v>626</v>
      </c>
      <c r="D195" s="630">
        <f>IF('Appendix A'!$I$1=1,0,'6- Est &amp; Reconcile WS'!AI195)</f>
        <v>2633347.3785208333</v>
      </c>
      <c r="E195" s="630">
        <f>IF('Appendix A'!$I$1=1,0,'6- Est &amp; Reconcile WS'!AJ195)</f>
        <v>0</v>
      </c>
      <c r="F195" s="630">
        <f>IF('Appendix A'!$I$1=1,0,'6- Est &amp; Reconcile WS'!AK195)</f>
        <v>0</v>
      </c>
      <c r="G195" s="630">
        <f>IF('Appendix A'!$I$1=1,0,'6- Est &amp; Reconcile WS'!AL195)</f>
        <v>0</v>
      </c>
      <c r="H195" s="630">
        <f>IF('Appendix A'!$I$1=1,0,'6- Est &amp; Reconcile WS'!AM195)</f>
        <v>0</v>
      </c>
      <c r="I195" s="630">
        <f>IF('Appendix A'!$I$1=1,0,'6- Est &amp; Reconcile WS'!AN195)</f>
        <v>0</v>
      </c>
      <c r="J195" s="630">
        <f>IF('Appendix A'!$I$1=1,0,'6- Est &amp; Reconcile WS'!AO195)</f>
        <v>0</v>
      </c>
      <c r="K195" s="630">
        <f>IF('Appendix A'!$I$1=1,0,'6- Est &amp; Reconcile WS'!AP195)</f>
        <v>0</v>
      </c>
      <c r="L195" s="630">
        <f>IF('Appendix A'!$I$1=1,0,'6- Est &amp; Reconcile WS'!AQ195)</f>
        <v>0</v>
      </c>
      <c r="M195" s="630">
        <f>IF('Appendix A'!$I$1=1,0,'6- Est &amp; Reconcile WS'!AR195)</f>
        <v>0</v>
      </c>
      <c r="N195" s="630">
        <f>IF('Appendix A'!$I$1=1,0,'6- Est &amp; Reconcile WS'!AS195)</f>
        <v>0</v>
      </c>
      <c r="O195" s="630">
        <f>IF('Appendix A'!$I$1=1,0,'6- Est &amp; Reconcile WS'!AT195)</f>
        <v>0</v>
      </c>
      <c r="P195" s="630">
        <f>IF('Appendix A'!$I$1=1,0,'6- Est &amp; Reconcile WS'!AU195)</f>
        <v>0</v>
      </c>
      <c r="Q195" s="630">
        <f>IF('Appendix A'!$I$1=1,0,'6- Est &amp; Reconcile WS'!AV195)</f>
        <v>0</v>
      </c>
      <c r="R195" s="630">
        <f>IF('Appendix A'!$I$1=1,0,'6- Est &amp; Reconcile WS'!AW195)</f>
        <v>0</v>
      </c>
      <c r="S195" s="630">
        <f>IF('Appendix A'!$I$1=1,0,'6- Est &amp; Reconcile WS'!AX195)</f>
        <v>0</v>
      </c>
      <c r="T195" s="416">
        <f t="shared" si="84"/>
        <v>31252390.138495833</v>
      </c>
      <c r="U195" s="416">
        <f t="shared" si="85"/>
        <v>0</v>
      </c>
      <c r="V195" s="412">
        <f t="shared" si="86"/>
        <v>0</v>
      </c>
      <c r="W195" s="412">
        <f t="shared" si="87"/>
        <v>0</v>
      </c>
      <c r="X195" s="412">
        <f t="shared" si="88"/>
        <v>0</v>
      </c>
      <c r="Y195" s="416">
        <f t="shared" si="89"/>
        <v>0</v>
      </c>
      <c r="Z195" s="416">
        <f t="shared" si="90"/>
        <v>778656.9899999999</v>
      </c>
      <c r="AA195" s="416">
        <f t="shared" si="91"/>
        <v>3775546.2900000094</v>
      </c>
      <c r="AB195" s="451">
        <f t="shared" si="92"/>
        <v>8325909</v>
      </c>
      <c r="AC195" s="416">
        <f t="shared" si="93"/>
        <v>3044780.069999995</v>
      </c>
      <c r="AG195" s="200" t="s">
        <v>626</v>
      </c>
      <c r="AH195" s="200" t="s">
        <v>787</v>
      </c>
      <c r="AI195" s="890">
        <v>2633347.3785208333</v>
      </c>
      <c r="AJ195" s="890">
        <v>0</v>
      </c>
      <c r="AK195" s="890">
        <v>0</v>
      </c>
      <c r="AL195" s="890">
        <v>0</v>
      </c>
      <c r="AM195" s="890">
        <f t="shared" si="94"/>
        <v>0</v>
      </c>
      <c r="AN195" s="890">
        <v>0</v>
      </c>
      <c r="AO195" s="890">
        <v>0</v>
      </c>
      <c r="AP195" s="890">
        <v>0</v>
      </c>
      <c r="AQ195" s="890">
        <v>0</v>
      </c>
      <c r="AR195" s="890">
        <v>0</v>
      </c>
      <c r="AS195" s="890">
        <v>0</v>
      </c>
      <c r="AT195" s="890">
        <v>0</v>
      </c>
      <c r="AU195" s="890">
        <v>0</v>
      </c>
      <c r="AV195" s="890">
        <v>0</v>
      </c>
      <c r="AW195" s="890">
        <v>0</v>
      </c>
      <c r="AX195" s="890">
        <v>0</v>
      </c>
    </row>
    <row r="196" spans="1:50" ht="12.75">
      <c r="A196" s="810"/>
      <c r="C196" s="200" t="s">
        <v>627</v>
      </c>
      <c r="D196" s="631">
        <f>IF('Appendix A'!$I$1=1,0,'6- Est &amp; Reconcile WS'!AI196)</f>
        <v>9937073.348920833</v>
      </c>
      <c r="E196" s="631">
        <f>IF('Appendix A'!$I$1=1,0,'6- Est &amp; Reconcile WS'!AJ196)</f>
        <v>0</v>
      </c>
      <c r="F196" s="631">
        <f>IF('Appendix A'!$I$1=1,0,'6- Est &amp; Reconcile WS'!AK196)</f>
        <v>0</v>
      </c>
      <c r="G196" s="631">
        <f>IF('Appendix A'!$I$1=1,0,'6- Est &amp; Reconcile WS'!AL196)</f>
        <v>0</v>
      </c>
      <c r="H196" s="631">
        <f>IF('Appendix A'!$I$1=1,0,'6- Est &amp; Reconcile WS'!AM196)</f>
        <v>0</v>
      </c>
      <c r="I196" s="631">
        <f>IF('Appendix A'!$I$1=1,0,'6- Est &amp; Reconcile WS'!AN196)</f>
        <v>0</v>
      </c>
      <c r="J196" s="631">
        <f>IF('Appendix A'!$I$1=1,0,'6- Est &amp; Reconcile WS'!AO196)</f>
        <v>0</v>
      </c>
      <c r="K196" s="631">
        <f>IF('Appendix A'!$I$1=1,0,'6- Est &amp; Reconcile WS'!AP196)</f>
        <v>0</v>
      </c>
      <c r="L196" s="631">
        <f>IF('Appendix A'!$I$1=1,0,'6- Est &amp; Reconcile WS'!AQ196)</f>
        <v>0</v>
      </c>
      <c r="M196" s="631">
        <f>IF('Appendix A'!$I$1=1,0,'6- Est &amp; Reconcile WS'!AR196)</f>
        <v>0</v>
      </c>
      <c r="N196" s="631">
        <f>IF('Appendix A'!$I$1=1,0,'6- Est &amp; Reconcile WS'!AS196)</f>
        <v>0</v>
      </c>
      <c r="O196" s="631">
        <f>IF('Appendix A'!$I$1=1,0,'6- Est &amp; Reconcile WS'!AT196)</f>
        <v>0</v>
      </c>
      <c r="P196" s="631">
        <f>IF('Appendix A'!$I$1=1,0,'6- Est &amp; Reconcile WS'!AU196)</f>
        <v>0</v>
      </c>
      <c r="Q196" s="631">
        <f>IF('Appendix A'!$I$1=1,0,'6- Est &amp; Reconcile WS'!AV196)</f>
        <v>0</v>
      </c>
      <c r="R196" s="631">
        <f>IF('Appendix A'!$I$1=1,0,'6- Est &amp; Reconcile WS'!AW196)</f>
        <v>0</v>
      </c>
      <c r="S196" s="631">
        <f>IF('Appendix A'!$I$1=1,0,'6- Est &amp; Reconcile WS'!AX196)</f>
        <v>0</v>
      </c>
      <c r="T196" s="418">
        <f t="shared" si="84"/>
        <v>41189463.48741667</v>
      </c>
      <c r="U196" s="418">
        <f t="shared" si="85"/>
        <v>0</v>
      </c>
      <c r="V196" s="417">
        <f t="shared" si="86"/>
        <v>0</v>
      </c>
      <c r="W196" s="417">
        <f t="shared" si="87"/>
        <v>0</v>
      </c>
      <c r="X196" s="417">
        <f t="shared" si="88"/>
        <v>0</v>
      </c>
      <c r="Y196" s="418">
        <f t="shared" si="89"/>
        <v>0</v>
      </c>
      <c r="Z196" s="418">
        <f t="shared" si="90"/>
        <v>778656.9899999999</v>
      </c>
      <c r="AA196" s="418">
        <f t="shared" si="91"/>
        <v>3775546.2900000094</v>
      </c>
      <c r="AB196" s="418">
        <f t="shared" si="92"/>
        <v>8325909</v>
      </c>
      <c r="AC196" s="418">
        <f t="shared" si="93"/>
        <v>3044780.069999995</v>
      </c>
      <c r="AD196" s="415"/>
      <c r="AG196" s="415" t="s">
        <v>627</v>
      </c>
      <c r="AH196" s="415" t="s">
        <v>787</v>
      </c>
      <c r="AI196" s="809">
        <v>9937073.348920833</v>
      </c>
      <c r="AJ196" s="809">
        <v>0</v>
      </c>
      <c r="AK196" s="809">
        <v>0</v>
      </c>
      <c r="AL196" s="809">
        <v>0</v>
      </c>
      <c r="AM196" s="809">
        <f t="shared" si="94"/>
        <v>0</v>
      </c>
      <c r="AN196" s="809">
        <v>0</v>
      </c>
      <c r="AO196" s="809">
        <v>0</v>
      </c>
      <c r="AP196" s="809">
        <v>0</v>
      </c>
      <c r="AQ196" s="809">
        <v>0</v>
      </c>
      <c r="AR196" s="809">
        <v>0</v>
      </c>
      <c r="AS196" s="809">
        <v>0</v>
      </c>
      <c r="AT196" s="809">
        <v>0</v>
      </c>
      <c r="AU196" s="809">
        <v>0</v>
      </c>
      <c r="AV196" s="809">
        <v>0</v>
      </c>
      <c r="AW196" s="809">
        <v>0</v>
      </c>
      <c r="AX196" s="809">
        <v>0</v>
      </c>
    </row>
    <row r="197" spans="1:50" ht="12.75">
      <c r="A197" s="810"/>
      <c r="C197" s="200" t="s">
        <v>449</v>
      </c>
      <c r="D197" s="416">
        <f>SUM(D185:D196)</f>
        <v>41189463.48741667</v>
      </c>
      <c r="E197" s="416">
        <f>SUM(E185:E196)</f>
        <v>0</v>
      </c>
      <c r="F197" s="416">
        <f>SUM(F185:F196)</f>
        <v>0</v>
      </c>
      <c r="G197" s="416">
        <f>SUM(G185:G196)</f>
        <v>0</v>
      </c>
      <c r="H197" s="412"/>
      <c r="I197" s="416">
        <f aca="true" t="shared" si="95" ref="I197:P197">SUM(I185:I196)</f>
        <v>0</v>
      </c>
      <c r="J197" s="416">
        <f t="shared" si="95"/>
        <v>0</v>
      </c>
      <c r="K197" s="416">
        <f t="shared" si="95"/>
        <v>0</v>
      </c>
      <c r="L197" s="416">
        <f t="shared" si="95"/>
        <v>0</v>
      </c>
      <c r="M197" s="416">
        <f t="shared" si="95"/>
        <v>0</v>
      </c>
      <c r="N197" s="416">
        <f t="shared" si="95"/>
        <v>778656.9899999999</v>
      </c>
      <c r="O197" s="416">
        <f t="shared" si="95"/>
        <v>0</v>
      </c>
      <c r="P197" s="416">
        <f t="shared" si="95"/>
        <v>-291552.25999999983</v>
      </c>
      <c r="Q197" s="416">
        <f>SUM(Q185:Q196)</f>
        <v>8325909</v>
      </c>
      <c r="R197" s="416">
        <f>SUM(R185:R196)</f>
        <v>0</v>
      </c>
      <c r="S197" s="416">
        <f>SUM(S185:S196)</f>
        <v>-5155872.530000001</v>
      </c>
      <c r="T197" s="416">
        <f aca="true" t="shared" si="96" ref="T197:AA197">AVERAGE(T184:T196)</f>
        <v>18450114.401803844</v>
      </c>
      <c r="U197" s="416">
        <f t="shared" si="96"/>
        <v>0</v>
      </c>
      <c r="V197" s="416">
        <f t="shared" si="96"/>
        <v>0</v>
      </c>
      <c r="W197" s="416">
        <f t="shared" si="96"/>
        <v>0</v>
      </c>
      <c r="X197" s="416">
        <f t="shared" si="96"/>
        <v>0</v>
      </c>
      <c r="Y197" s="416">
        <f t="shared" si="96"/>
        <v>0</v>
      </c>
      <c r="Z197" s="416">
        <f t="shared" si="96"/>
        <v>181013.0276923076</v>
      </c>
      <c r="AA197" s="416">
        <f t="shared" si="96"/>
        <v>4061975.0742307776</v>
      </c>
      <c r="AB197" s="416">
        <f>AVERAGE(AB184:AB196)</f>
        <v>4885308.574615384</v>
      </c>
      <c r="AC197" s="416">
        <f>AVERAGE(AC184:AC196)</f>
        <v>5494268.72307692</v>
      </c>
      <c r="AD197" s="416">
        <f>SUM(T197:AC197)</f>
        <v>33072679.801419236</v>
      </c>
      <c r="AG197" s="200" t="s">
        <v>449</v>
      </c>
      <c r="AI197" s="416">
        <f>SUM(AI185:AI196)</f>
        <v>41189463.48741667</v>
      </c>
      <c r="AJ197" s="416">
        <f>SUM(AJ185:AJ196)</f>
        <v>0</v>
      </c>
      <c r="AK197" s="416">
        <f>SUM(AK185:AK196)</f>
        <v>0</v>
      </c>
      <c r="AL197" s="416">
        <f>SUM(AL185:AL196)</f>
        <v>0</v>
      </c>
      <c r="AM197" s="412"/>
      <c r="AN197" s="416">
        <f aca="true" t="shared" si="97" ref="AN197:AU197">SUM(AN185:AN196)</f>
        <v>0</v>
      </c>
      <c r="AO197" s="416">
        <f t="shared" si="97"/>
        <v>0</v>
      </c>
      <c r="AP197" s="416">
        <f t="shared" si="97"/>
        <v>0</v>
      </c>
      <c r="AQ197" s="416">
        <f t="shared" si="97"/>
        <v>0</v>
      </c>
      <c r="AR197" s="416">
        <f t="shared" si="97"/>
        <v>0</v>
      </c>
      <c r="AS197" s="416">
        <f t="shared" si="97"/>
        <v>778656.9899999999</v>
      </c>
      <c r="AT197" s="416">
        <f t="shared" si="97"/>
        <v>0</v>
      </c>
      <c r="AU197" s="416">
        <f t="shared" si="97"/>
        <v>-291552.25999999983</v>
      </c>
      <c r="AV197" s="416">
        <f>SUM(AV185:AV196)</f>
        <v>8325909</v>
      </c>
      <c r="AW197" s="416">
        <f>SUM(AW185:AW196)</f>
        <v>0</v>
      </c>
      <c r="AX197" s="416">
        <f>SUM(AX185:AX196)</f>
        <v>-5155872.530000001</v>
      </c>
    </row>
    <row r="198" spans="3:17" ht="12.75">
      <c r="C198" s="200"/>
      <c r="D198" s="416"/>
      <c r="E198" s="416"/>
      <c r="F198" s="416"/>
      <c r="G198" s="416"/>
      <c r="H198" s="412"/>
      <c r="I198" s="412"/>
      <c r="J198" s="412"/>
      <c r="K198" s="412"/>
      <c r="L198" s="416"/>
      <c r="M198" s="416"/>
      <c r="N198" s="416"/>
      <c r="O198" s="416"/>
      <c r="Q198" s="416"/>
    </row>
    <row r="199" spans="3:34" ht="12.75">
      <c r="C199" s="200"/>
      <c r="D199" s="416"/>
      <c r="E199" s="416"/>
      <c r="G199" s="416"/>
      <c r="H199" s="1160" t="s">
        <v>860</v>
      </c>
      <c r="I199" s="416">
        <f>T197+V197+W197+Y197+Z197+AB197</f>
        <v>23516436.004111536</v>
      </c>
      <c r="J199" s="416" t="str">
        <f>"goes to line "&amp;'Appendix A'!$A$29&amp;" of the formula"</f>
        <v>goes to line 14 of the formula</v>
      </c>
      <c r="K199" s="412"/>
      <c r="N199" s="416"/>
      <c r="O199" s="416"/>
      <c r="AH199" s="416"/>
    </row>
    <row r="200" spans="3:15" ht="12.75">
      <c r="C200" s="200"/>
      <c r="D200" s="416"/>
      <c r="E200" s="416"/>
      <c r="G200" s="416"/>
      <c r="H200" s="1160" t="s">
        <v>861</v>
      </c>
      <c r="I200" s="416">
        <f>U197+X197+AA197+AC197</f>
        <v>9556243.797307698</v>
      </c>
      <c r="J200" s="416" t="str">
        <f>"goes to line "&amp;'Appendix A'!$A$65&amp;" of the formula"</f>
        <v>goes to line 36 of the formula</v>
      </c>
      <c r="K200" s="412"/>
      <c r="N200" s="416"/>
      <c r="O200" s="416"/>
    </row>
    <row r="201" spans="3:11" ht="12.75">
      <c r="C201" s="200"/>
      <c r="H201" s="416"/>
      <c r="I201" s="416"/>
      <c r="J201" s="416"/>
      <c r="K201" s="416"/>
    </row>
    <row r="202" spans="3:27" ht="12.75">
      <c r="C202" s="410"/>
      <c r="D202" s="200" t="s">
        <v>1069</v>
      </c>
      <c r="E202" s="200" t="s">
        <v>1070</v>
      </c>
      <c r="F202" s="200" t="s">
        <v>1071</v>
      </c>
      <c r="G202" s="200" t="s">
        <v>1072</v>
      </c>
      <c r="H202" s="200" t="s">
        <v>1073</v>
      </c>
      <c r="I202" s="200" t="s">
        <v>1074</v>
      </c>
      <c r="J202" s="200" t="s">
        <v>1075</v>
      </c>
      <c r="K202" s="200" t="s">
        <v>1076</v>
      </c>
      <c r="L202" s="200" t="s">
        <v>1077</v>
      </c>
      <c r="M202" s="200" t="s">
        <v>1078</v>
      </c>
      <c r="N202" s="200" t="s">
        <v>1079</v>
      </c>
      <c r="O202" s="200" t="s">
        <v>1080</v>
      </c>
      <c r="P202" s="200" t="s">
        <v>1081</v>
      </c>
      <c r="Q202" s="200" t="s">
        <v>1082</v>
      </c>
      <c r="R202" s="200" t="s">
        <v>1083</v>
      </c>
      <c r="S202" s="200" t="s">
        <v>1084</v>
      </c>
      <c r="T202" s="200" t="s">
        <v>1085</v>
      </c>
      <c r="U202" s="200" t="s">
        <v>1088</v>
      </c>
      <c r="V202" s="200" t="s">
        <v>1086</v>
      </c>
      <c r="W202" s="200" t="s">
        <v>1089</v>
      </c>
      <c r="X202" s="200" t="s">
        <v>1087</v>
      </c>
      <c r="Y202" s="200" t="s">
        <v>1090</v>
      </c>
      <c r="Z202" s="200" t="s">
        <v>1094</v>
      </c>
      <c r="AA202" s="200" t="s">
        <v>1091</v>
      </c>
    </row>
    <row r="203" spans="3:27" ht="12.75">
      <c r="C203" s="410"/>
      <c r="D203" s="408" t="s">
        <v>142</v>
      </c>
      <c r="E203" s="200" t="s">
        <v>120</v>
      </c>
      <c r="F203" s="408" t="s">
        <v>578</v>
      </c>
      <c r="G203" s="408" t="s">
        <v>656</v>
      </c>
      <c r="H203" s="408" t="s">
        <v>144</v>
      </c>
      <c r="I203" s="200" t="s">
        <v>120</v>
      </c>
      <c r="J203" s="408" t="s">
        <v>578</v>
      </c>
      <c r="K203" s="408" t="s">
        <v>373</v>
      </c>
      <c r="L203" s="408" t="s">
        <v>784</v>
      </c>
      <c r="M203" s="200" t="s">
        <v>120</v>
      </c>
      <c r="N203" s="408" t="s">
        <v>578</v>
      </c>
      <c r="O203" s="408" t="s">
        <v>373</v>
      </c>
      <c r="P203" s="408" t="s">
        <v>110</v>
      </c>
      <c r="Q203" s="200" t="s">
        <v>120</v>
      </c>
      <c r="R203" s="408" t="s">
        <v>578</v>
      </c>
      <c r="S203" s="408" t="s">
        <v>373</v>
      </c>
      <c r="T203" s="408" t="s">
        <v>850</v>
      </c>
      <c r="U203" s="200" t="s">
        <v>120</v>
      </c>
      <c r="V203" s="408" t="s">
        <v>578</v>
      </c>
      <c r="W203" s="408" t="s">
        <v>373</v>
      </c>
      <c r="X203" s="408" t="s">
        <v>868</v>
      </c>
      <c r="Y203" s="200" t="s">
        <v>120</v>
      </c>
      <c r="Z203" s="408" t="s">
        <v>578</v>
      </c>
      <c r="AA203" s="408" t="s">
        <v>373</v>
      </c>
    </row>
    <row r="204" spans="3:27" ht="12.75">
      <c r="C204" s="200"/>
      <c r="D204" s="408" t="s">
        <v>118</v>
      </c>
      <c r="E204" s="408" t="s">
        <v>121</v>
      </c>
      <c r="F204" s="408" t="s">
        <v>122</v>
      </c>
      <c r="G204" s="408"/>
      <c r="H204" s="408" t="s">
        <v>119</v>
      </c>
      <c r="I204" s="408" t="s">
        <v>121</v>
      </c>
      <c r="J204" s="408" t="s">
        <v>122</v>
      </c>
      <c r="K204" s="408" t="s">
        <v>374</v>
      </c>
      <c r="L204" s="408" t="s">
        <v>119</v>
      </c>
      <c r="M204" s="408" t="s">
        <v>121</v>
      </c>
      <c r="N204" s="408" t="s">
        <v>122</v>
      </c>
      <c r="O204" s="408" t="s">
        <v>374</v>
      </c>
      <c r="P204" s="408" t="s">
        <v>119</v>
      </c>
      <c r="Q204" s="408" t="s">
        <v>121</v>
      </c>
      <c r="R204" s="408" t="s">
        <v>122</v>
      </c>
      <c r="S204" s="408" t="s">
        <v>374</v>
      </c>
      <c r="T204" s="408" t="s">
        <v>119</v>
      </c>
      <c r="U204" s="408" t="s">
        <v>121</v>
      </c>
      <c r="V204" s="408" t="s">
        <v>122</v>
      </c>
      <c r="W204" s="408" t="s">
        <v>374</v>
      </c>
      <c r="X204" s="408" t="s">
        <v>119</v>
      </c>
      <c r="Y204" s="408" t="s">
        <v>121</v>
      </c>
      <c r="Z204" s="408" t="s">
        <v>122</v>
      </c>
      <c r="AA204" s="408" t="s">
        <v>374</v>
      </c>
    </row>
    <row r="205" spans="3:27" ht="12.75">
      <c r="C205" s="200" t="s">
        <v>143</v>
      </c>
      <c r="D205" s="336">
        <f aca="true" t="shared" si="98" ref="D205:D217">T184</f>
        <v>0</v>
      </c>
      <c r="E205" s="746">
        <v>0.0022</v>
      </c>
      <c r="F205" s="416">
        <f aca="true" t="shared" si="99" ref="F205:F217">D205*E205</f>
        <v>0</v>
      </c>
      <c r="G205" s="416">
        <f>F205</f>
        <v>0</v>
      </c>
      <c r="H205" s="452">
        <f>V184*0</f>
        <v>0</v>
      </c>
      <c r="I205" s="746">
        <f>E205</f>
        <v>0.0022</v>
      </c>
      <c r="J205" s="416">
        <f aca="true" t="shared" si="100" ref="J205:J217">H205*I205</f>
        <v>0</v>
      </c>
      <c r="K205" s="416">
        <f>J205</f>
        <v>0</v>
      </c>
      <c r="L205" s="452">
        <f>W184</f>
        <v>0</v>
      </c>
      <c r="M205" s="746">
        <f>E205</f>
        <v>0.0022</v>
      </c>
      <c r="N205" s="416">
        <f>L205*M205</f>
        <v>0</v>
      </c>
      <c r="O205" s="416">
        <f>N205</f>
        <v>0</v>
      </c>
      <c r="P205" s="452">
        <f>Y184*0</f>
        <v>0</v>
      </c>
      <c r="Q205" s="746">
        <f>E205</f>
        <v>0.0022</v>
      </c>
      <c r="R205" s="416">
        <f aca="true" t="shared" si="101" ref="R205:R217">P205*Q205</f>
        <v>0</v>
      </c>
      <c r="S205" s="416">
        <f>R205+S120*0</f>
        <v>0</v>
      </c>
      <c r="T205" s="452">
        <f>Z184</f>
        <v>0</v>
      </c>
      <c r="U205" s="746">
        <f>E205</f>
        <v>0.0022</v>
      </c>
      <c r="V205" s="416">
        <f>T205*U205</f>
        <v>0</v>
      </c>
      <c r="W205" s="416">
        <f>V205+W120*0</f>
        <v>0</v>
      </c>
      <c r="X205" s="1176">
        <f>AB184</f>
        <v>0</v>
      </c>
      <c r="Y205" s="746">
        <f>E205</f>
        <v>0.0022</v>
      </c>
      <c r="Z205" s="416">
        <f>X205*Y205</f>
        <v>0</v>
      </c>
      <c r="AA205" s="416">
        <f>Z205+AA120*0</f>
        <v>0</v>
      </c>
    </row>
    <row r="206" spans="3:27" ht="12.75">
      <c r="C206" s="200" t="s">
        <v>617</v>
      </c>
      <c r="D206" s="416">
        <f t="shared" si="98"/>
        <v>205808.21999999872</v>
      </c>
      <c r="E206" s="446">
        <f>+E205</f>
        <v>0.0022</v>
      </c>
      <c r="F206" s="416">
        <f t="shared" si="99"/>
        <v>452.7780839999972</v>
      </c>
      <c r="G206" s="416">
        <f>G205+F206</f>
        <v>452.7780839999972</v>
      </c>
      <c r="H206" s="452">
        <f aca="true" t="shared" si="102" ref="H206:H217">V185</f>
        <v>0</v>
      </c>
      <c r="I206" s="446">
        <f>+I205</f>
        <v>0.0022</v>
      </c>
      <c r="J206" s="416">
        <f t="shared" si="100"/>
        <v>0</v>
      </c>
      <c r="K206" s="416">
        <f>J206+K205</f>
        <v>0</v>
      </c>
      <c r="L206" s="452">
        <f aca="true" t="shared" si="103" ref="L206:L217">W185</f>
        <v>0</v>
      </c>
      <c r="M206" s="941">
        <f>M205</f>
        <v>0.0022</v>
      </c>
      <c r="N206" s="416">
        <f aca="true" t="shared" si="104" ref="N206:N217">L206*M206</f>
        <v>0</v>
      </c>
      <c r="O206" s="416">
        <f>N206+O205</f>
        <v>0</v>
      </c>
      <c r="P206" s="452">
        <f aca="true" t="shared" si="105" ref="P206:P217">Y185</f>
        <v>0</v>
      </c>
      <c r="Q206" s="446">
        <f>+Q205</f>
        <v>0.0022</v>
      </c>
      <c r="R206" s="416">
        <f t="shared" si="101"/>
        <v>0</v>
      </c>
      <c r="S206" s="416">
        <f>R206+S205</f>
        <v>0</v>
      </c>
      <c r="T206" s="452">
        <f aca="true" t="shared" si="106" ref="T206:T216">Z185</f>
        <v>6732.889999999999</v>
      </c>
      <c r="U206" s="446">
        <f>+U205</f>
        <v>0.0022</v>
      </c>
      <c r="V206" s="416">
        <f aca="true" t="shared" si="107" ref="V206:V217">T206*U206</f>
        <v>14.812358</v>
      </c>
      <c r="W206" s="416">
        <f>V206+W205</f>
        <v>14.812358</v>
      </c>
      <c r="X206" s="1176">
        <f aca="true" t="shared" si="108" ref="X206:X216">AB185</f>
        <v>60732.899999999994</v>
      </c>
      <c r="Y206" s="446">
        <f>+Y205</f>
        <v>0.0022</v>
      </c>
      <c r="Z206" s="416">
        <f aca="true" t="shared" si="109" ref="Z206:Z217">X206*Y206</f>
        <v>133.61238</v>
      </c>
      <c r="AA206" s="416">
        <f>Z206+AA205</f>
        <v>133.61238</v>
      </c>
    </row>
    <row r="207" spans="3:27" ht="12.75">
      <c r="C207" s="200" t="s">
        <v>618</v>
      </c>
      <c r="D207" s="416">
        <f t="shared" si="98"/>
        <v>554936.6699999988</v>
      </c>
      <c r="E207" s="446">
        <f aca="true" t="shared" si="110" ref="E207:E217">+E206</f>
        <v>0.0022</v>
      </c>
      <c r="F207" s="416">
        <f t="shared" si="99"/>
        <v>1220.8606739999973</v>
      </c>
      <c r="G207" s="416">
        <f aca="true" t="shared" si="111" ref="G207:G217">G206+F207</f>
        <v>1673.6387579999946</v>
      </c>
      <c r="H207" s="452">
        <f t="shared" si="102"/>
        <v>0</v>
      </c>
      <c r="I207" s="446">
        <f aca="true" t="shared" si="112" ref="I207:I217">+I206</f>
        <v>0.0022</v>
      </c>
      <c r="J207" s="416">
        <f t="shared" si="100"/>
        <v>0</v>
      </c>
      <c r="K207" s="416">
        <f aca="true" t="shared" si="113" ref="K207:K217">J207+K206</f>
        <v>0</v>
      </c>
      <c r="L207" s="452">
        <f t="shared" si="103"/>
        <v>0</v>
      </c>
      <c r="M207" s="941">
        <f aca="true" t="shared" si="114" ref="M207:M217">M206</f>
        <v>0.0022</v>
      </c>
      <c r="N207" s="416">
        <f t="shared" si="104"/>
        <v>0</v>
      </c>
      <c r="O207" s="416">
        <f aca="true" t="shared" si="115" ref="O207:O217">N207+O206</f>
        <v>0</v>
      </c>
      <c r="P207" s="452">
        <f t="shared" si="105"/>
        <v>0</v>
      </c>
      <c r="Q207" s="446">
        <f aca="true" t="shared" si="116" ref="Q207:Q217">+Q206</f>
        <v>0.0022</v>
      </c>
      <c r="R207" s="416">
        <f t="shared" si="101"/>
        <v>0</v>
      </c>
      <c r="S207" s="416">
        <f aca="true" t="shared" si="117" ref="S207:S217">R207+S206</f>
        <v>0</v>
      </c>
      <c r="T207" s="452">
        <f t="shared" si="106"/>
        <v>-20601.409999999996</v>
      </c>
      <c r="U207" s="446">
        <f aca="true" t="shared" si="118" ref="U207:U217">+U206</f>
        <v>0.0022</v>
      </c>
      <c r="V207" s="416">
        <f t="shared" si="107"/>
        <v>-45.32310199999999</v>
      </c>
      <c r="W207" s="416">
        <f aca="true" t="shared" si="119" ref="W207:W217">V207+W206</f>
        <v>-30.510743999999992</v>
      </c>
      <c r="X207" s="1176">
        <f t="shared" si="108"/>
        <v>819681.5800000001</v>
      </c>
      <c r="Y207" s="446">
        <f aca="true" t="shared" si="120" ref="Y207:Y217">+Y206</f>
        <v>0.0022</v>
      </c>
      <c r="Z207" s="416">
        <f t="shared" si="109"/>
        <v>1803.2994760000004</v>
      </c>
      <c r="AA207" s="416">
        <f aca="true" t="shared" si="121" ref="AA207:AA217">Z207+AA206</f>
        <v>1936.9118560000004</v>
      </c>
    </row>
    <row r="208" spans="3:27" ht="12.75">
      <c r="C208" s="200" t="s">
        <v>619</v>
      </c>
      <c r="D208" s="416">
        <f t="shared" si="98"/>
        <v>2100593.589999998</v>
      </c>
      <c r="E208" s="446">
        <f t="shared" si="110"/>
        <v>0.0022</v>
      </c>
      <c r="F208" s="416">
        <f t="shared" si="99"/>
        <v>4621.305897999996</v>
      </c>
      <c r="G208" s="416">
        <f t="shared" si="111"/>
        <v>6294.944655999991</v>
      </c>
      <c r="H208" s="452">
        <f t="shared" si="102"/>
        <v>0</v>
      </c>
      <c r="I208" s="446">
        <f t="shared" si="112"/>
        <v>0.0022</v>
      </c>
      <c r="J208" s="416">
        <f t="shared" si="100"/>
        <v>0</v>
      </c>
      <c r="K208" s="416">
        <f t="shared" si="113"/>
        <v>0</v>
      </c>
      <c r="L208" s="452">
        <f t="shared" si="103"/>
        <v>0</v>
      </c>
      <c r="M208" s="941">
        <f t="shared" si="114"/>
        <v>0.0022</v>
      </c>
      <c r="N208" s="416">
        <f t="shared" si="104"/>
        <v>0</v>
      </c>
      <c r="O208" s="416">
        <f t="shared" si="115"/>
        <v>0</v>
      </c>
      <c r="P208" s="452">
        <f t="shared" si="105"/>
        <v>0</v>
      </c>
      <c r="Q208" s="446">
        <f t="shared" si="116"/>
        <v>0.0022</v>
      </c>
      <c r="R208" s="416">
        <f t="shared" si="101"/>
        <v>0</v>
      </c>
      <c r="S208" s="416">
        <f t="shared" si="117"/>
        <v>0</v>
      </c>
      <c r="T208" s="452">
        <f t="shared" si="106"/>
        <v>-76555.03000000009</v>
      </c>
      <c r="U208" s="446">
        <f t="shared" si="118"/>
        <v>0.0022</v>
      </c>
      <c r="V208" s="416">
        <f t="shared" si="107"/>
        <v>-168.4210660000002</v>
      </c>
      <c r="W208" s="416">
        <f t="shared" si="119"/>
        <v>-198.93181000000018</v>
      </c>
      <c r="X208" s="1176">
        <f t="shared" si="108"/>
        <v>758880.1900000001</v>
      </c>
      <c r="Y208" s="446">
        <f t="shared" si="120"/>
        <v>0.0022</v>
      </c>
      <c r="Z208" s="416">
        <f t="shared" si="109"/>
        <v>1669.5364180000001</v>
      </c>
      <c r="AA208" s="416">
        <f t="shared" si="121"/>
        <v>3606.4482740000003</v>
      </c>
    </row>
    <row r="209" spans="3:27" ht="12.75">
      <c r="C209" s="200" t="s">
        <v>620</v>
      </c>
      <c r="D209" s="416">
        <f t="shared" si="98"/>
        <v>1813406.8699999987</v>
      </c>
      <c r="E209" s="446">
        <f t="shared" si="110"/>
        <v>0.0022</v>
      </c>
      <c r="F209" s="416">
        <f t="shared" si="99"/>
        <v>3989.4951139999976</v>
      </c>
      <c r="G209" s="416">
        <f t="shared" si="111"/>
        <v>10284.439769999988</v>
      </c>
      <c r="H209" s="452">
        <f t="shared" si="102"/>
        <v>0</v>
      </c>
      <c r="I209" s="446">
        <f t="shared" si="112"/>
        <v>0.0022</v>
      </c>
      <c r="J209" s="416">
        <f t="shared" si="100"/>
        <v>0</v>
      </c>
      <c r="K209" s="416">
        <f t="shared" si="113"/>
        <v>0</v>
      </c>
      <c r="L209" s="452">
        <f t="shared" si="103"/>
        <v>0</v>
      </c>
      <c r="M209" s="941">
        <f t="shared" si="114"/>
        <v>0.0022</v>
      </c>
      <c r="N209" s="416">
        <f t="shared" si="104"/>
        <v>0</v>
      </c>
      <c r="O209" s="416">
        <f t="shared" si="115"/>
        <v>0</v>
      </c>
      <c r="P209" s="452">
        <f t="shared" si="105"/>
        <v>0</v>
      </c>
      <c r="Q209" s="446">
        <f t="shared" si="116"/>
        <v>0.0022</v>
      </c>
      <c r="R209" s="416">
        <f t="shared" si="101"/>
        <v>0</v>
      </c>
      <c r="S209" s="416">
        <f t="shared" si="117"/>
        <v>0</v>
      </c>
      <c r="T209" s="452">
        <f t="shared" si="106"/>
        <v>17936.989999999903</v>
      </c>
      <c r="U209" s="446">
        <f t="shared" si="118"/>
        <v>0.0022</v>
      </c>
      <c r="V209" s="416">
        <f t="shared" si="107"/>
        <v>39.46137799999979</v>
      </c>
      <c r="W209" s="416">
        <f t="shared" si="119"/>
        <v>-159.4704320000004</v>
      </c>
      <c r="X209" s="1176">
        <f t="shared" si="108"/>
        <v>967844.8</v>
      </c>
      <c r="Y209" s="446">
        <f t="shared" si="120"/>
        <v>0.0022</v>
      </c>
      <c r="Z209" s="416">
        <f t="shared" si="109"/>
        <v>2129.25856</v>
      </c>
      <c r="AA209" s="416">
        <f t="shared" si="121"/>
        <v>5735.7068340000005</v>
      </c>
    </row>
    <row r="210" spans="3:27" ht="12.75">
      <c r="C210" s="200" t="s">
        <v>615</v>
      </c>
      <c r="D210" s="416">
        <f t="shared" si="98"/>
        <v>24384301.173720833</v>
      </c>
      <c r="E210" s="446">
        <f t="shared" si="110"/>
        <v>0.0022</v>
      </c>
      <c r="F210" s="416">
        <f t="shared" si="99"/>
        <v>53645.462582185835</v>
      </c>
      <c r="G210" s="416">
        <f t="shared" si="111"/>
        <v>63929.902352185825</v>
      </c>
      <c r="H210" s="452">
        <f t="shared" si="102"/>
        <v>0</v>
      </c>
      <c r="I210" s="446">
        <f t="shared" si="112"/>
        <v>0.0022</v>
      </c>
      <c r="J210" s="416">
        <f t="shared" si="100"/>
        <v>0</v>
      </c>
      <c r="K210" s="416">
        <f t="shared" si="113"/>
        <v>0</v>
      </c>
      <c r="L210" s="452">
        <f t="shared" si="103"/>
        <v>0</v>
      </c>
      <c r="M210" s="941">
        <f t="shared" si="114"/>
        <v>0.0022</v>
      </c>
      <c r="N210" s="416">
        <f t="shared" si="104"/>
        <v>0</v>
      </c>
      <c r="O210" s="416">
        <f t="shared" si="115"/>
        <v>0</v>
      </c>
      <c r="P210" s="452">
        <f t="shared" si="105"/>
        <v>0</v>
      </c>
      <c r="Q210" s="446">
        <f t="shared" si="116"/>
        <v>0.0022</v>
      </c>
      <c r="R210" s="416">
        <f t="shared" si="101"/>
        <v>0</v>
      </c>
      <c r="S210" s="416">
        <f t="shared" si="117"/>
        <v>0</v>
      </c>
      <c r="T210" s="452">
        <f t="shared" si="106"/>
        <v>17936.989999999903</v>
      </c>
      <c r="U210" s="446">
        <f t="shared" si="118"/>
        <v>0.0022</v>
      </c>
      <c r="V210" s="416">
        <f t="shared" si="107"/>
        <v>39.46137799999979</v>
      </c>
      <c r="W210" s="416">
        <f t="shared" si="119"/>
        <v>-120.00905400000059</v>
      </c>
      <c r="X210" s="1176">
        <f t="shared" si="108"/>
        <v>7184829</v>
      </c>
      <c r="Y210" s="446">
        <f t="shared" si="120"/>
        <v>0.0022</v>
      </c>
      <c r="Z210" s="416">
        <f t="shared" si="109"/>
        <v>15806.623800000001</v>
      </c>
      <c r="AA210" s="416">
        <f t="shared" si="121"/>
        <v>21542.330634</v>
      </c>
    </row>
    <row r="211" spans="3:27" ht="12.75">
      <c r="C211" s="200" t="s">
        <v>621</v>
      </c>
      <c r="D211" s="416">
        <f t="shared" si="98"/>
        <v>26769555.889541667</v>
      </c>
      <c r="E211" s="446">
        <f t="shared" si="110"/>
        <v>0.0022</v>
      </c>
      <c r="F211" s="416">
        <f t="shared" si="99"/>
        <v>58893.02295699167</v>
      </c>
      <c r="G211" s="416">
        <f t="shared" si="111"/>
        <v>122822.92530917749</v>
      </c>
      <c r="H211" s="452">
        <f t="shared" si="102"/>
        <v>0</v>
      </c>
      <c r="I211" s="446">
        <f t="shared" si="112"/>
        <v>0.0022</v>
      </c>
      <c r="J211" s="416">
        <f t="shared" si="100"/>
        <v>0</v>
      </c>
      <c r="K211" s="416">
        <f t="shared" si="113"/>
        <v>0</v>
      </c>
      <c r="L211" s="452">
        <f t="shared" si="103"/>
        <v>0</v>
      </c>
      <c r="M211" s="941">
        <f t="shared" si="114"/>
        <v>0.0022</v>
      </c>
      <c r="N211" s="416">
        <f t="shared" si="104"/>
        <v>0</v>
      </c>
      <c r="O211" s="416">
        <f t="shared" si="115"/>
        <v>0</v>
      </c>
      <c r="P211" s="452">
        <f t="shared" si="105"/>
        <v>0</v>
      </c>
      <c r="Q211" s="446">
        <f t="shared" si="116"/>
        <v>0.0022</v>
      </c>
      <c r="R211" s="416">
        <f t="shared" si="101"/>
        <v>0</v>
      </c>
      <c r="S211" s="416">
        <f t="shared" si="117"/>
        <v>0</v>
      </c>
      <c r="T211" s="452">
        <f t="shared" si="106"/>
        <v>17936.989999999903</v>
      </c>
      <c r="U211" s="446">
        <f t="shared" si="118"/>
        <v>0.0022</v>
      </c>
      <c r="V211" s="416">
        <f t="shared" si="107"/>
        <v>39.46137799999979</v>
      </c>
      <c r="W211" s="416">
        <f t="shared" si="119"/>
        <v>-80.54767600000079</v>
      </c>
      <c r="X211" s="1176">
        <f t="shared" si="108"/>
        <v>7184829</v>
      </c>
      <c r="Y211" s="446">
        <f t="shared" si="120"/>
        <v>0.0022</v>
      </c>
      <c r="Z211" s="416">
        <f t="shared" si="109"/>
        <v>15806.623800000001</v>
      </c>
      <c r="AA211" s="416">
        <f t="shared" si="121"/>
        <v>37348.954434</v>
      </c>
    </row>
    <row r="212" spans="3:27" ht="12.75">
      <c r="C212" s="200" t="s">
        <v>622</v>
      </c>
      <c r="D212" s="416">
        <f t="shared" si="98"/>
        <v>27171472.8321625</v>
      </c>
      <c r="E212" s="446">
        <f t="shared" si="110"/>
        <v>0.0022</v>
      </c>
      <c r="F212" s="416">
        <f t="shared" si="99"/>
        <v>59777.2402307575</v>
      </c>
      <c r="G212" s="416">
        <f t="shared" si="111"/>
        <v>182600.165539935</v>
      </c>
      <c r="H212" s="452">
        <f t="shared" si="102"/>
        <v>0</v>
      </c>
      <c r="I212" s="446">
        <f t="shared" si="112"/>
        <v>0.0022</v>
      </c>
      <c r="J212" s="416">
        <f t="shared" si="100"/>
        <v>0</v>
      </c>
      <c r="K212" s="416">
        <f t="shared" si="113"/>
        <v>0</v>
      </c>
      <c r="L212" s="452">
        <f t="shared" si="103"/>
        <v>0</v>
      </c>
      <c r="M212" s="941">
        <f t="shared" si="114"/>
        <v>0.0022</v>
      </c>
      <c r="N212" s="416">
        <f t="shared" si="104"/>
        <v>0</v>
      </c>
      <c r="O212" s="416">
        <f t="shared" si="115"/>
        <v>0</v>
      </c>
      <c r="P212" s="452">
        <f t="shared" si="105"/>
        <v>0</v>
      </c>
      <c r="Q212" s="446">
        <f t="shared" si="116"/>
        <v>0.0022</v>
      </c>
      <c r="R212" s="416">
        <f t="shared" si="101"/>
        <v>0</v>
      </c>
      <c r="S212" s="416">
        <f t="shared" si="117"/>
        <v>0</v>
      </c>
      <c r="T212" s="452">
        <f t="shared" si="106"/>
        <v>17936.989999999903</v>
      </c>
      <c r="U212" s="446">
        <f t="shared" si="118"/>
        <v>0.0022</v>
      </c>
      <c r="V212" s="416">
        <f t="shared" si="107"/>
        <v>39.46137799999979</v>
      </c>
      <c r="W212" s="416">
        <f t="shared" si="119"/>
        <v>-41.086298000001</v>
      </c>
      <c r="X212" s="1176">
        <f t="shared" si="108"/>
        <v>7184829</v>
      </c>
      <c r="Y212" s="446">
        <f t="shared" si="120"/>
        <v>0.0022</v>
      </c>
      <c r="Z212" s="416">
        <f t="shared" si="109"/>
        <v>15806.623800000001</v>
      </c>
      <c r="AA212" s="416">
        <f t="shared" si="121"/>
        <v>53155.578234</v>
      </c>
    </row>
    <row r="213" spans="3:27" ht="12.75">
      <c r="C213" s="200" t="s">
        <v>623</v>
      </c>
      <c r="D213" s="416">
        <f t="shared" si="98"/>
        <v>27573389.774783332</v>
      </c>
      <c r="E213" s="446">
        <f t="shared" si="110"/>
        <v>0.0022</v>
      </c>
      <c r="F213" s="416">
        <f t="shared" si="99"/>
        <v>60661.457504523336</v>
      </c>
      <c r="G213" s="416">
        <f t="shared" si="111"/>
        <v>243261.62304445833</v>
      </c>
      <c r="H213" s="452">
        <f t="shared" si="102"/>
        <v>0</v>
      </c>
      <c r="I213" s="446">
        <f t="shared" si="112"/>
        <v>0.0022</v>
      </c>
      <c r="J213" s="416">
        <f t="shared" si="100"/>
        <v>0</v>
      </c>
      <c r="K213" s="416">
        <f t="shared" si="113"/>
        <v>0</v>
      </c>
      <c r="L213" s="452">
        <f t="shared" si="103"/>
        <v>0</v>
      </c>
      <c r="M213" s="941">
        <f t="shared" si="114"/>
        <v>0.0022</v>
      </c>
      <c r="N213" s="416">
        <f t="shared" si="104"/>
        <v>0</v>
      </c>
      <c r="O213" s="416">
        <f t="shared" si="115"/>
        <v>0</v>
      </c>
      <c r="P213" s="452">
        <f t="shared" si="105"/>
        <v>0</v>
      </c>
      <c r="Q213" s="446">
        <f t="shared" si="116"/>
        <v>0.0022</v>
      </c>
      <c r="R213" s="416">
        <f t="shared" si="101"/>
        <v>0</v>
      </c>
      <c r="S213" s="416">
        <f t="shared" si="117"/>
        <v>0</v>
      </c>
      <c r="T213" s="452">
        <f t="shared" si="106"/>
        <v>17936.989999999903</v>
      </c>
      <c r="U213" s="446">
        <f t="shared" si="118"/>
        <v>0.0022</v>
      </c>
      <c r="V213" s="416">
        <f t="shared" si="107"/>
        <v>39.46137799999979</v>
      </c>
      <c r="W213" s="416">
        <f t="shared" si="119"/>
        <v>-1.624920000001211</v>
      </c>
      <c r="X213" s="1176">
        <f t="shared" si="108"/>
        <v>7184829</v>
      </c>
      <c r="Y213" s="446">
        <f t="shared" si="120"/>
        <v>0.0022</v>
      </c>
      <c r="Z213" s="416">
        <f t="shared" si="109"/>
        <v>15806.623800000001</v>
      </c>
      <c r="AA213" s="416">
        <f t="shared" si="121"/>
        <v>68962.202034</v>
      </c>
    </row>
    <row r="214" spans="3:27" ht="12.75">
      <c r="C214" s="200" t="s">
        <v>624</v>
      </c>
      <c r="D214" s="416">
        <f t="shared" si="98"/>
        <v>28217125.817354165</v>
      </c>
      <c r="E214" s="446">
        <f t="shared" si="110"/>
        <v>0.0022</v>
      </c>
      <c r="F214" s="416">
        <f t="shared" si="99"/>
        <v>62077.67679817916</v>
      </c>
      <c r="G214" s="416">
        <f t="shared" si="111"/>
        <v>305339.2998426375</v>
      </c>
      <c r="H214" s="452">
        <f t="shared" si="102"/>
        <v>0</v>
      </c>
      <c r="I214" s="446">
        <f t="shared" si="112"/>
        <v>0.0022</v>
      </c>
      <c r="J214" s="416">
        <f t="shared" si="100"/>
        <v>0</v>
      </c>
      <c r="K214" s="416">
        <f t="shared" si="113"/>
        <v>0</v>
      </c>
      <c r="L214" s="452">
        <f t="shared" si="103"/>
        <v>0</v>
      </c>
      <c r="M214" s="941">
        <f t="shared" si="114"/>
        <v>0.0022</v>
      </c>
      <c r="N214" s="416">
        <f t="shared" si="104"/>
        <v>0</v>
      </c>
      <c r="O214" s="416">
        <f t="shared" si="115"/>
        <v>0</v>
      </c>
      <c r="P214" s="452">
        <f t="shared" si="105"/>
        <v>0</v>
      </c>
      <c r="Q214" s="446">
        <f t="shared" si="116"/>
        <v>0.0022</v>
      </c>
      <c r="R214" s="416">
        <f t="shared" si="101"/>
        <v>0</v>
      </c>
      <c r="S214" s="416">
        <f t="shared" si="117"/>
        <v>0</v>
      </c>
      <c r="T214" s="452">
        <f t="shared" si="106"/>
        <v>17936.989999999903</v>
      </c>
      <c r="U214" s="446">
        <f t="shared" si="118"/>
        <v>0.0022</v>
      </c>
      <c r="V214" s="416">
        <f t="shared" si="107"/>
        <v>39.46137799999979</v>
      </c>
      <c r="W214" s="416">
        <f t="shared" si="119"/>
        <v>37.83645799999858</v>
      </c>
      <c r="X214" s="1176">
        <f t="shared" si="108"/>
        <v>7184829</v>
      </c>
      <c r="Y214" s="446">
        <f t="shared" si="120"/>
        <v>0.0022</v>
      </c>
      <c r="Z214" s="416">
        <f t="shared" si="109"/>
        <v>15806.623800000001</v>
      </c>
      <c r="AA214" s="416">
        <f t="shared" si="121"/>
        <v>84768.825834</v>
      </c>
    </row>
    <row r="215" spans="3:27" ht="12.75">
      <c r="C215" s="200" t="s">
        <v>625</v>
      </c>
      <c r="D215" s="416">
        <f t="shared" si="98"/>
        <v>28619042.759974997</v>
      </c>
      <c r="E215" s="446">
        <f t="shared" si="110"/>
        <v>0.0022</v>
      </c>
      <c r="F215" s="416">
        <f t="shared" si="99"/>
        <v>62961.894071945</v>
      </c>
      <c r="G215" s="416">
        <f t="shared" si="111"/>
        <v>368301.1939145825</v>
      </c>
      <c r="H215" s="452">
        <f t="shared" si="102"/>
        <v>0</v>
      </c>
      <c r="I215" s="446">
        <f t="shared" si="112"/>
        <v>0.0022</v>
      </c>
      <c r="J215" s="416">
        <f t="shared" si="100"/>
        <v>0</v>
      </c>
      <c r="K215" s="416">
        <f t="shared" si="113"/>
        <v>0</v>
      </c>
      <c r="L215" s="452">
        <f t="shared" si="103"/>
        <v>0</v>
      </c>
      <c r="M215" s="941">
        <f t="shared" si="114"/>
        <v>0.0022</v>
      </c>
      <c r="N215" s="416">
        <f t="shared" si="104"/>
        <v>0</v>
      </c>
      <c r="O215" s="416">
        <f t="shared" si="115"/>
        <v>0</v>
      </c>
      <c r="P215" s="452">
        <f t="shared" si="105"/>
        <v>0</v>
      </c>
      <c r="Q215" s="446">
        <f t="shared" si="116"/>
        <v>0.0022</v>
      </c>
      <c r="R215" s="416">
        <f t="shared" si="101"/>
        <v>0</v>
      </c>
      <c r="S215" s="416">
        <f t="shared" si="117"/>
        <v>0</v>
      </c>
      <c r="T215" s="452">
        <f t="shared" si="106"/>
        <v>778656.9899999999</v>
      </c>
      <c r="U215" s="446">
        <f t="shared" si="118"/>
        <v>0.0022</v>
      </c>
      <c r="V215" s="416">
        <f t="shared" si="107"/>
        <v>1713.0453779999998</v>
      </c>
      <c r="W215" s="416">
        <f t="shared" si="119"/>
        <v>1750.8818359999984</v>
      </c>
      <c r="X215" s="1176">
        <f t="shared" si="108"/>
        <v>8325909</v>
      </c>
      <c r="Y215" s="446">
        <f t="shared" si="120"/>
        <v>0.0022</v>
      </c>
      <c r="Z215" s="416">
        <f t="shared" si="109"/>
        <v>18316.9998</v>
      </c>
      <c r="AA215" s="416">
        <f t="shared" si="121"/>
        <v>103085.82563400001</v>
      </c>
    </row>
    <row r="216" spans="3:27" ht="12.75">
      <c r="C216" s="200" t="s">
        <v>626</v>
      </c>
      <c r="D216" s="416">
        <f t="shared" si="98"/>
        <v>31252390.138495833</v>
      </c>
      <c r="E216" s="446">
        <f t="shared" si="110"/>
        <v>0.0022</v>
      </c>
      <c r="F216" s="416">
        <f t="shared" si="99"/>
        <v>68755.25830469084</v>
      </c>
      <c r="G216" s="416">
        <f t="shared" si="111"/>
        <v>437056.4522192733</v>
      </c>
      <c r="H216" s="452">
        <f t="shared" si="102"/>
        <v>0</v>
      </c>
      <c r="I216" s="446">
        <f t="shared" si="112"/>
        <v>0.0022</v>
      </c>
      <c r="J216" s="416">
        <f t="shared" si="100"/>
        <v>0</v>
      </c>
      <c r="K216" s="416">
        <f t="shared" si="113"/>
        <v>0</v>
      </c>
      <c r="L216" s="452">
        <f t="shared" si="103"/>
        <v>0</v>
      </c>
      <c r="M216" s="941">
        <f t="shared" si="114"/>
        <v>0.0022</v>
      </c>
      <c r="N216" s="416">
        <f t="shared" si="104"/>
        <v>0</v>
      </c>
      <c r="O216" s="416">
        <f t="shared" si="115"/>
        <v>0</v>
      </c>
      <c r="P216" s="452">
        <f t="shared" si="105"/>
        <v>0</v>
      </c>
      <c r="Q216" s="446">
        <f t="shared" si="116"/>
        <v>0.0022</v>
      </c>
      <c r="R216" s="416">
        <f t="shared" si="101"/>
        <v>0</v>
      </c>
      <c r="S216" s="416">
        <f t="shared" si="117"/>
        <v>0</v>
      </c>
      <c r="T216" s="452">
        <f t="shared" si="106"/>
        <v>778656.9899999999</v>
      </c>
      <c r="U216" s="446">
        <f t="shared" si="118"/>
        <v>0.0022</v>
      </c>
      <c r="V216" s="416">
        <f t="shared" si="107"/>
        <v>1713.0453779999998</v>
      </c>
      <c r="W216" s="416">
        <f t="shared" si="119"/>
        <v>3463.9272139999985</v>
      </c>
      <c r="X216" s="1176">
        <f t="shared" si="108"/>
        <v>8325909</v>
      </c>
      <c r="Y216" s="446">
        <f t="shared" si="120"/>
        <v>0.0022</v>
      </c>
      <c r="Z216" s="416">
        <f t="shared" si="109"/>
        <v>18316.9998</v>
      </c>
      <c r="AA216" s="416">
        <f t="shared" si="121"/>
        <v>121402.82543400001</v>
      </c>
    </row>
    <row r="217" spans="3:27" ht="12.75">
      <c r="C217" s="200" t="s">
        <v>627</v>
      </c>
      <c r="D217" s="418">
        <f t="shared" si="98"/>
        <v>41189463.48741667</v>
      </c>
      <c r="E217" s="447">
        <f t="shared" si="110"/>
        <v>0.0022</v>
      </c>
      <c r="F217" s="418">
        <f t="shared" si="99"/>
        <v>90616.81967231668</v>
      </c>
      <c r="G217" s="418">
        <f t="shared" si="111"/>
        <v>527673.27189159</v>
      </c>
      <c r="H217" s="453">
        <f t="shared" si="102"/>
        <v>0</v>
      </c>
      <c r="I217" s="447">
        <f t="shared" si="112"/>
        <v>0.0022</v>
      </c>
      <c r="J217" s="418">
        <f t="shared" si="100"/>
        <v>0</v>
      </c>
      <c r="K217" s="418">
        <f t="shared" si="113"/>
        <v>0</v>
      </c>
      <c r="L217" s="453">
        <f t="shared" si="103"/>
        <v>0</v>
      </c>
      <c r="M217" s="942">
        <f t="shared" si="114"/>
        <v>0.0022</v>
      </c>
      <c r="N217" s="418">
        <f t="shared" si="104"/>
        <v>0</v>
      </c>
      <c r="O217" s="418">
        <f t="shared" si="115"/>
        <v>0</v>
      </c>
      <c r="P217" s="453">
        <f t="shared" si="105"/>
        <v>0</v>
      </c>
      <c r="Q217" s="447">
        <f t="shared" si="116"/>
        <v>0.0022</v>
      </c>
      <c r="R217" s="418">
        <f t="shared" si="101"/>
        <v>0</v>
      </c>
      <c r="S217" s="418">
        <f t="shared" si="117"/>
        <v>0</v>
      </c>
      <c r="T217" s="453">
        <f>Z196</f>
        <v>778656.9899999999</v>
      </c>
      <c r="U217" s="447">
        <f t="shared" si="118"/>
        <v>0.0022</v>
      </c>
      <c r="V217" s="418">
        <f t="shared" si="107"/>
        <v>1713.0453779999998</v>
      </c>
      <c r="W217" s="418">
        <f t="shared" si="119"/>
        <v>5176.972591999998</v>
      </c>
      <c r="X217" s="1177">
        <f>AB196</f>
        <v>8325909</v>
      </c>
      <c r="Y217" s="447">
        <f t="shared" si="120"/>
        <v>0.0022</v>
      </c>
      <c r="Z217" s="418">
        <f t="shared" si="109"/>
        <v>18316.9998</v>
      </c>
      <c r="AA217" s="418">
        <f t="shared" si="121"/>
        <v>139719.82523400002</v>
      </c>
    </row>
    <row r="218" spans="3:27" ht="12.75">
      <c r="C218" s="200" t="s">
        <v>449</v>
      </c>
      <c r="D218" s="416"/>
      <c r="E218" s="416"/>
      <c r="F218" s="416">
        <f>SUM(F206:F217)</f>
        <v>527673.27189159</v>
      </c>
      <c r="G218" s="416">
        <f>AVERAGE(G205:G217)</f>
        <v>174591.58733706461</v>
      </c>
      <c r="J218" s="416">
        <f>SUM(J206:J217)</f>
        <v>0</v>
      </c>
      <c r="K218" s="416">
        <f>AVERAGE(K205:K217)</f>
        <v>0</v>
      </c>
      <c r="N218" s="416">
        <f>SUM(N206:N217)</f>
        <v>0</v>
      </c>
      <c r="O218" s="416">
        <f>AVERAGE(O205:O217)</f>
        <v>0</v>
      </c>
      <c r="R218" s="416">
        <f>SUM(R206:R217)</f>
        <v>0</v>
      </c>
      <c r="S218" s="416">
        <f>AVERAGE(S205:S217)</f>
        <v>0</v>
      </c>
      <c r="T218" s="416">
        <f>AVERAGE(T205:T217)</f>
        <v>181013.0276923076</v>
      </c>
      <c r="V218" s="416">
        <f>SUM(V206:V217)</f>
        <v>5176.972591999998</v>
      </c>
      <c r="W218" s="416">
        <f>AVERAGE(W205:W217)</f>
        <v>754.7884249230761</v>
      </c>
      <c r="X218" s="416">
        <f>AVERAGE(X205:X217)</f>
        <v>4885308.574615384</v>
      </c>
      <c r="Z218" s="416">
        <f>SUM(Z206:Z217)</f>
        <v>139719.82523400002</v>
      </c>
      <c r="AA218" s="416">
        <f>AVERAGE(AA205:AA217)</f>
        <v>49338.388216615385</v>
      </c>
    </row>
    <row r="219" spans="3:21" ht="12.75">
      <c r="C219" s="200"/>
      <c r="D219" s="416"/>
      <c r="E219" s="416"/>
      <c r="F219" s="416"/>
      <c r="G219" s="416"/>
      <c r="J219" s="416"/>
      <c r="K219" s="416"/>
      <c r="N219" s="416"/>
      <c r="O219" s="416"/>
      <c r="R219" s="416"/>
      <c r="S219" s="416"/>
      <c r="T219" s="416"/>
      <c r="U219" s="416"/>
    </row>
    <row r="220" spans="2:11" ht="12.75">
      <c r="B220" s="200"/>
      <c r="G220" s="1345" t="s">
        <v>1092</v>
      </c>
      <c r="H220" s="416">
        <f>G218+K218+O218+S218+W218+AA218</f>
        <v>224684.7639786031</v>
      </c>
      <c r="I220" s="416" t="str">
        <f>"goes to line "&amp;'Appendix A'!$A$43&amp;" of the formula"</f>
        <v>goes to line 23 of the formula</v>
      </c>
      <c r="K220" s="412"/>
    </row>
    <row r="221" spans="6:9" ht="12.75">
      <c r="F221" s="416"/>
      <c r="G221" s="1345" t="s">
        <v>1093</v>
      </c>
      <c r="H221" s="416">
        <f>F218+J218+N218+R218+V218+Z218</f>
        <v>672570.06971759</v>
      </c>
      <c r="I221" s="416" t="str">
        <f>"goes to line "&amp;'Appendix A'!$A$132&amp;" of the formula"</f>
        <v>goes to line 77 of the formula</v>
      </c>
    </row>
    <row r="222" spans="2:12" ht="12.75">
      <c r="B222" s="200"/>
      <c r="H222" s="416"/>
      <c r="I222" s="416"/>
      <c r="J222" s="416"/>
      <c r="K222" s="416"/>
      <c r="L222" s="416"/>
    </row>
    <row r="223" spans="2:13" ht="12.75">
      <c r="B223" s="422" t="str">
        <f>"Rev Req based on Year 2 data with estimated Cap Adds, Rets, CWIP and Deprec for Year 3  Cap Adds (Step "&amp;A178&amp;") and True up of Year 1 data (Step "&amp;A134&amp;")"</f>
        <v>Rev Req based on Year 2 data with estimated Cap Adds, Rets, CWIP and Deprec for Year 3  Cap Adds (Step 9) and True up of Year 1 data (Step 8)</v>
      </c>
      <c r="C223" s="200"/>
      <c r="D223" s="408"/>
      <c r="E223" s="408"/>
      <c r="G223" s="408"/>
      <c r="M223" s="416"/>
    </row>
    <row r="224" spans="3:13" ht="12.75">
      <c r="C224" s="422"/>
      <c r="D224" s="410" t="s">
        <v>684</v>
      </c>
      <c r="E224" s="408"/>
      <c r="G224" s="408"/>
      <c r="H224" s="419"/>
      <c r="I224" s="419"/>
      <c r="J224" s="419"/>
      <c r="K224" s="419"/>
      <c r="L224" s="410"/>
      <c r="M224" s="416"/>
    </row>
    <row r="225" spans="1:13" ht="12.75">
      <c r="A225" s="408">
        <f>+A14</f>
        <v>11</v>
      </c>
      <c r="B225" s="408" t="str">
        <f>+B14</f>
        <v>May</v>
      </c>
      <c r="C225" s="408" t="str">
        <f>+C14</f>
        <v>Year 3</v>
      </c>
      <c r="D225" s="410" t="str">
        <f>+D14</f>
        <v>Post results of Step 10 on PJM web site.</v>
      </c>
      <c r="E225" s="410"/>
      <c r="M225" s="410"/>
    </row>
    <row r="226" spans="4:6" ht="12.75">
      <c r="D226" s="427">
        <f>IF('Appendix A'!I1=1,0,'Appendix A'!G271)</f>
        <v>136019387.229602</v>
      </c>
      <c r="E226" s="413"/>
      <c r="F226" s="200" t="str">
        <f>+D70</f>
        <v>Post results of Step 3 on PJM web site.</v>
      </c>
    </row>
    <row r="227" spans="4:6" ht="12.75">
      <c r="D227" s="1164"/>
      <c r="E227" s="420"/>
      <c r="F227" s="419"/>
    </row>
    <row r="228" spans="1:5" ht="12.75">
      <c r="A228" s="408">
        <f>+A15</f>
        <v>12</v>
      </c>
      <c r="B228" s="408" t="str">
        <f>+B15</f>
        <v>June</v>
      </c>
      <c r="C228" s="408" t="str">
        <f>+C15</f>
        <v>Year 3</v>
      </c>
      <c r="D228" s="410" t="str">
        <f>+D15</f>
        <v>Results of Step 9 go into effect for the Rate Year 2.</v>
      </c>
      <c r="E228" s="410"/>
    </row>
    <row r="229" spans="4:5" ht="12.75">
      <c r="D229" s="427">
        <f>+D226</f>
        <v>136019387.229602</v>
      </c>
      <c r="E229" s="427"/>
    </row>
    <row r="289" spans="3:7" ht="15">
      <c r="C289" s="752"/>
      <c r="D289" s="646"/>
      <c r="E289" s="646"/>
      <c r="F289" s="646"/>
      <c r="G289" s="646"/>
    </row>
    <row r="290" spans="3:7" ht="99.75" customHeight="1">
      <c r="C290" s="752"/>
      <c r="D290" s="646"/>
      <c r="E290" s="646"/>
      <c r="F290" s="646"/>
      <c r="G290" s="646"/>
    </row>
    <row r="291" spans="3:7" ht="15">
      <c r="C291" s="752"/>
      <c r="D291" s="646"/>
      <c r="E291" s="646"/>
      <c r="F291" s="646"/>
      <c r="G291" s="646"/>
    </row>
    <row r="292" spans="3:7" ht="15">
      <c r="C292" s="752"/>
      <c r="D292" s="646"/>
      <c r="E292" s="646"/>
      <c r="F292" s="646"/>
      <c r="G292" s="646"/>
    </row>
    <row r="293" spans="3:7" ht="15">
      <c r="C293" s="752"/>
      <c r="D293" s="646"/>
      <c r="E293" s="646"/>
      <c r="F293" s="646"/>
      <c r="G293" s="646"/>
    </row>
    <row r="294" spans="3:7" ht="15">
      <c r="C294" s="752"/>
      <c r="D294" s="646"/>
      <c r="E294" s="646"/>
      <c r="F294" s="646"/>
      <c r="G294" s="646"/>
    </row>
    <row r="295" spans="3:7" ht="15">
      <c r="C295" s="752"/>
      <c r="D295" s="646"/>
      <c r="E295" s="646"/>
      <c r="F295" s="646"/>
      <c r="G295" s="646"/>
    </row>
    <row r="296" spans="3:7" ht="15">
      <c r="C296" s="752"/>
      <c r="D296" s="646"/>
      <c r="E296" s="646"/>
      <c r="F296" s="646"/>
      <c r="G296" s="646"/>
    </row>
    <row r="297" spans="3:7" ht="15">
      <c r="C297" s="752"/>
      <c r="D297" s="646"/>
      <c r="E297" s="646"/>
      <c r="F297" s="646"/>
      <c r="G297" s="646"/>
    </row>
    <row r="298" spans="3:7" ht="15">
      <c r="C298" s="752"/>
      <c r="D298" s="646"/>
      <c r="E298" s="646"/>
      <c r="F298" s="646"/>
      <c r="G298" s="646"/>
    </row>
    <row r="299" spans="3:7" ht="15">
      <c r="C299" s="752"/>
      <c r="D299" s="646"/>
      <c r="E299" s="646"/>
      <c r="F299" s="646"/>
      <c r="G299" s="646"/>
    </row>
    <row r="300" spans="3:7" ht="15">
      <c r="C300" s="752"/>
      <c r="D300" s="646"/>
      <c r="E300" s="646"/>
      <c r="F300" s="646"/>
      <c r="G300" s="646"/>
    </row>
    <row r="301" spans="3:7" ht="15">
      <c r="C301" s="752"/>
      <c r="D301" s="646"/>
      <c r="E301" s="646"/>
      <c r="F301" s="646"/>
      <c r="G301" s="646"/>
    </row>
    <row r="302" spans="3:7" ht="15">
      <c r="C302" s="752"/>
      <c r="D302" s="646"/>
      <c r="E302" s="646"/>
      <c r="F302" s="646"/>
      <c r="G302" s="646"/>
    </row>
    <row r="303" spans="2:7" ht="15">
      <c r="B303" s="1342"/>
      <c r="C303" s="752"/>
      <c r="D303" s="646"/>
      <c r="E303" s="646"/>
      <c r="F303" s="646"/>
      <c r="G303" s="646"/>
    </row>
    <row r="304" spans="2:7" ht="15">
      <c r="B304" s="1342"/>
      <c r="C304" s="752"/>
      <c r="D304" s="646"/>
      <c r="E304" s="646"/>
      <c r="F304" s="646"/>
      <c r="G304" s="646"/>
    </row>
    <row r="305" spans="3:7" ht="15">
      <c r="C305" s="752"/>
      <c r="D305" s="646"/>
      <c r="E305" s="646"/>
      <c r="F305" s="646"/>
      <c r="G305" s="646"/>
    </row>
    <row r="306" spans="3:7" ht="15">
      <c r="C306" s="752"/>
      <c r="D306" s="646"/>
      <c r="E306" s="646"/>
      <c r="F306" s="646"/>
      <c r="G306" s="646"/>
    </row>
    <row r="307" spans="3:7" ht="15">
      <c r="C307" s="752"/>
      <c r="D307" s="646"/>
      <c r="E307" s="646"/>
      <c r="F307" s="646"/>
      <c r="G307" s="646"/>
    </row>
    <row r="308" spans="3:7" ht="15">
      <c r="C308" s="752"/>
      <c r="D308" s="646"/>
      <c r="E308" s="646"/>
      <c r="F308" s="646"/>
      <c r="G308" s="646"/>
    </row>
    <row r="309" spans="3:7" ht="15">
      <c r="C309" s="752"/>
      <c r="D309" s="646"/>
      <c r="E309" s="646"/>
      <c r="F309" s="646"/>
      <c r="G309" s="646"/>
    </row>
    <row r="310" spans="3:7" ht="15">
      <c r="C310" s="752"/>
      <c r="D310" s="646"/>
      <c r="E310" s="646"/>
      <c r="F310" s="646"/>
      <c r="G310" s="646"/>
    </row>
    <row r="311" spans="3:7" ht="40.5" customHeight="1">
      <c r="C311" s="752"/>
      <c r="D311" s="646"/>
      <c r="E311" s="646"/>
      <c r="F311" s="646"/>
      <c r="G311" s="646"/>
    </row>
    <row r="312" spans="3:7" ht="15">
      <c r="C312" s="752"/>
      <c r="D312" s="646"/>
      <c r="E312" s="646"/>
      <c r="F312" s="646"/>
      <c r="G312" s="646"/>
    </row>
    <row r="407" ht="12.75">
      <c r="A407" s="409"/>
    </row>
    <row r="408" ht="12.75">
      <c r="A408" s="409"/>
    </row>
    <row r="409" spans="1:7" ht="12.75">
      <c r="A409" s="409"/>
      <c r="B409" s="409"/>
      <c r="C409" s="409"/>
      <c r="D409" s="329"/>
      <c r="E409" s="329"/>
      <c r="F409" s="329"/>
      <c r="G409" s="329"/>
    </row>
    <row r="410" spans="1:7" ht="12.75">
      <c r="A410" s="409"/>
      <c r="B410" s="409"/>
      <c r="C410" s="409"/>
      <c r="D410" s="329"/>
      <c r="E410" s="329"/>
      <c r="F410" s="329"/>
      <c r="G410" s="329"/>
    </row>
    <row r="411" spans="1:7" ht="12.75">
      <c r="A411" s="409"/>
      <c r="B411" s="409"/>
      <c r="C411" s="409"/>
      <c r="D411" s="329"/>
      <c r="E411" s="329"/>
      <c r="F411" s="329"/>
      <c r="G411" s="329"/>
    </row>
    <row r="412" spans="1:7" ht="12.75">
      <c r="A412" s="409"/>
      <c r="B412" s="409"/>
      <c r="C412" s="409"/>
      <c r="D412" s="329"/>
      <c r="E412" s="329"/>
      <c r="F412" s="329"/>
      <c r="G412" s="329"/>
    </row>
    <row r="413" spans="1:7" ht="12.75">
      <c r="A413" s="409"/>
      <c r="B413" s="409"/>
      <c r="C413" s="409"/>
      <c r="D413" s="329"/>
      <c r="E413" s="329"/>
      <c r="F413" s="329"/>
      <c r="G413" s="329"/>
    </row>
    <row r="414" spans="1:7" ht="12.75">
      <c r="A414" s="409"/>
      <c r="B414" s="409"/>
      <c r="C414" s="409"/>
      <c r="D414" s="329"/>
      <c r="E414" s="329"/>
      <c r="F414" s="329"/>
      <c r="G414" s="329"/>
    </row>
    <row r="415" spans="1:7" ht="12.75">
      <c r="A415" s="409"/>
      <c r="B415" s="409"/>
      <c r="C415" s="409"/>
      <c r="D415" s="329"/>
      <c r="E415" s="329"/>
      <c r="F415" s="329"/>
      <c r="G415" s="329"/>
    </row>
    <row r="416" spans="2:7" ht="12.75">
      <c r="B416" s="409"/>
      <c r="C416" s="409"/>
      <c r="D416" s="329"/>
      <c r="E416" s="329"/>
      <c r="F416" s="329"/>
      <c r="G416" s="329"/>
    </row>
    <row r="417" spans="2:7" ht="12.75">
      <c r="B417" s="409"/>
      <c r="C417" s="409"/>
      <c r="D417" s="329"/>
      <c r="E417" s="329"/>
      <c r="F417" s="329"/>
      <c r="G417" s="329"/>
    </row>
  </sheetData>
  <sheetProtection/>
  <mergeCells count="3">
    <mergeCell ref="D10:N11"/>
    <mergeCell ref="D126:O127"/>
    <mergeCell ref="D134:O135"/>
  </mergeCells>
  <printOptions/>
  <pageMargins left="0.5" right="0.5" top="1" bottom="1" header="0.5" footer="0.5"/>
  <pageSetup fitToHeight="0" fitToWidth="1" horizontalDpi="600" verticalDpi="600" orientation="landscape" paperSize="5" scale="39" r:id="rId1"/>
  <headerFooter alignWithMargins="0">
    <oddHeader>&amp;CDuquesne Light Company
Attachment H -17A
Attachment 6 - Estimate and Reconciliation Worksheet&amp;RPage &amp;P of &amp;N</oddHeader>
  </headerFooter>
  <rowBreaks count="4" manualBreakCount="4">
    <brk id="46" max="255" man="1"/>
    <brk id="104" max="29" man="1"/>
    <brk id="133" max="255" man="1"/>
    <brk id="177" max="255" man="1"/>
  </rowBreaks>
</worksheet>
</file>

<file path=xl/worksheets/sheet8.xml><?xml version="1.0" encoding="utf-8"?>
<worksheet xmlns="http://schemas.openxmlformats.org/spreadsheetml/2006/main" xmlns:r="http://schemas.openxmlformats.org/officeDocument/2006/relationships">
  <dimension ref="A1:CL313"/>
  <sheetViews>
    <sheetView zoomScale="80" zoomScaleNormal="80" zoomScaleSheetLayoutView="70" workbookViewId="0" topLeftCell="A49">
      <selection activeCell="G271" sqref="G271"/>
    </sheetView>
  </sheetViews>
  <sheetFormatPr defaultColWidth="9.140625" defaultRowHeight="12.75"/>
  <cols>
    <col min="1" max="1" width="5.421875" style="381" customWidth="1"/>
    <col min="2" max="2" width="15.140625" style="381" customWidth="1"/>
    <col min="3" max="3" width="10.57421875" style="428" customWidth="1"/>
    <col min="4" max="6" width="14.00390625" style="381" customWidth="1"/>
    <col min="7" max="7" width="14.00390625" style="429" customWidth="1"/>
    <col min="8" max="10" width="13.57421875" style="381" customWidth="1"/>
    <col min="11" max="11" width="13.57421875" style="429" customWidth="1"/>
    <col min="12" max="14" width="13.7109375" style="429" customWidth="1"/>
    <col min="15" max="15" width="14.28125" style="429" customWidth="1"/>
    <col min="16" max="19" width="13.57421875" style="429" customWidth="1"/>
    <col min="20" max="23" width="13.7109375" style="429" customWidth="1"/>
    <col min="24" max="25" width="14.140625" style="429" customWidth="1"/>
    <col min="26" max="27" width="14.140625" style="381" customWidth="1"/>
    <col min="28" max="31" width="13.57421875" style="381" customWidth="1"/>
    <col min="32" max="33" width="13.8515625" style="429" customWidth="1"/>
    <col min="34" max="39" width="13.8515625" style="381" customWidth="1"/>
    <col min="40" max="42" width="12.8515625" style="381" bestFit="1" customWidth="1"/>
    <col min="43" max="43" width="9.140625" style="381" customWidth="1"/>
    <col min="44" max="44" width="12.28125" style="381" bestFit="1" customWidth="1"/>
    <col min="45" max="16384" width="9.140625" style="381" customWidth="1"/>
  </cols>
  <sheetData>
    <row r="1" spans="1:3" ht="12.75">
      <c r="A1" s="381" t="s">
        <v>655</v>
      </c>
      <c r="C1" s="381" t="s">
        <v>582</v>
      </c>
    </row>
    <row r="2" spans="1:33" ht="12.75">
      <c r="A2" s="381">
        <v>1</v>
      </c>
      <c r="C2" s="428">
        <f>'Appendix A'!A268</f>
        <v>165</v>
      </c>
      <c r="D2" s="381" t="str">
        <f>'Appendix A'!C268</f>
        <v>Plus any increased ROE calculated on Attachment 7 other than PJM Sch. 12 projects</v>
      </c>
      <c r="K2" s="435">
        <f>AO72-AP72</f>
        <v>3032906.2750277743</v>
      </c>
      <c r="L2" s="435"/>
      <c r="M2" s="435"/>
      <c r="N2" s="435"/>
      <c r="O2" s="435"/>
      <c r="P2" s="435"/>
      <c r="Q2" s="435"/>
      <c r="R2" s="435"/>
      <c r="S2" s="435"/>
      <c r="T2" s="435"/>
      <c r="U2" s="435"/>
      <c r="V2" s="435"/>
      <c r="W2" s="435"/>
      <c r="X2" s="381" t="str">
        <f>D2</f>
        <v>Plus any increased ROE calculated on Attachment 7 other than PJM Sch. 12 projects</v>
      </c>
      <c r="Y2" s="381"/>
      <c r="AA2" s="429"/>
      <c r="AE2" s="435">
        <f>K2</f>
        <v>3032906.2750277743</v>
      </c>
      <c r="AF2" s="435"/>
      <c r="AG2" s="435"/>
    </row>
    <row r="3" spans="5:33" ht="12.75">
      <c r="E3" s="381" t="str">
        <f>"=Incentive - Revenue Credit for the corresponding rate year"</f>
        <v>=Incentive - Revenue Credit for the corresponding rate year</v>
      </c>
      <c r="K3" s="322"/>
      <c r="L3" s="322"/>
      <c r="M3" s="322"/>
      <c r="N3" s="952"/>
      <c r="O3" s="952"/>
      <c r="P3" s="952"/>
      <c r="Q3" s="378"/>
      <c r="R3" s="378"/>
      <c r="S3" s="322"/>
      <c r="T3" s="322"/>
      <c r="U3" s="322"/>
      <c r="V3" s="322"/>
      <c r="W3" s="322"/>
      <c r="X3" s="381"/>
      <c r="Y3" s="381" t="str">
        <f>E3</f>
        <v>=Incentive - Revenue Credit for the corresponding rate year</v>
      </c>
      <c r="AA3" s="429"/>
      <c r="AE3" s="322"/>
      <c r="AF3" s="322"/>
      <c r="AG3" s="322"/>
    </row>
    <row r="4" spans="3:33" ht="12.75">
      <c r="C4" s="430"/>
      <c r="D4" s="222" t="s">
        <v>692</v>
      </c>
      <c r="K4" s="381"/>
      <c r="L4" s="381"/>
      <c r="M4" s="381"/>
      <c r="N4" s="952"/>
      <c r="O4" s="952"/>
      <c r="P4" s="952"/>
      <c r="Q4" s="378"/>
      <c r="R4" s="378"/>
      <c r="S4" s="381"/>
      <c r="T4" s="381"/>
      <c r="U4" s="381"/>
      <c r="V4" s="381"/>
      <c r="W4" s="381"/>
      <c r="X4" s="222" t="s">
        <v>692</v>
      </c>
      <c r="Y4" s="381"/>
      <c r="AA4" s="429"/>
      <c r="AF4" s="381"/>
      <c r="AG4" s="381"/>
    </row>
    <row r="5" spans="1:33" ht="12.75">
      <c r="A5" s="381">
        <f>A2+1</f>
        <v>2</v>
      </c>
      <c r="B5" s="428"/>
      <c r="C5" s="428">
        <f>+'Appendix A'!A254</f>
        <v>155</v>
      </c>
      <c r="D5" s="430" t="str">
        <f>+'Appendix A'!C254</f>
        <v>Net Plant Carrying Charge without Depreciation</v>
      </c>
      <c r="G5" s="431"/>
      <c r="K5" s="432">
        <f>+'Appendix A'!G254</f>
        <v>0.16383434222889692</v>
      </c>
      <c r="L5" s="432"/>
      <c r="M5" s="432"/>
      <c r="N5" s="952"/>
      <c r="O5" s="952"/>
      <c r="P5" s="952"/>
      <c r="Q5" s="980"/>
      <c r="R5" s="980"/>
      <c r="S5" s="432"/>
      <c r="T5" s="432"/>
      <c r="U5" s="432"/>
      <c r="V5" s="432"/>
      <c r="W5" s="432"/>
      <c r="X5" s="430" t="str">
        <f aca="true" t="shared" si="0" ref="X5:X17">D5</f>
        <v>Net Plant Carrying Charge without Depreciation</v>
      </c>
      <c r="Y5" s="381"/>
      <c r="AA5" s="431"/>
      <c r="AE5" s="432">
        <f>K5</f>
        <v>0.16383434222889692</v>
      </c>
      <c r="AF5" s="432"/>
      <c r="AG5" s="432"/>
    </row>
    <row r="6" spans="1:33" ht="12.75">
      <c r="A6" s="381">
        <f>A5+1</f>
        <v>3</v>
      </c>
      <c r="B6" s="428"/>
      <c r="C6" s="428">
        <f>+'Appendix A'!A264</f>
        <v>162</v>
      </c>
      <c r="D6" s="430" t="str">
        <f>+'Appendix A'!C264</f>
        <v>Net Plant Carrying Charge per 100 Basis Point increase in ROE without Depreciation</v>
      </c>
      <c r="G6" s="431"/>
      <c r="K6" s="432">
        <f>+'Appendix A'!G264</f>
        <v>0.17081724096368361</v>
      </c>
      <c r="L6" s="432"/>
      <c r="M6" s="432"/>
      <c r="N6" s="952"/>
      <c r="O6" s="952"/>
      <c r="P6" s="952"/>
      <c r="Q6" s="980"/>
      <c r="R6" s="980"/>
      <c r="S6" s="432"/>
      <c r="T6" s="432"/>
      <c r="U6" s="432"/>
      <c r="V6" s="432"/>
      <c r="W6" s="432"/>
      <c r="X6" s="430" t="str">
        <f t="shared" si="0"/>
        <v>Net Plant Carrying Charge per 100 Basis Point increase in ROE without Depreciation</v>
      </c>
      <c r="Y6" s="381"/>
      <c r="AA6" s="431"/>
      <c r="AE6" s="432">
        <f>K6</f>
        <v>0.17081724096368361</v>
      </c>
      <c r="AF6" s="432"/>
      <c r="AG6" s="432"/>
    </row>
    <row r="7" spans="1:33" ht="12.75">
      <c r="A7" s="381">
        <f>A6+1</f>
        <v>4</v>
      </c>
      <c r="B7" s="428"/>
      <c r="D7" s="381" t="s">
        <v>568</v>
      </c>
      <c r="G7" s="431"/>
      <c r="K7" s="432">
        <f>+K6-K5</f>
        <v>0.006982898734786691</v>
      </c>
      <c r="L7" s="432"/>
      <c r="M7" s="432"/>
      <c r="N7" s="980"/>
      <c r="O7" s="980"/>
      <c r="P7" s="980"/>
      <c r="Q7" s="980"/>
      <c r="R7" s="980"/>
      <c r="S7" s="432"/>
      <c r="T7" s="432"/>
      <c r="U7" s="432"/>
      <c r="V7" s="432"/>
      <c r="W7" s="432"/>
      <c r="X7" s="381" t="str">
        <f t="shared" si="0"/>
        <v>Line B less Line A </v>
      </c>
      <c r="Y7" s="381"/>
      <c r="AA7" s="431"/>
      <c r="AE7" s="432">
        <f>K7</f>
        <v>0.006982898734786691</v>
      </c>
      <c r="AF7" s="432"/>
      <c r="AG7" s="432"/>
    </row>
    <row r="8" spans="2:33" ht="12.75">
      <c r="B8" s="222"/>
      <c r="G8" s="431"/>
      <c r="K8" s="432"/>
      <c r="L8" s="432"/>
      <c r="M8" s="432"/>
      <c r="N8" s="329"/>
      <c r="O8" s="329"/>
      <c r="P8" s="329"/>
      <c r="Q8" s="329"/>
      <c r="R8" s="329"/>
      <c r="S8" s="432"/>
      <c r="T8" s="432"/>
      <c r="U8" s="432"/>
      <c r="V8" s="432"/>
      <c r="W8" s="432"/>
      <c r="X8" s="381"/>
      <c r="Y8" s="381"/>
      <c r="AA8" s="431"/>
      <c r="AE8" s="432"/>
      <c r="AF8" s="432"/>
      <c r="AG8" s="432"/>
    </row>
    <row r="9" spans="1:33" ht="12.75">
      <c r="A9" s="381">
        <f>A7+1</f>
        <v>5</v>
      </c>
      <c r="B9" s="428"/>
      <c r="C9" s="428">
        <f>+'Appendix A'!A255</f>
        <v>156</v>
      </c>
      <c r="D9" s="430" t="str">
        <f>+'Appendix A'!C255</f>
        <v>Net Plant Carrying Charge without Depreciation, Return, nor Income Taxes</v>
      </c>
      <c r="G9" s="431"/>
      <c r="K9" s="432">
        <f>+'Appendix A'!G255</f>
        <v>0.06910301922123199</v>
      </c>
      <c r="L9" s="432"/>
      <c r="M9" s="432"/>
      <c r="N9" s="329"/>
      <c r="O9" s="952"/>
      <c r="P9" s="329"/>
      <c r="Q9" s="329"/>
      <c r="R9" s="329"/>
      <c r="S9" s="432"/>
      <c r="T9" s="432"/>
      <c r="U9" s="432"/>
      <c r="V9" s="432"/>
      <c r="W9" s="432"/>
      <c r="X9" s="430" t="str">
        <f t="shared" si="0"/>
        <v>Net Plant Carrying Charge without Depreciation, Return, nor Income Taxes</v>
      </c>
      <c r="Y9" s="381"/>
      <c r="AA9" s="431"/>
      <c r="AE9" s="432">
        <f>K9</f>
        <v>0.06910301922123199</v>
      </c>
      <c r="AF9" s="432"/>
      <c r="AG9" s="432"/>
    </row>
    <row r="10" spans="2:31" ht="13.5">
      <c r="B10" s="428"/>
      <c r="D10" s="430"/>
      <c r="G10" s="431"/>
      <c r="N10" s="496"/>
      <c r="O10" s="952"/>
      <c r="P10" s="329"/>
      <c r="Q10" s="329"/>
      <c r="R10" s="329"/>
      <c r="T10" s="264"/>
      <c r="X10" s="430"/>
      <c r="Y10" s="381"/>
      <c r="AA10" s="431"/>
      <c r="AE10" s="429"/>
    </row>
    <row r="11" spans="2:33" ht="12.75">
      <c r="B11" s="438"/>
      <c r="C11" s="810"/>
      <c r="D11" s="438"/>
      <c r="E11" s="438"/>
      <c r="F11" s="438"/>
      <c r="J11" s="278"/>
      <c r="M11" s="1106"/>
      <c r="N11" s="329"/>
      <c r="O11" s="952"/>
      <c r="P11" s="329"/>
      <c r="Q11" s="329"/>
      <c r="R11" s="329"/>
      <c r="X11" s="438"/>
      <c r="Y11" s="438"/>
      <c r="Z11" s="438"/>
      <c r="AA11" s="429"/>
      <c r="AD11" s="278"/>
      <c r="AE11" s="429"/>
      <c r="AG11" s="1106"/>
    </row>
    <row r="12" spans="2:31" ht="12.75">
      <c r="B12" s="200"/>
      <c r="C12" s="408"/>
      <c r="D12" s="200"/>
      <c r="E12" s="200"/>
      <c r="F12" s="200"/>
      <c r="P12" s="432"/>
      <c r="Q12" s="432"/>
      <c r="X12" s="200"/>
      <c r="Y12" s="200"/>
      <c r="Z12" s="200"/>
      <c r="AA12" s="429"/>
      <c r="AE12" s="429"/>
    </row>
    <row r="13" spans="2:33" ht="12.75">
      <c r="B13" s="438"/>
      <c r="D13" s="375"/>
      <c r="E13" s="375"/>
      <c r="F13" s="375"/>
      <c r="G13" s="398"/>
      <c r="H13" s="329"/>
      <c r="I13" s="378"/>
      <c r="J13" s="378"/>
      <c r="K13" s="437"/>
      <c r="L13" s="437"/>
      <c r="M13" s="437"/>
      <c r="N13" s="437"/>
      <c r="O13" s="437"/>
      <c r="P13" s="329"/>
      <c r="Q13" s="378"/>
      <c r="R13" s="437"/>
      <c r="S13" s="437"/>
      <c r="T13" s="329"/>
      <c r="U13" s="378"/>
      <c r="V13" s="437"/>
      <c r="W13" s="437"/>
      <c r="X13" s="375"/>
      <c r="Y13" s="375"/>
      <c r="Z13" s="375"/>
      <c r="AA13" s="398"/>
      <c r="AB13" s="329"/>
      <c r="AC13" s="378"/>
      <c r="AD13" s="378"/>
      <c r="AE13" s="437"/>
      <c r="AF13" s="437"/>
      <c r="AG13" s="437"/>
    </row>
    <row r="14" spans="4:33" ht="12.75">
      <c r="D14" s="329" t="s">
        <v>148</v>
      </c>
      <c r="E14" s="375"/>
      <c r="F14" s="375"/>
      <c r="G14" s="398"/>
      <c r="H14" s="329"/>
      <c r="I14" s="375"/>
      <c r="J14" s="375"/>
      <c r="K14" s="329" t="s">
        <v>150</v>
      </c>
      <c r="L14" s="329"/>
      <c r="M14" s="329"/>
      <c r="N14" s="329"/>
      <c r="O14" s="329"/>
      <c r="P14" s="329"/>
      <c r="Q14" s="329"/>
      <c r="R14" s="329"/>
      <c r="S14" s="329"/>
      <c r="T14" s="329"/>
      <c r="U14" s="329"/>
      <c r="V14" s="329"/>
      <c r="W14" s="329"/>
      <c r="X14" s="329" t="str">
        <f t="shared" si="0"/>
        <v>Beginning = 13 month Plant CWIP or Incentive Plant balance</v>
      </c>
      <c r="Y14" s="375"/>
      <c r="Z14" s="375"/>
      <c r="AA14" s="398"/>
      <c r="AB14" s="329"/>
      <c r="AC14" s="375"/>
      <c r="AD14" s="375"/>
      <c r="AE14" s="329" t="str">
        <f>K14</f>
        <v>Total = Sum of Revenue for Project CWIP and DTEP</v>
      </c>
      <c r="AF14" s="329"/>
      <c r="AG14" s="329"/>
    </row>
    <row r="15" spans="4:33" ht="12.75">
      <c r="D15" s="329" t="s">
        <v>149</v>
      </c>
      <c r="E15" s="375"/>
      <c r="F15" s="375"/>
      <c r="G15" s="398"/>
      <c r="H15" s="329"/>
      <c r="I15" s="375"/>
      <c r="J15" s="375"/>
      <c r="K15" s="329" t="s">
        <v>286</v>
      </c>
      <c r="L15" s="329"/>
      <c r="M15" s="329"/>
      <c r="N15" s="329"/>
      <c r="O15" s="329"/>
      <c r="P15" s="329"/>
      <c r="Q15" s="329"/>
      <c r="R15" s="329"/>
      <c r="S15" s="329"/>
      <c r="T15" s="329"/>
      <c r="U15" s="329"/>
      <c r="V15" s="329"/>
      <c r="W15" s="329"/>
      <c r="X15" s="329" t="str">
        <f t="shared" si="0"/>
        <v>Deprec = 13 month avg Accumulated Depreciation</v>
      </c>
      <c r="Y15" s="375"/>
      <c r="Z15" s="375"/>
      <c r="AA15" s="398"/>
      <c r="AB15" s="329"/>
      <c r="AC15" s="375"/>
      <c r="AD15" s="375"/>
      <c r="AE15" s="329" t="str">
        <f>K15</f>
        <v>Incentive = Total for "W Increased ROE" row</v>
      </c>
      <c r="AF15" s="329"/>
      <c r="AG15" s="329"/>
    </row>
    <row r="16" spans="2:33" ht="12.75">
      <c r="B16" s="200"/>
      <c r="D16" s="329" t="s">
        <v>285</v>
      </c>
      <c r="E16" s="375"/>
      <c r="F16" s="375"/>
      <c r="G16" s="398"/>
      <c r="H16" s="329"/>
      <c r="I16" s="375"/>
      <c r="J16" s="375"/>
      <c r="K16" s="329" t="str">
        <f>"Revenue Credit = Total for '"&amp;B29&amp;"' row"</f>
        <v>Revenue Credit = Total for ''FCR W base ROE'' row</v>
      </c>
      <c r="L16" s="329"/>
      <c r="M16" s="329"/>
      <c r="N16" s="329"/>
      <c r="O16" s="329"/>
      <c r="P16" s="329"/>
      <c r="Q16" s="329"/>
      <c r="R16" s="329"/>
      <c r="S16" s="329"/>
      <c r="T16" s="329"/>
      <c r="U16" s="329"/>
      <c r="V16" s="329"/>
      <c r="W16" s="329"/>
      <c r="X16" s="329" t="str">
        <f t="shared" si="0"/>
        <v>Ending = Beginning - Deprec</v>
      </c>
      <c r="Y16" s="375"/>
      <c r="Z16" s="375"/>
      <c r="AA16" s="398"/>
      <c r="AB16" s="329"/>
      <c r="AC16" s="375"/>
      <c r="AD16" s="375"/>
      <c r="AE16" s="329" t="str">
        <f>K16</f>
        <v>Revenue Credit = Total for ''FCR W base ROE'' row</v>
      </c>
      <c r="AF16" s="329"/>
      <c r="AG16" s="329"/>
    </row>
    <row r="17" spans="2:33" ht="13.5" thickBot="1">
      <c r="B17" s="438"/>
      <c r="D17" s="445" t="str">
        <f>"Revenue= FCR* "&amp;F$28&amp;" + "&amp;F28&amp;""</f>
        <v>Revenue= FCR* Ending + Ending</v>
      </c>
      <c r="E17" s="442"/>
      <c r="F17" s="442"/>
      <c r="G17" s="443"/>
      <c r="H17" s="445"/>
      <c r="I17" s="442"/>
      <c r="J17" s="442"/>
      <c r="K17" s="443"/>
      <c r="L17" s="443"/>
      <c r="M17" s="443"/>
      <c r="N17" s="443"/>
      <c r="O17" s="443"/>
      <c r="P17" s="443"/>
      <c r="Q17" s="443"/>
      <c r="R17" s="443"/>
      <c r="S17" s="443"/>
      <c r="T17" s="398"/>
      <c r="U17" s="398"/>
      <c r="V17" s="398"/>
      <c r="W17" s="398"/>
      <c r="X17" s="445" t="str">
        <f t="shared" si="0"/>
        <v>Revenue= FCR* Ending + Ending</v>
      </c>
      <c r="Y17" s="442"/>
      <c r="Z17" s="442"/>
      <c r="AA17" s="443"/>
      <c r="AB17" s="445"/>
      <c r="AC17" s="442"/>
      <c r="AD17" s="442"/>
      <c r="AE17" s="443"/>
      <c r="AF17" s="443"/>
      <c r="AG17" s="443"/>
    </row>
    <row r="18" spans="2:42" ht="13.5">
      <c r="B18" s="439" t="s">
        <v>566</v>
      </c>
      <c r="C18" s="243"/>
      <c r="D18" s="1443" t="s">
        <v>798</v>
      </c>
      <c r="E18" s="1444"/>
      <c r="F18" s="1444"/>
      <c r="G18" s="1445"/>
      <c r="H18" s="1443" t="s">
        <v>54</v>
      </c>
      <c r="I18" s="1446"/>
      <c r="J18" s="1446"/>
      <c r="K18" s="1447"/>
      <c r="L18" s="1448" t="s">
        <v>779</v>
      </c>
      <c r="M18" s="1449"/>
      <c r="N18" s="1449"/>
      <c r="O18" s="1450"/>
      <c r="P18" s="1440" t="s">
        <v>778</v>
      </c>
      <c r="Q18" s="1441"/>
      <c r="R18" s="1441"/>
      <c r="S18" s="1441"/>
      <c r="T18" s="1440" t="s">
        <v>109</v>
      </c>
      <c r="U18" s="1441"/>
      <c r="V18" s="1441"/>
      <c r="W18" s="1442"/>
      <c r="X18" s="1440" t="s">
        <v>848</v>
      </c>
      <c r="Y18" s="1441"/>
      <c r="Z18" s="1441"/>
      <c r="AA18" s="1442"/>
      <c r="AB18" s="1440" t="s">
        <v>849</v>
      </c>
      <c r="AC18" s="1441"/>
      <c r="AD18" s="1441"/>
      <c r="AE18" s="1442"/>
      <c r="AF18" s="1440" t="s">
        <v>869</v>
      </c>
      <c r="AG18" s="1441"/>
      <c r="AH18" s="1441"/>
      <c r="AI18" s="1442"/>
      <c r="AJ18" s="1440" t="s">
        <v>870</v>
      </c>
      <c r="AK18" s="1441"/>
      <c r="AL18" s="1441"/>
      <c r="AM18" s="1442"/>
      <c r="AN18" s="940"/>
      <c r="AO18" s="439"/>
      <c r="AP18" s="940"/>
    </row>
    <row r="19" spans="1:42" ht="13.5">
      <c r="A19" s="381">
        <f>A9+1</f>
        <v>6</v>
      </c>
      <c r="B19" s="263" t="s">
        <v>24</v>
      </c>
      <c r="C19" s="244"/>
      <c r="D19" s="290" t="s">
        <v>97</v>
      </c>
      <c r="E19" s="433"/>
      <c r="F19" s="433"/>
      <c r="G19" s="434"/>
      <c r="H19" s="290" t="s">
        <v>97</v>
      </c>
      <c r="I19" s="433"/>
      <c r="J19" s="433"/>
      <c r="K19" s="434"/>
      <c r="L19" s="290" t="s">
        <v>97</v>
      </c>
      <c r="M19" s="433"/>
      <c r="N19" s="433"/>
      <c r="O19" s="434"/>
      <c r="P19" s="290" t="s">
        <v>97</v>
      </c>
      <c r="Q19" s="433"/>
      <c r="R19" s="433"/>
      <c r="S19" s="433"/>
      <c r="T19" s="290" t="s">
        <v>97</v>
      </c>
      <c r="U19" s="433"/>
      <c r="V19" s="433"/>
      <c r="W19" s="434"/>
      <c r="X19" s="290" t="s">
        <v>97</v>
      </c>
      <c r="Y19" s="1137"/>
      <c r="Z19" s="1137"/>
      <c r="AA19" s="1138"/>
      <c r="AB19" s="290" t="s">
        <v>97</v>
      </c>
      <c r="AC19" s="433"/>
      <c r="AD19" s="1137"/>
      <c r="AE19" s="1138"/>
      <c r="AF19" s="290" t="s">
        <v>97</v>
      </c>
      <c r="AG19" s="1178"/>
      <c r="AH19" s="1178"/>
      <c r="AI19" s="1179"/>
      <c r="AJ19" s="290" t="s">
        <v>97</v>
      </c>
      <c r="AK19" s="379"/>
      <c r="AL19" s="1178"/>
      <c r="AM19" s="1179"/>
      <c r="AN19" s="231"/>
      <c r="AO19" s="232"/>
      <c r="AP19" s="231"/>
    </row>
    <row r="20" spans="1:42" ht="13.5">
      <c r="A20" s="381">
        <f>A19+1</f>
        <v>7</v>
      </c>
      <c r="B20" s="263" t="s">
        <v>564</v>
      </c>
      <c r="C20" s="244"/>
      <c r="D20" s="290"/>
      <c r="E20" s="236"/>
      <c r="F20" s="236"/>
      <c r="G20" s="324"/>
      <c r="H20" s="290">
        <v>43</v>
      </c>
      <c r="I20" s="236"/>
      <c r="J20" s="236"/>
      <c r="K20" s="324"/>
      <c r="L20" s="290"/>
      <c r="M20" s="236"/>
      <c r="N20" s="236"/>
      <c r="O20" s="324"/>
      <c r="P20" s="290">
        <v>43</v>
      </c>
      <c r="Q20" s="236"/>
      <c r="R20" s="236"/>
      <c r="S20" s="1127"/>
      <c r="T20" s="290">
        <v>43</v>
      </c>
      <c r="U20" s="597"/>
      <c r="V20" s="236"/>
      <c r="W20" s="324"/>
      <c r="X20" s="290"/>
      <c r="Y20" s="1139"/>
      <c r="Z20" s="1139"/>
      <c r="AA20" s="1140"/>
      <c r="AB20" s="290">
        <v>43</v>
      </c>
      <c r="AC20" s="236"/>
      <c r="AD20" s="1139"/>
      <c r="AE20" s="1140"/>
      <c r="AF20" s="290"/>
      <c r="AG20" s="1139"/>
      <c r="AH20" s="1139"/>
      <c r="AI20" s="1140"/>
      <c r="AJ20" s="290">
        <v>43</v>
      </c>
      <c r="AK20" s="236"/>
      <c r="AL20" s="1139"/>
      <c r="AM20" s="1140"/>
      <c r="AN20" s="231"/>
      <c r="AO20" s="232"/>
      <c r="AP20" s="231"/>
    </row>
    <row r="21" spans="1:42" ht="13.5">
      <c r="A21" s="381">
        <f aca="true" t="shared" si="1" ref="A21:A72">A20+1</f>
        <v>8</v>
      </c>
      <c r="B21" s="263" t="s">
        <v>565</v>
      </c>
      <c r="C21" s="244"/>
      <c r="D21" s="290" t="s">
        <v>355</v>
      </c>
      <c r="E21" s="236"/>
      <c r="F21" s="236"/>
      <c r="G21" s="324"/>
      <c r="H21" s="290" t="s">
        <v>355</v>
      </c>
      <c r="I21" s="236"/>
      <c r="J21" s="236"/>
      <c r="K21" s="324"/>
      <c r="L21" s="290" t="s">
        <v>355</v>
      </c>
      <c r="M21" s="236"/>
      <c r="N21" s="236"/>
      <c r="O21" s="324"/>
      <c r="P21" s="290" t="s">
        <v>355</v>
      </c>
      <c r="Q21" s="236"/>
      <c r="R21" s="236"/>
      <c r="S21" s="1127"/>
      <c r="T21" s="290" t="s">
        <v>355</v>
      </c>
      <c r="U21" s="236"/>
      <c r="V21" s="236"/>
      <c r="W21" s="324"/>
      <c r="X21" s="290" t="s">
        <v>355</v>
      </c>
      <c r="Y21" s="1139"/>
      <c r="Z21" s="1139"/>
      <c r="AA21" s="1140"/>
      <c r="AB21" s="290" t="s">
        <v>355</v>
      </c>
      <c r="AC21" s="236"/>
      <c r="AD21" s="1139"/>
      <c r="AE21" s="1140"/>
      <c r="AF21" s="290" t="s">
        <v>355</v>
      </c>
      <c r="AG21" s="1139"/>
      <c r="AH21" s="1139"/>
      <c r="AI21" s="1140"/>
      <c r="AJ21" s="290" t="s">
        <v>355</v>
      </c>
      <c r="AK21" s="236"/>
      <c r="AL21" s="1139"/>
      <c r="AM21" s="1140"/>
      <c r="AN21" s="231"/>
      <c r="AO21" s="232"/>
      <c r="AP21" s="231"/>
    </row>
    <row r="22" spans="1:42" ht="13.5">
      <c r="A22" s="381">
        <f t="shared" si="1"/>
        <v>9</v>
      </c>
      <c r="B22" s="263" t="s">
        <v>731</v>
      </c>
      <c r="C22" s="244"/>
      <c r="D22" s="290">
        <v>100</v>
      </c>
      <c r="E22" s="236"/>
      <c r="F22" s="236"/>
      <c r="G22" s="324"/>
      <c r="H22" s="290">
        <v>100</v>
      </c>
      <c r="I22" s="236"/>
      <c r="J22" s="236"/>
      <c r="K22" s="324"/>
      <c r="L22" s="290">
        <v>150</v>
      </c>
      <c r="M22" s="236"/>
      <c r="N22" s="236"/>
      <c r="O22" s="324"/>
      <c r="P22" s="290">
        <v>150</v>
      </c>
      <c r="Q22" s="236"/>
      <c r="R22" s="236"/>
      <c r="S22" s="1127"/>
      <c r="T22" s="290">
        <v>0</v>
      </c>
      <c r="U22" s="597"/>
      <c r="V22" s="236"/>
      <c r="W22" s="324"/>
      <c r="X22" s="290">
        <v>0</v>
      </c>
      <c r="Y22" s="1139"/>
      <c r="Z22" s="1139"/>
      <c r="AA22" s="1140"/>
      <c r="AB22" s="290">
        <v>0</v>
      </c>
      <c r="AC22" s="236"/>
      <c r="AD22" s="1139"/>
      <c r="AE22" s="1140"/>
      <c r="AF22" s="290">
        <v>0</v>
      </c>
      <c r="AG22" s="1139"/>
      <c r="AH22" s="1139"/>
      <c r="AI22" s="1140"/>
      <c r="AJ22" s="290">
        <v>0</v>
      </c>
      <c r="AK22" s="236"/>
      <c r="AL22" s="1139"/>
      <c r="AM22" s="1140"/>
      <c r="AN22" s="231"/>
      <c r="AO22" s="232"/>
      <c r="AP22" s="231"/>
    </row>
    <row r="23" spans="1:42" ht="13.5">
      <c r="A23" s="381">
        <f t="shared" si="1"/>
        <v>10</v>
      </c>
      <c r="B23" s="263" t="str">
        <f>"FCR W base ROE"</f>
        <v>FCR W base ROE</v>
      </c>
      <c r="C23" s="244"/>
      <c r="D23" s="444">
        <f>+$K5</f>
        <v>0.16383434222889692</v>
      </c>
      <c r="E23" s="208"/>
      <c r="F23" s="208"/>
      <c r="G23" s="265"/>
      <c r="H23" s="444">
        <f>+$K5</f>
        <v>0.16383434222889692</v>
      </c>
      <c r="I23" s="957"/>
      <c r="J23" s="958"/>
      <c r="K23" s="959"/>
      <c r="L23" s="444">
        <f>+$K5</f>
        <v>0.16383434222889692</v>
      </c>
      <c r="M23" s="208"/>
      <c r="N23" s="208"/>
      <c r="O23" s="265"/>
      <c r="P23" s="444">
        <f>+$K5</f>
        <v>0.16383434222889692</v>
      </c>
      <c r="Q23" s="957"/>
      <c r="R23" s="958"/>
      <c r="S23" s="1128"/>
      <c r="T23" s="444">
        <f>+$K5</f>
        <v>0.16383434222889692</v>
      </c>
      <c r="U23" s="597"/>
      <c r="V23" s="236"/>
      <c r="W23" s="324"/>
      <c r="X23" s="444">
        <f>+$K5</f>
        <v>0.16383434222889692</v>
      </c>
      <c r="Y23" s="1141"/>
      <c r="Z23" s="1141"/>
      <c r="AA23" s="1142"/>
      <c r="AB23" s="444">
        <f>+$K5</f>
        <v>0.16383434222889692</v>
      </c>
      <c r="AC23" s="957"/>
      <c r="AD23" s="958"/>
      <c r="AE23" s="959"/>
      <c r="AF23" s="444">
        <f>+$K5</f>
        <v>0.16383434222889692</v>
      </c>
      <c r="AG23" s="1141"/>
      <c r="AH23" s="1141"/>
      <c r="AI23" s="1142"/>
      <c r="AJ23" s="444">
        <f>+$K5</f>
        <v>0.16383434222889692</v>
      </c>
      <c r="AK23" s="957"/>
      <c r="AL23" s="958"/>
      <c r="AM23" s="959"/>
      <c r="AN23" s="231"/>
      <c r="AO23" s="232"/>
      <c r="AP23" s="231"/>
    </row>
    <row r="24" spans="1:42" ht="13.5">
      <c r="A24" s="381">
        <f t="shared" si="1"/>
        <v>11</v>
      </c>
      <c r="B24" s="263" t="s">
        <v>233</v>
      </c>
      <c r="C24" s="244"/>
      <c r="D24" s="444">
        <f>($K5+$K7/100*D22)</f>
        <v>0.17081724096368361</v>
      </c>
      <c r="E24" s="208"/>
      <c r="F24" s="236"/>
      <c r="G24" s="265"/>
      <c r="H24" s="444">
        <f>($K5+$K7/100*H22)</f>
        <v>0.17081724096368361</v>
      </c>
      <c r="I24" s="957"/>
      <c r="J24" s="958"/>
      <c r="K24" s="959"/>
      <c r="L24" s="444">
        <f>($K5+$K7/100*L22)</f>
        <v>0.17430869033107696</v>
      </c>
      <c r="M24" s="208"/>
      <c r="N24" s="236"/>
      <c r="O24" s="265"/>
      <c r="P24" s="444">
        <f>($K5+$K7/100*P22)</f>
        <v>0.17430869033107696</v>
      </c>
      <c r="Q24" s="957"/>
      <c r="R24" s="958"/>
      <c r="S24" s="1128"/>
      <c r="T24" s="444">
        <f>($K5+$K7/100*T22)</f>
        <v>0.16383434222889692</v>
      </c>
      <c r="U24" s="597"/>
      <c r="V24" s="236"/>
      <c r="W24" s="324"/>
      <c r="X24" s="444">
        <f>($K5+$K7/100*X22)</f>
        <v>0.16383434222889692</v>
      </c>
      <c r="Y24" s="1141"/>
      <c r="Z24" s="1139"/>
      <c r="AA24" s="1142"/>
      <c r="AB24" s="444">
        <f>($K5+$K7/100*AB22)</f>
        <v>0.16383434222889692</v>
      </c>
      <c r="AC24" s="957"/>
      <c r="AD24" s="958"/>
      <c r="AE24" s="959"/>
      <c r="AF24" s="444">
        <f>($K5+$K7/100*AF22)</f>
        <v>0.16383434222889692</v>
      </c>
      <c r="AG24" s="1141"/>
      <c r="AH24" s="1139"/>
      <c r="AI24" s="1142"/>
      <c r="AJ24" s="444">
        <f>($K5+$K7/100*AJ22)</f>
        <v>0.16383434222889692</v>
      </c>
      <c r="AK24" s="957"/>
      <c r="AL24" s="958"/>
      <c r="AM24" s="959"/>
      <c r="AN24" s="231"/>
      <c r="AO24" s="232"/>
      <c r="AP24" s="231"/>
    </row>
    <row r="25" spans="1:42" ht="13.5">
      <c r="A25" s="381">
        <f t="shared" si="1"/>
        <v>12</v>
      </c>
      <c r="B25" s="263" t="s">
        <v>575</v>
      </c>
      <c r="C25" s="244"/>
      <c r="D25" s="671"/>
      <c r="E25" s="264"/>
      <c r="F25" s="264"/>
      <c r="G25" s="265"/>
      <c r="H25" s="847">
        <f>IF('Appendix A'!I1=1,'6- Est &amp; Reconcile WS'!G98,'6- Est &amp; Reconcile WS'!G197)</f>
        <v>0</v>
      </c>
      <c r="I25" s="264" t="s">
        <v>785</v>
      </c>
      <c r="J25" s="264"/>
      <c r="K25" s="265"/>
      <c r="L25" s="671"/>
      <c r="M25" s="264"/>
      <c r="N25" s="264"/>
      <c r="O25" s="265"/>
      <c r="P25" s="847">
        <f>IF('Appendix A'!I1=1,'6- Est &amp; Reconcile WS'!I98,'6- Est &amp; Reconcile WS'!I197)</f>
        <v>0</v>
      </c>
      <c r="Q25" s="264" t="s">
        <v>98</v>
      </c>
      <c r="R25" s="1143"/>
      <c r="S25" s="1142"/>
      <c r="T25" s="847">
        <f>IF('Appendix A'!I1=1,'6- Est &amp; Reconcile WS'!L98,'6- Est &amp; Reconcile WS'!L197)</f>
        <v>0</v>
      </c>
      <c r="U25" s="264" t="s">
        <v>1100</v>
      </c>
      <c r="V25" s="1143"/>
      <c r="W25" s="1142"/>
      <c r="X25" s="1180"/>
      <c r="Y25" s="1143"/>
      <c r="Z25" s="1143"/>
      <c r="AA25" s="1142"/>
      <c r="AB25" s="847">
        <f>IF('Appendix A'!I1=1,'6- Est &amp; Reconcile WS'!N98,'6- Est &amp; Reconcile WS'!N197)</f>
        <v>778656.9899999999</v>
      </c>
      <c r="AC25" s="264" t="s">
        <v>852</v>
      </c>
      <c r="AD25" s="1143"/>
      <c r="AE25" s="1142"/>
      <c r="AF25" s="1180"/>
      <c r="AG25" s="1143"/>
      <c r="AH25" s="1143"/>
      <c r="AI25" s="1142"/>
      <c r="AJ25" s="847">
        <f>IF('Appendix A'!I1=1,'6- Est &amp; Reconcile WS'!Q98,'6- Est &amp; Reconcile WS'!Q197)</f>
        <v>8325909</v>
      </c>
      <c r="AK25" s="264" t="s">
        <v>866</v>
      </c>
      <c r="AL25" s="1143"/>
      <c r="AM25" s="1142"/>
      <c r="AN25" s="231"/>
      <c r="AO25" s="232"/>
      <c r="AP25" s="231"/>
    </row>
    <row r="26" spans="1:42" ht="13.5">
      <c r="A26" s="381">
        <f t="shared" si="1"/>
        <v>13</v>
      </c>
      <c r="B26" s="232" t="s">
        <v>576</v>
      </c>
      <c r="C26" s="244"/>
      <c r="D26" s="671">
        <v>0</v>
      </c>
      <c r="E26" s="264"/>
      <c r="F26" s="637"/>
      <c r="G26" s="265"/>
      <c r="H26" s="847">
        <f>IF('Appendix A'!I1=1,'6- Est &amp; Reconcile WS'!K122,78811474)</f>
        <v>78811474</v>
      </c>
      <c r="I26" s="264" t="s">
        <v>1095</v>
      </c>
      <c r="J26" s="264"/>
      <c r="K26" s="265"/>
      <c r="L26" s="671">
        <v>0</v>
      </c>
      <c r="M26" s="264"/>
      <c r="N26" s="637"/>
      <c r="O26" s="265"/>
      <c r="P26" s="847">
        <f>IF('Appendix A'!I1=1,'6- Est &amp; Reconcile WS'!O122,30776040)</f>
        <v>30776040</v>
      </c>
      <c r="Q26" s="264" t="s">
        <v>1099</v>
      </c>
      <c r="R26" s="1143"/>
      <c r="S26" s="1142"/>
      <c r="T26" s="847">
        <f>IF('Appendix A'!I1=1,'6- Est &amp; Reconcile WS'!S122,812598)</f>
        <v>812598</v>
      </c>
      <c r="U26" s="264" t="s">
        <v>1101</v>
      </c>
      <c r="V26" s="1143"/>
      <c r="W26" s="1142"/>
      <c r="X26" s="1180"/>
      <c r="Y26" s="1143"/>
      <c r="Z26" s="1144"/>
      <c r="AA26" s="1142"/>
      <c r="AB26" s="847">
        <f>IF('Appendix A'!I1=1,'6- Est &amp; Reconcile WS'!W122,559406)</f>
        <v>559406</v>
      </c>
      <c r="AC26" s="264" t="s">
        <v>1103</v>
      </c>
      <c r="AD26" s="1143"/>
      <c r="AE26" s="1142"/>
      <c r="AF26" s="1180"/>
      <c r="AG26" s="1143"/>
      <c r="AH26" s="1144"/>
      <c r="AI26" s="1142"/>
      <c r="AJ26" s="847">
        <f>IF('Appendix A'!I1=1,'6- Est &amp; Reconcile WS'!AA122,71242)</f>
        <v>71242</v>
      </c>
      <c r="AK26" s="264" t="s">
        <v>1105</v>
      </c>
      <c r="AL26" s="1143"/>
      <c r="AM26" s="1142"/>
      <c r="AN26" s="231"/>
      <c r="AO26" s="232"/>
      <c r="AP26" s="231"/>
    </row>
    <row r="27" spans="1:42" ht="14.25" thickBot="1">
      <c r="A27" s="381">
        <f>A26+1</f>
        <v>14</v>
      </c>
      <c r="B27" s="233" t="s">
        <v>147</v>
      </c>
      <c r="C27" s="245"/>
      <c r="D27" s="848">
        <f>IF('Appendix A'!I1=1,'6- Est &amp; Reconcile WS'!U98,+'6- Est &amp; Reconcile WS'!U197)</f>
        <v>0</v>
      </c>
      <c r="E27" s="264" t="s">
        <v>1096</v>
      </c>
      <c r="F27" s="924"/>
      <c r="G27" s="1346"/>
      <c r="H27" s="848">
        <f>IF('Appendix A'!I1=1,'6- Est &amp; Reconcile WS'!V98,262950644)</f>
        <v>262950644</v>
      </c>
      <c r="I27" s="264" t="s">
        <v>1097</v>
      </c>
      <c r="J27" s="924"/>
      <c r="K27" s="1346"/>
      <c r="L27" s="848">
        <f>IF('Appendix A'!I1=1,'6- Est &amp; Reconcile WS'!X98,+'6- Est &amp; Reconcile WS'!X197)</f>
        <v>0</v>
      </c>
      <c r="M27" s="264" t="s">
        <v>1098</v>
      </c>
      <c r="N27" s="924"/>
      <c r="O27" s="1346"/>
      <c r="P27" s="848">
        <f>IF('Appendix A'!I1=1,'6- Est &amp; Reconcile WS'!W98,155913694)</f>
        <v>155913694</v>
      </c>
      <c r="Q27" s="924" t="s">
        <v>853</v>
      </c>
      <c r="R27" s="1145"/>
      <c r="S27" s="1146"/>
      <c r="T27" s="848">
        <f>IF('Appendix A'!I1=1,'6- Est &amp; Reconcile WS'!Y98,3158242)</f>
        <v>3158242</v>
      </c>
      <c r="U27" s="924" t="s">
        <v>1102</v>
      </c>
      <c r="V27" s="1145"/>
      <c r="W27" s="1146"/>
      <c r="X27" s="848">
        <f>IF('Appendix A'!I1=1,'6- Est &amp; Reconcile WS'!AA98,+'6- Est &amp; Reconcile WS'!AA197)</f>
        <v>4061975.0742307776</v>
      </c>
      <c r="Y27" s="924" t="s">
        <v>864</v>
      </c>
      <c r="Z27" s="924"/>
      <c r="AA27" s="924"/>
      <c r="AB27" s="848">
        <f>IF('Appendix A'!I1=1,'6- Est &amp; Reconcile WS'!Z98,22746735)</f>
        <v>22746735</v>
      </c>
      <c r="AC27" s="924" t="s">
        <v>1104</v>
      </c>
      <c r="AD27" s="1145"/>
      <c r="AE27" s="1146"/>
      <c r="AF27" s="848">
        <f>IF('Appendix A'!I1=1,'6- Est &amp; Reconcile WS'!AC98,+'6- Est &amp; Reconcile WS'!AC197)</f>
        <v>5494268.72307692</v>
      </c>
      <c r="AG27" s="924" t="s">
        <v>865</v>
      </c>
      <c r="AH27" s="924"/>
      <c r="AI27" s="924"/>
      <c r="AJ27" s="848">
        <f>IF('Appendix A'!I1=1,'6- Est &amp; Reconcile WS'!AB98,6145482)</f>
        <v>6145482</v>
      </c>
      <c r="AK27" s="924" t="s">
        <v>867</v>
      </c>
      <c r="AL27" s="1145"/>
      <c r="AM27" s="1146"/>
      <c r="AN27" s="234"/>
      <c r="AO27" s="233"/>
      <c r="AP27" s="234"/>
    </row>
    <row r="28" spans="1:42" ht="40.5" customHeight="1">
      <c r="A28" s="381">
        <f t="shared" si="1"/>
        <v>15</v>
      </c>
      <c r="B28" s="242"/>
      <c r="C28" s="246" t="s">
        <v>567</v>
      </c>
      <c r="D28" s="247" t="s">
        <v>577</v>
      </c>
      <c r="E28" s="247" t="s">
        <v>578</v>
      </c>
      <c r="F28" s="247" t="s">
        <v>579</v>
      </c>
      <c r="G28" s="678" t="s">
        <v>682</v>
      </c>
      <c r="H28" s="247" t="s">
        <v>577</v>
      </c>
      <c r="I28" s="247" t="s">
        <v>578</v>
      </c>
      <c r="J28" s="247" t="s">
        <v>579</v>
      </c>
      <c r="K28" s="678" t="s">
        <v>682</v>
      </c>
      <c r="L28" s="247" t="s">
        <v>577</v>
      </c>
      <c r="M28" s="247" t="s">
        <v>578</v>
      </c>
      <c r="N28" s="247" t="s">
        <v>579</v>
      </c>
      <c r="O28" s="678" t="s">
        <v>682</v>
      </c>
      <c r="P28" s="944" t="s">
        <v>577</v>
      </c>
      <c r="Q28" s="247" t="s">
        <v>578</v>
      </c>
      <c r="R28" s="247" t="s">
        <v>579</v>
      </c>
      <c r="S28" s="678" t="s">
        <v>682</v>
      </c>
      <c r="T28" s="1126" t="s">
        <v>577</v>
      </c>
      <c r="U28" s="1126" t="s">
        <v>578</v>
      </c>
      <c r="V28" s="1126" t="s">
        <v>579</v>
      </c>
      <c r="W28" s="1129" t="s">
        <v>682</v>
      </c>
      <c r="X28" s="1126" t="s">
        <v>577</v>
      </c>
      <c r="Y28" s="1126" t="s">
        <v>578</v>
      </c>
      <c r="Z28" s="1126" t="s">
        <v>579</v>
      </c>
      <c r="AA28" s="1129" t="s">
        <v>682</v>
      </c>
      <c r="AB28" s="1126" t="s">
        <v>577</v>
      </c>
      <c r="AC28" s="1126" t="s">
        <v>578</v>
      </c>
      <c r="AD28" s="1126" t="s">
        <v>579</v>
      </c>
      <c r="AE28" s="1129" t="s">
        <v>682</v>
      </c>
      <c r="AF28" s="1126" t="s">
        <v>577</v>
      </c>
      <c r="AG28" s="1126" t="s">
        <v>578</v>
      </c>
      <c r="AH28" s="1126" t="s">
        <v>579</v>
      </c>
      <c r="AI28" s="1129" t="s">
        <v>682</v>
      </c>
      <c r="AJ28" s="1126" t="s">
        <v>577</v>
      </c>
      <c r="AK28" s="1126" t="s">
        <v>578</v>
      </c>
      <c r="AL28" s="1126" t="s">
        <v>579</v>
      </c>
      <c r="AM28" s="1129" t="s">
        <v>682</v>
      </c>
      <c r="AN28" s="261" t="s">
        <v>449</v>
      </c>
      <c r="AO28" s="247" t="s">
        <v>288</v>
      </c>
      <c r="AP28" s="248" t="s">
        <v>287</v>
      </c>
    </row>
    <row r="29" spans="1:42" ht="13.5">
      <c r="A29" s="381">
        <f t="shared" si="1"/>
        <v>16</v>
      </c>
      <c r="B29" s="232" t="str">
        <f>B23</f>
        <v>FCR W base ROE</v>
      </c>
      <c r="C29" s="249">
        <v>2006</v>
      </c>
      <c r="D29" s="325">
        <f>+D27*0</f>
        <v>0</v>
      </c>
      <c r="E29" s="264">
        <v>0</v>
      </c>
      <c r="F29" s="325">
        <f>+D29-E29</f>
        <v>0</v>
      </c>
      <c r="G29" s="265">
        <f>+D$23*(D29+F29)/2+E29</f>
        <v>0</v>
      </c>
      <c r="H29" s="325">
        <v>12009449</v>
      </c>
      <c r="I29" s="264">
        <v>131821</v>
      </c>
      <c r="J29" s="325">
        <f>+H29-I29</f>
        <v>11877628</v>
      </c>
      <c r="K29" s="265">
        <f>+H$23*(J29+H29)/2</f>
        <v>1956761.7740330063</v>
      </c>
      <c r="L29" s="325">
        <f>+L27*0</f>
        <v>0</v>
      </c>
      <c r="M29" s="264">
        <v>0</v>
      </c>
      <c r="N29" s="325">
        <f aca="true" t="shared" si="2" ref="N29:N34">+L29-M29</f>
        <v>0</v>
      </c>
      <c r="O29" s="265">
        <f>+L$23*(L29+N29)/2</f>
        <v>0</v>
      </c>
      <c r="P29" s="945">
        <v>0</v>
      </c>
      <c r="Q29" s="264">
        <v>0</v>
      </c>
      <c r="R29" s="325">
        <f aca="true" t="shared" si="3" ref="R29:R40">+P29-Q29</f>
        <v>0</v>
      </c>
      <c r="S29" s="265">
        <f>+P$23*(R29+P29)/2</f>
        <v>0</v>
      </c>
      <c r="T29" s="325">
        <v>0</v>
      </c>
      <c r="U29" s="264">
        <v>0</v>
      </c>
      <c r="V29" s="325">
        <f>+T29-U29</f>
        <v>0</v>
      </c>
      <c r="W29" s="265">
        <f>+T$23*(V29+T29)/2</f>
        <v>0</v>
      </c>
      <c r="X29" s="325">
        <v>0</v>
      </c>
      <c r="Y29" s="325">
        <v>0</v>
      </c>
      <c r="Z29" s="325">
        <v>0</v>
      </c>
      <c r="AA29" s="265">
        <v>0</v>
      </c>
      <c r="AB29" s="325">
        <v>0</v>
      </c>
      <c r="AC29" s="325">
        <v>0</v>
      </c>
      <c r="AD29" s="325">
        <v>0</v>
      </c>
      <c r="AE29" s="265">
        <v>0</v>
      </c>
      <c r="AF29" s="325">
        <v>0</v>
      </c>
      <c r="AG29" s="325">
        <v>0</v>
      </c>
      <c r="AH29" s="325">
        <v>0</v>
      </c>
      <c r="AI29" s="265">
        <v>0</v>
      </c>
      <c r="AJ29" s="325">
        <v>0</v>
      </c>
      <c r="AK29" s="325">
        <v>0</v>
      </c>
      <c r="AL29" s="325">
        <v>0</v>
      </c>
      <c r="AM29" s="265">
        <v>0</v>
      </c>
      <c r="AN29" s="262">
        <f>+G29+K29+O29+S29+W29+AA29+AE29+AI29+AM29</f>
        <v>1956761.7740330063</v>
      </c>
      <c r="AO29" s="207"/>
      <c r="AP29" s="250">
        <f>+AN29</f>
        <v>1956761.7740330063</v>
      </c>
    </row>
    <row r="30" spans="1:45" ht="13.5">
      <c r="A30" s="381">
        <f t="shared" si="1"/>
        <v>17</v>
      </c>
      <c r="B30" s="232" t="s">
        <v>732</v>
      </c>
      <c r="C30" s="249">
        <v>2006</v>
      </c>
      <c r="D30" s="325">
        <f>+D29</f>
        <v>0</v>
      </c>
      <c r="E30" s="264">
        <v>0</v>
      </c>
      <c r="F30" s="325">
        <f aca="true" t="shared" si="4" ref="F30:F70">+D30-E30</f>
        <v>0</v>
      </c>
      <c r="G30" s="265">
        <f>+D$24*(F30+D30)/2+E30</f>
        <v>0</v>
      </c>
      <c r="H30" s="325">
        <f>+H29</f>
        <v>12009449</v>
      </c>
      <c r="I30" s="264">
        <f>+I29</f>
        <v>131821</v>
      </c>
      <c r="J30" s="325">
        <f>+H30-I30</f>
        <v>11877628</v>
      </c>
      <c r="K30" s="265">
        <f>+H$24*(J30+H30)/2</f>
        <v>2040162.2939135323</v>
      </c>
      <c r="L30" s="325">
        <f>+L29</f>
        <v>0</v>
      </c>
      <c r="M30" s="264">
        <v>0</v>
      </c>
      <c r="N30" s="325">
        <f t="shared" si="2"/>
        <v>0</v>
      </c>
      <c r="O30" s="265">
        <f>+L$24*(N30+L30)/2</f>
        <v>0</v>
      </c>
      <c r="P30" s="945">
        <f>+P29</f>
        <v>0</v>
      </c>
      <c r="Q30" s="264">
        <f>+Q29</f>
        <v>0</v>
      </c>
      <c r="R30" s="325">
        <f t="shared" si="3"/>
        <v>0</v>
      </c>
      <c r="S30" s="265">
        <f>+P$24*(R30+P30)/2</f>
        <v>0</v>
      </c>
      <c r="T30" s="325">
        <f>+T29</f>
        <v>0</v>
      </c>
      <c r="U30" s="264">
        <f>+U29</f>
        <v>0</v>
      </c>
      <c r="V30" s="325">
        <f>+T30-U30</f>
        <v>0</v>
      </c>
      <c r="W30" s="265">
        <f>+T$24*(V30+T30)/2</f>
        <v>0</v>
      </c>
      <c r="X30" s="325">
        <v>0</v>
      </c>
      <c r="Y30" s="325">
        <v>0</v>
      </c>
      <c r="Z30" s="325">
        <v>0</v>
      </c>
      <c r="AA30" s="265">
        <v>0</v>
      </c>
      <c r="AB30" s="325">
        <v>0</v>
      </c>
      <c r="AC30" s="325">
        <v>0</v>
      </c>
      <c r="AD30" s="325">
        <v>0</v>
      </c>
      <c r="AE30" s="265">
        <v>0</v>
      </c>
      <c r="AF30" s="325">
        <v>0</v>
      </c>
      <c r="AG30" s="325">
        <v>0</v>
      </c>
      <c r="AH30" s="325">
        <v>0</v>
      </c>
      <c r="AI30" s="265">
        <v>0</v>
      </c>
      <c r="AJ30" s="325">
        <v>0</v>
      </c>
      <c r="AK30" s="325">
        <v>0</v>
      </c>
      <c r="AL30" s="325">
        <v>0</v>
      </c>
      <c r="AM30" s="265">
        <v>0</v>
      </c>
      <c r="AN30" s="262">
        <f aca="true" t="shared" si="5" ref="AN30:AN70">+G30+K30+O30+S30+W30+AA30+AE30+AI30+AM30</f>
        <v>2040162.2939135323</v>
      </c>
      <c r="AO30" s="251">
        <f>+AN30</f>
        <v>2040162.2939135323</v>
      </c>
      <c r="AP30" s="231"/>
      <c r="AQ30" s="843"/>
      <c r="AR30" s="843"/>
      <c r="AS30" s="843"/>
    </row>
    <row r="31" spans="1:42" ht="13.5">
      <c r="A31" s="381">
        <f t="shared" si="1"/>
        <v>18</v>
      </c>
      <c r="B31" s="232" t="str">
        <f>+B29</f>
        <v>FCR W base ROE</v>
      </c>
      <c r="C31" s="249">
        <f aca="true" t="shared" si="6" ref="C31:C70">+C29+1</f>
        <v>2007</v>
      </c>
      <c r="D31" s="325">
        <f>D27*0</f>
        <v>0</v>
      </c>
      <c r="E31" s="325">
        <f>+D$26</f>
        <v>0</v>
      </c>
      <c r="F31" s="325">
        <f t="shared" si="4"/>
        <v>0</v>
      </c>
      <c r="G31" s="265">
        <f>+D$23*(D31+F31)/2+E31</f>
        <v>0</v>
      </c>
      <c r="H31" s="325">
        <v>50485747.27946154</v>
      </c>
      <c r="I31" s="264">
        <v>776717.5581861077</v>
      </c>
      <c r="J31" s="325">
        <f>+H31-I31</f>
        <v>49709029.721275434</v>
      </c>
      <c r="K31" s="265">
        <f>+H$23*(J31+H31)/2</f>
        <v>8207672.692343377</v>
      </c>
      <c r="L31" s="325">
        <f>L27*0</f>
        <v>0</v>
      </c>
      <c r="M31" s="325">
        <f>+L$26</f>
        <v>0</v>
      </c>
      <c r="N31" s="325">
        <f t="shared" si="2"/>
        <v>0</v>
      </c>
      <c r="O31" s="265">
        <f>+L$23*(L31+N31)/2</f>
        <v>0</v>
      </c>
      <c r="P31" s="945">
        <v>0</v>
      </c>
      <c r="Q31" s="264">
        <v>0</v>
      </c>
      <c r="R31" s="325">
        <f t="shared" si="3"/>
        <v>0</v>
      </c>
      <c r="S31" s="265">
        <f>+P$23*(R31+P31)/2</f>
        <v>0</v>
      </c>
      <c r="T31" s="325">
        <v>0</v>
      </c>
      <c r="U31" s="264">
        <v>0</v>
      </c>
      <c r="V31" s="325">
        <f>+T31-U31</f>
        <v>0</v>
      </c>
      <c r="W31" s="265">
        <f>+T$23*(V31+T31)/2</f>
        <v>0</v>
      </c>
      <c r="X31" s="325">
        <v>0</v>
      </c>
      <c r="Y31" s="325">
        <v>0</v>
      </c>
      <c r="Z31" s="325">
        <v>0</v>
      </c>
      <c r="AA31" s="265">
        <v>0</v>
      </c>
      <c r="AB31" s="325">
        <v>0</v>
      </c>
      <c r="AC31" s="325">
        <v>0</v>
      </c>
      <c r="AD31" s="325">
        <v>0</v>
      </c>
      <c r="AE31" s="265">
        <v>0</v>
      </c>
      <c r="AF31" s="325">
        <v>0</v>
      </c>
      <c r="AG31" s="325">
        <v>0</v>
      </c>
      <c r="AH31" s="325">
        <v>0</v>
      </c>
      <c r="AI31" s="265">
        <v>0</v>
      </c>
      <c r="AJ31" s="325">
        <v>0</v>
      </c>
      <c r="AK31" s="325">
        <v>0</v>
      </c>
      <c r="AL31" s="325">
        <v>0</v>
      </c>
      <c r="AM31" s="265">
        <v>0</v>
      </c>
      <c r="AN31" s="262">
        <f t="shared" si="5"/>
        <v>8207672.692343377</v>
      </c>
      <c r="AO31" s="207"/>
      <c r="AP31" s="250">
        <f>+AN31</f>
        <v>8207672.692343377</v>
      </c>
    </row>
    <row r="32" spans="1:45" ht="13.5">
      <c r="A32" s="381">
        <f t="shared" si="1"/>
        <v>19</v>
      </c>
      <c r="B32" s="232" t="str">
        <f>+B30</f>
        <v>W Increased ROE</v>
      </c>
      <c r="C32" s="249">
        <f t="shared" si="6"/>
        <v>2007</v>
      </c>
      <c r="D32" s="325">
        <f>+D31</f>
        <v>0</v>
      </c>
      <c r="E32" s="325">
        <f>+E31</f>
        <v>0</v>
      </c>
      <c r="F32" s="325">
        <f t="shared" si="4"/>
        <v>0</v>
      </c>
      <c r="G32" s="265">
        <f>+D$24*(F32+D32)/2+E32</f>
        <v>0</v>
      </c>
      <c r="H32" s="325">
        <f>H31</f>
        <v>50485747.27946154</v>
      </c>
      <c r="I32" s="264">
        <f>I31</f>
        <v>776717.5581861077</v>
      </c>
      <c r="J32" s="325">
        <f>+H32-I32</f>
        <v>49709029.721275434</v>
      </c>
      <c r="K32" s="265">
        <f>+H$24*(J32+H32)/2</f>
        <v>8557497.683118718</v>
      </c>
      <c r="L32" s="325">
        <f>+L31</f>
        <v>0</v>
      </c>
      <c r="M32" s="325">
        <f>+M31</f>
        <v>0</v>
      </c>
      <c r="N32" s="325">
        <f t="shared" si="2"/>
        <v>0</v>
      </c>
      <c r="O32" s="265">
        <f>+L$24*(N32+L32)/2</f>
        <v>0</v>
      </c>
      <c r="P32" s="945">
        <f>+P31</f>
        <v>0</v>
      </c>
      <c r="Q32" s="264">
        <f>+Q31</f>
        <v>0</v>
      </c>
      <c r="R32" s="325">
        <f t="shared" si="3"/>
        <v>0</v>
      </c>
      <c r="S32" s="265">
        <f>+P$24*(R32+P32)/2</f>
        <v>0</v>
      </c>
      <c r="T32" s="325">
        <f>T31</f>
        <v>0</v>
      </c>
      <c r="U32" s="264">
        <f>U31</f>
        <v>0</v>
      </c>
      <c r="V32" s="325">
        <f>+T32-U32</f>
        <v>0</v>
      </c>
      <c r="W32" s="265">
        <f>+T$24*(V32+T32)/2</f>
        <v>0</v>
      </c>
      <c r="X32" s="325">
        <v>0</v>
      </c>
      <c r="Y32" s="325">
        <v>0</v>
      </c>
      <c r="Z32" s="325">
        <v>0</v>
      </c>
      <c r="AA32" s="265">
        <v>0</v>
      </c>
      <c r="AB32" s="325">
        <v>0</v>
      </c>
      <c r="AC32" s="325">
        <v>0</v>
      </c>
      <c r="AD32" s="325">
        <v>0</v>
      </c>
      <c r="AE32" s="265">
        <v>0</v>
      </c>
      <c r="AF32" s="325">
        <v>0</v>
      </c>
      <c r="AG32" s="325">
        <v>0</v>
      </c>
      <c r="AH32" s="325">
        <v>0</v>
      </c>
      <c r="AI32" s="265">
        <v>0</v>
      </c>
      <c r="AJ32" s="325">
        <v>0</v>
      </c>
      <c r="AK32" s="325">
        <v>0</v>
      </c>
      <c r="AL32" s="325">
        <v>0</v>
      </c>
      <c r="AM32" s="265">
        <v>0</v>
      </c>
      <c r="AN32" s="262">
        <f t="shared" si="5"/>
        <v>8557497.683118718</v>
      </c>
      <c r="AO32" s="251">
        <f>+AN32</f>
        <v>8557497.683118718</v>
      </c>
      <c r="AP32" s="231"/>
      <c r="AQ32" s="843"/>
      <c r="AR32" s="843"/>
      <c r="AS32" s="843"/>
    </row>
    <row r="33" spans="1:42" ht="13.5">
      <c r="A33" s="381">
        <f t="shared" si="1"/>
        <v>20</v>
      </c>
      <c r="B33" s="232" t="str">
        <f aca="true" t="shared" si="7" ref="B33:B70">+B31</f>
        <v>FCR W base ROE</v>
      </c>
      <c r="C33" s="249">
        <f t="shared" si="6"/>
        <v>2008</v>
      </c>
      <c r="D33" s="325">
        <f>D27*0</f>
        <v>0</v>
      </c>
      <c r="E33" s="325">
        <f>+D$26</f>
        <v>0</v>
      </c>
      <c r="F33" s="325">
        <f t="shared" si="4"/>
        <v>0</v>
      </c>
      <c r="G33" s="265">
        <f>+D$23*(D33+F33)/2+E33</f>
        <v>0</v>
      </c>
      <c r="H33" s="325">
        <v>96868229.69999999</v>
      </c>
      <c r="I33" s="325">
        <v>1396150.8309223847</v>
      </c>
      <c r="J33" s="325">
        <f>+H33-I33</f>
        <v>95472078.86907761</v>
      </c>
      <c r="K33" s="265">
        <f>+H$23*(J33+H33)/2</f>
        <v>15755973.96925895</v>
      </c>
      <c r="L33" s="325">
        <f>L27*0</f>
        <v>0</v>
      </c>
      <c r="M33" s="325">
        <f>+L$26</f>
        <v>0</v>
      </c>
      <c r="N33" s="325">
        <f t="shared" si="2"/>
        <v>0</v>
      </c>
      <c r="O33" s="265">
        <f>+L$23*(L33+N33)/2</f>
        <v>0</v>
      </c>
      <c r="P33" s="945">
        <v>0</v>
      </c>
      <c r="Q33" s="264">
        <v>0</v>
      </c>
      <c r="R33" s="325">
        <f t="shared" si="3"/>
        <v>0</v>
      </c>
      <c r="S33" s="265">
        <f>+P$23*(R33+P33)/2</f>
        <v>0</v>
      </c>
      <c r="T33" s="325">
        <v>0</v>
      </c>
      <c r="U33" s="325">
        <v>0</v>
      </c>
      <c r="V33" s="325">
        <v>0</v>
      </c>
      <c r="W33" s="265">
        <f>+T$23*(V33+T33)/2</f>
        <v>0</v>
      </c>
      <c r="X33" s="325">
        <v>0</v>
      </c>
      <c r="Y33" s="325">
        <v>0</v>
      </c>
      <c r="Z33" s="325">
        <v>0</v>
      </c>
      <c r="AA33" s="265">
        <v>0</v>
      </c>
      <c r="AB33" s="325">
        <v>0</v>
      </c>
      <c r="AC33" s="325">
        <v>0</v>
      </c>
      <c r="AD33" s="325">
        <v>0</v>
      </c>
      <c r="AE33" s="265">
        <v>0</v>
      </c>
      <c r="AF33" s="325">
        <v>0</v>
      </c>
      <c r="AG33" s="325">
        <v>0</v>
      </c>
      <c r="AH33" s="325">
        <v>0</v>
      </c>
      <c r="AI33" s="265">
        <v>0</v>
      </c>
      <c r="AJ33" s="325">
        <v>0</v>
      </c>
      <c r="AK33" s="325">
        <v>0</v>
      </c>
      <c r="AL33" s="325">
        <v>0</v>
      </c>
      <c r="AM33" s="265">
        <v>0</v>
      </c>
      <c r="AN33" s="262">
        <f t="shared" si="5"/>
        <v>15755973.96925895</v>
      </c>
      <c r="AO33" s="207"/>
      <c r="AP33" s="250">
        <f>+AN33</f>
        <v>15755973.96925895</v>
      </c>
    </row>
    <row r="34" spans="1:43" ht="13.5">
      <c r="A34" s="381">
        <f t="shared" si="1"/>
        <v>21</v>
      </c>
      <c r="B34" s="232" t="str">
        <f t="shared" si="7"/>
        <v>W Increased ROE</v>
      </c>
      <c r="C34" s="249">
        <f t="shared" si="6"/>
        <v>2008</v>
      </c>
      <c r="D34" s="325">
        <f>+D33</f>
        <v>0</v>
      </c>
      <c r="E34" s="325">
        <f>+E33</f>
        <v>0</v>
      </c>
      <c r="F34" s="325">
        <f t="shared" si="4"/>
        <v>0</v>
      </c>
      <c r="G34" s="265">
        <f>+D$24*(F34+D34)/2+E34</f>
        <v>0</v>
      </c>
      <c r="H34" s="325">
        <f>+H33</f>
        <v>96868229.69999999</v>
      </c>
      <c r="I34" s="325">
        <f>I33</f>
        <v>1396150.8309223847</v>
      </c>
      <c r="J34" s="325">
        <f>+J33</f>
        <v>95472078.86907761</v>
      </c>
      <c r="K34" s="265">
        <f>+H$24*(J34+H34)/2</f>
        <v>16427520.417936696</v>
      </c>
      <c r="L34" s="325">
        <f>+L33</f>
        <v>0</v>
      </c>
      <c r="M34" s="325">
        <f>+M33</f>
        <v>0</v>
      </c>
      <c r="N34" s="325">
        <f t="shared" si="2"/>
        <v>0</v>
      </c>
      <c r="O34" s="265">
        <f>+L$24*(N34+L34)/2</f>
        <v>0</v>
      </c>
      <c r="P34" s="945">
        <f>+P33</f>
        <v>0</v>
      </c>
      <c r="Q34" s="264">
        <f>+Q33</f>
        <v>0</v>
      </c>
      <c r="R34" s="325">
        <f t="shared" si="3"/>
        <v>0</v>
      </c>
      <c r="S34" s="265">
        <f>+P$24*(R34+P34)/2</f>
        <v>0</v>
      </c>
      <c r="T34" s="325">
        <f>+T33</f>
        <v>0</v>
      </c>
      <c r="U34" s="325">
        <f>U33</f>
        <v>0</v>
      </c>
      <c r="V34" s="325">
        <f>+V33</f>
        <v>0</v>
      </c>
      <c r="W34" s="265">
        <f>+T$24*(V34+T34)/2</f>
        <v>0</v>
      </c>
      <c r="X34" s="325">
        <v>0</v>
      </c>
      <c r="Y34" s="325">
        <v>0</v>
      </c>
      <c r="Z34" s="325">
        <v>0</v>
      </c>
      <c r="AA34" s="265">
        <v>0</v>
      </c>
      <c r="AB34" s="325">
        <v>0</v>
      </c>
      <c r="AC34" s="325">
        <v>0</v>
      </c>
      <c r="AD34" s="325">
        <v>0</v>
      </c>
      <c r="AE34" s="265">
        <v>0</v>
      </c>
      <c r="AF34" s="325">
        <v>0</v>
      </c>
      <c r="AG34" s="325">
        <v>0</v>
      </c>
      <c r="AH34" s="325">
        <v>0</v>
      </c>
      <c r="AI34" s="265">
        <v>0</v>
      </c>
      <c r="AJ34" s="325">
        <v>0</v>
      </c>
      <c r="AK34" s="325">
        <v>0</v>
      </c>
      <c r="AL34" s="325">
        <v>0</v>
      </c>
      <c r="AM34" s="265">
        <v>0</v>
      </c>
      <c r="AN34" s="262">
        <f t="shared" si="5"/>
        <v>16427520.417936696</v>
      </c>
      <c r="AO34" s="251">
        <f>+AN34</f>
        <v>16427520.417936696</v>
      </c>
      <c r="AP34" s="231"/>
      <c r="AQ34" s="435"/>
    </row>
    <row r="35" spans="1:42" s="322" customFormat="1" ht="13.5">
      <c r="A35" s="322">
        <f t="shared" si="1"/>
        <v>22</v>
      </c>
      <c r="B35" s="263" t="str">
        <f t="shared" si="7"/>
        <v>FCR W base ROE</v>
      </c>
      <c r="C35" s="947">
        <f t="shared" si="6"/>
        <v>2009</v>
      </c>
      <c r="D35" s="325">
        <f>IF('Appendix A'!I1=1,'7 - Cap Add WS'!D27,0)*0</f>
        <v>0</v>
      </c>
      <c r="E35" s="325">
        <f>+D$26</f>
        <v>0</v>
      </c>
      <c r="F35" s="325">
        <f t="shared" si="4"/>
        <v>0</v>
      </c>
      <c r="G35" s="265">
        <f>+D$23*(D35+F35)/2+E35</f>
        <v>0</v>
      </c>
      <c r="H35" s="325">
        <v>115267201.65107693</v>
      </c>
      <c r="I35" s="325">
        <v>4954232.13815247</v>
      </c>
      <c r="J35" s="325">
        <f>+H35-I35</f>
        <v>110312969.51292446</v>
      </c>
      <c r="K35" s="265">
        <f>+H$23*(J35+H35)/2</f>
        <v>18478889.481268074</v>
      </c>
      <c r="L35" s="325">
        <f>L29*0</f>
        <v>0</v>
      </c>
      <c r="M35" s="325">
        <f>+L$26</f>
        <v>0</v>
      </c>
      <c r="N35" s="325">
        <f aca="true" t="shared" si="8" ref="N35:N46">+L35-M35</f>
        <v>0</v>
      </c>
      <c r="O35" s="265">
        <f>+L$23*(L35+N35)/2</f>
        <v>0</v>
      </c>
      <c r="P35" s="945">
        <v>0</v>
      </c>
      <c r="Q35" s="264">
        <v>0</v>
      </c>
      <c r="R35" s="325">
        <f t="shared" si="3"/>
        <v>0</v>
      </c>
      <c r="S35" s="265">
        <f>+P$23*(R35+P35)/2</f>
        <v>0</v>
      </c>
      <c r="T35" s="325">
        <v>0</v>
      </c>
      <c r="U35" s="325">
        <v>0</v>
      </c>
      <c r="V35" s="325">
        <f>+T35-U35</f>
        <v>0</v>
      </c>
      <c r="W35" s="265">
        <f>+T$23*(V35+T35)/2</f>
        <v>0</v>
      </c>
      <c r="X35" s="325">
        <v>0</v>
      </c>
      <c r="Y35" s="325">
        <v>0</v>
      </c>
      <c r="Z35" s="325">
        <v>0</v>
      </c>
      <c r="AA35" s="265">
        <v>0</v>
      </c>
      <c r="AB35" s="325">
        <v>0</v>
      </c>
      <c r="AC35" s="325">
        <v>0</v>
      </c>
      <c r="AD35" s="325">
        <v>0</v>
      </c>
      <c r="AE35" s="265">
        <v>0</v>
      </c>
      <c r="AF35" s="325">
        <v>0</v>
      </c>
      <c r="AG35" s="325">
        <v>0</v>
      </c>
      <c r="AH35" s="325">
        <v>0</v>
      </c>
      <c r="AI35" s="265">
        <v>0</v>
      </c>
      <c r="AJ35" s="325">
        <v>0</v>
      </c>
      <c r="AK35" s="325">
        <v>0</v>
      </c>
      <c r="AL35" s="325">
        <v>0</v>
      </c>
      <c r="AM35" s="265">
        <v>0</v>
      </c>
      <c r="AN35" s="262">
        <f t="shared" si="5"/>
        <v>18478889.481268074</v>
      </c>
      <c r="AO35" s="208"/>
      <c r="AP35" s="948">
        <f>+AN35</f>
        <v>18478889.481268074</v>
      </c>
    </row>
    <row r="36" spans="1:44" s="322" customFormat="1" ht="13.5">
      <c r="A36" s="322">
        <f t="shared" si="1"/>
        <v>23</v>
      </c>
      <c r="B36" s="263" t="str">
        <f t="shared" si="7"/>
        <v>W Increased ROE</v>
      </c>
      <c r="C36" s="947">
        <f t="shared" si="6"/>
        <v>2009</v>
      </c>
      <c r="D36" s="325">
        <f>+D35</f>
        <v>0</v>
      </c>
      <c r="E36" s="325">
        <f>+E35</f>
        <v>0</v>
      </c>
      <c r="F36" s="325">
        <f t="shared" si="4"/>
        <v>0</v>
      </c>
      <c r="G36" s="265">
        <f>+D$24*(F36+D36)/2+E36</f>
        <v>0</v>
      </c>
      <c r="H36" s="325">
        <f>H35</f>
        <v>115267201.65107693</v>
      </c>
      <c r="I36" s="325">
        <f>I35</f>
        <v>4954232.13815247</v>
      </c>
      <c r="J36" s="325">
        <f>+J35</f>
        <v>110312969.51292446</v>
      </c>
      <c r="K36" s="265">
        <f>+H$24*(J36+H36)/2</f>
        <v>19266491.227175113</v>
      </c>
      <c r="L36" s="325">
        <f>+L35</f>
        <v>0</v>
      </c>
      <c r="M36" s="325">
        <f>+M35</f>
        <v>0</v>
      </c>
      <c r="N36" s="325">
        <f t="shared" si="8"/>
        <v>0</v>
      </c>
      <c r="O36" s="265">
        <f>+L$24*(N36+L36)/2</f>
        <v>0</v>
      </c>
      <c r="P36" s="945">
        <f>+P35</f>
        <v>0</v>
      </c>
      <c r="Q36" s="264">
        <f>+Q35</f>
        <v>0</v>
      </c>
      <c r="R36" s="325">
        <f t="shared" si="3"/>
        <v>0</v>
      </c>
      <c r="S36" s="265">
        <f>+P$24*(R36+P36)/2</f>
        <v>0</v>
      </c>
      <c r="T36" s="325">
        <f>T35</f>
        <v>0</v>
      </c>
      <c r="U36" s="325">
        <f>U35</f>
        <v>0</v>
      </c>
      <c r="V36" s="325">
        <f>+V35</f>
        <v>0</v>
      </c>
      <c r="W36" s="265">
        <f>+T$24*(V36+T36)/2</f>
        <v>0</v>
      </c>
      <c r="X36" s="325">
        <v>0</v>
      </c>
      <c r="Y36" s="325">
        <v>0</v>
      </c>
      <c r="Z36" s="325">
        <v>0</v>
      </c>
      <c r="AA36" s="265">
        <v>0</v>
      </c>
      <c r="AB36" s="325">
        <v>0</v>
      </c>
      <c r="AC36" s="325">
        <v>0</v>
      </c>
      <c r="AD36" s="325">
        <v>0</v>
      </c>
      <c r="AE36" s="265">
        <v>0</v>
      </c>
      <c r="AF36" s="325">
        <v>0</v>
      </c>
      <c r="AG36" s="325">
        <v>0</v>
      </c>
      <c r="AH36" s="325">
        <v>0</v>
      </c>
      <c r="AI36" s="265">
        <v>0</v>
      </c>
      <c r="AJ36" s="325">
        <v>0</v>
      </c>
      <c r="AK36" s="325">
        <v>0</v>
      </c>
      <c r="AL36" s="325">
        <v>0</v>
      </c>
      <c r="AM36" s="265">
        <v>0</v>
      </c>
      <c r="AN36" s="262">
        <f t="shared" si="5"/>
        <v>19266491.227175113</v>
      </c>
      <c r="AO36" s="949">
        <f>+AN36</f>
        <v>19266491.227175113</v>
      </c>
      <c r="AP36" s="950"/>
      <c r="AR36" s="951"/>
    </row>
    <row r="37" spans="1:42" s="322" customFormat="1" ht="13.5">
      <c r="A37" s="322">
        <f t="shared" si="1"/>
        <v>24</v>
      </c>
      <c r="B37" s="263" t="str">
        <f t="shared" si="7"/>
        <v>FCR W base ROE</v>
      </c>
      <c r="C37" s="947">
        <f t="shared" si="6"/>
        <v>2010</v>
      </c>
      <c r="D37" s="325">
        <f>IF('Appendix A'!I1=1,'7 - Cap Add WS'!D27,0)*0</f>
        <v>0</v>
      </c>
      <c r="E37" s="325">
        <f>+D$26</f>
        <v>0</v>
      </c>
      <c r="F37" s="325">
        <f t="shared" si="4"/>
        <v>0</v>
      </c>
      <c r="G37" s="265">
        <f>+D$23*(D37+F37)/2+E37</f>
        <v>0</v>
      </c>
      <c r="H37" s="325">
        <v>195470338.322</v>
      </c>
      <c r="I37" s="325">
        <v>8478483.091957407</v>
      </c>
      <c r="J37" s="325">
        <f>+H37-I37</f>
        <v>186991855.23004258</v>
      </c>
      <c r="K37" s="265">
        <f>+H$23*(J37+H37)/2</f>
        <v>31330220.95400998</v>
      </c>
      <c r="L37" s="325">
        <f>IF('Appendix A'!I1=1,'7 - Cap Add WS'!L27,0)*0</f>
        <v>0</v>
      </c>
      <c r="M37" s="325">
        <f>+L$26</f>
        <v>0</v>
      </c>
      <c r="N37" s="325">
        <f t="shared" si="8"/>
        <v>0</v>
      </c>
      <c r="O37" s="265">
        <f>+L$23*(L37+N37)/2</f>
        <v>0</v>
      </c>
      <c r="P37" s="945">
        <v>0</v>
      </c>
      <c r="Q37" s="264">
        <v>0</v>
      </c>
      <c r="R37" s="325">
        <f t="shared" si="3"/>
        <v>0</v>
      </c>
      <c r="S37" s="265">
        <f>+P$23*(R37+P37)/2</f>
        <v>0</v>
      </c>
      <c r="T37" s="325">
        <v>0</v>
      </c>
      <c r="U37" s="325">
        <v>0</v>
      </c>
      <c r="V37" s="325">
        <f>+T37-U37</f>
        <v>0</v>
      </c>
      <c r="W37" s="265">
        <f>+T$23*(V37+T37)/2</f>
        <v>0</v>
      </c>
      <c r="X37" s="325">
        <v>0</v>
      </c>
      <c r="Y37" s="325">
        <v>0</v>
      </c>
      <c r="Z37" s="325">
        <v>0</v>
      </c>
      <c r="AA37" s="265">
        <v>0</v>
      </c>
      <c r="AB37" s="325">
        <v>0</v>
      </c>
      <c r="AC37" s="325">
        <v>0</v>
      </c>
      <c r="AD37" s="325">
        <v>0</v>
      </c>
      <c r="AE37" s="265">
        <v>0</v>
      </c>
      <c r="AF37" s="325">
        <v>0</v>
      </c>
      <c r="AG37" s="325">
        <v>0</v>
      </c>
      <c r="AH37" s="325">
        <v>0</v>
      </c>
      <c r="AI37" s="265">
        <v>0</v>
      </c>
      <c r="AJ37" s="325">
        <v>0</v>
      </c>
      <c r="AK37" s="325">
        <v>0</v>
      </c>
      <c r="AL37" s="325">
        <v>0</v>
      </c>
      <c r="AM37" s="265">
        <v>0</v>
      </c>
      <c r="AN37" s="262">
        <f t="shared" si="5"/>
        <v>31330220.95400998</v>
      </c>
      <c r="AO37" s="208"/>
      <c r="AP37" s="948">
        <f>+AN37</f>
        <v>31330220.95400998</v>
      </c>
    </row>
    <row r="38" spans="1:44" s="322" customFormat="1" ht="13.5">
      <c r="A38" s="322">
        <f t="shared" si="1"/>
        <v>25</v>
      </c>
      <c r="B38" s="263" t="str">
        <f t="shared" si="7"/>
        <v>W Increased ROE</v>
      </c>
      <c r="C38" s="947">
        <f t="shared" si="6"/>
        <v>2010</v>
      </c>
      <c r="D38" s="325">
        <f>+D37</f>
        <v>0</v>
      </c>
      <c r="E38" s="325">
        <f>+E37</f>
        <v>0</v>
      </c>
      <c r="F38" s="325">
        <f t="shared" si="4"/>
        <v>0</v>
      </c>
      <c r="G38" s="265">
        <f>+D$24*(F38+D38)/2+E38</f>
        <v>0</v>
      </c>
      <c r="H38" s="325">
        <f>H37</f>
        <v>195470338.322</v>
      </c>
      <c r="I38" s="325">
        <f>I37</f>
        <v>8478483.091957407</v>
      </c>
      <c r="J38" s="325">
        <f>+J37</f>
        <v>186991855.23004258</v>
      </c>
      <c r="K38" s="265">
        <f>+H$24*(J38+H38)/2</f>
        <v>32665568.337739132</v>
      </c>
      <c r="L38" s="325">
        <f>+L37</f>
        <v>0</v>
      </c>
      <c r="M38" s="325">
        <f>+M37</f>
        <v>0</v>
      </c>
      <c r="N38" s="325">
        <f t="shared" si="8"/>
        <v>0</v>
      </c>
      <c r="O38" s="265">
        <f>+L$24*(N38+L38)/2</f>
        <v>0</v>
      </c>
      <c r="P38" s="945">
        <f>+P37</f>
        <v>0</v>
      </c>
      <c r="Q38" s="264">
        <f>+Q37</f>
        <v>0</v>
      </c>
      <c r="R38" s="325">
        <f t="shared" si="3"/>
        <v>0</v>
      </c>
      <c r="S38" s="265">
        <f>+P$24*(R38+P38)/2</f>
        <v>0</v>
      </c>
      <c r="T38" s="325">
        <f>T37</f>
        <v>0</v>
      </c>
      <c r="U38" s="325">
        <f>U37</f>
        <v>0</v>
      </c>
      <c r="V38" s="325">
        <f>+V37</f>
        <v>0</v>
      </c>
      <c r="W38" s="265">
        <f>+T$24*(V38+T38)/2</f>
        <v>0</v>
      </c>
      <c r="X38" s="325">
        <v>0</v>
      </c>
      <c r="Y38" s="325">
        <v>0</v>
      </c>
      <c r="Z38" s="325">
        <v>0</v>
      </c>
      <c r="AA38" s="265">
        <v>0</v>
      </c>
      <c r="AB38" s="325">
        <v>0</v>
      </c>
      <c r="AC38" s="325">
        <v>0</v>
      </c>
      <c r="AD38" s="325">
        <v>0</v>
      </c>
      <c r="AE38" s="265">
        <v>0</v>
      </c>
      <c r="AF38" s="325">
        <v>0</v>
      </c>
      <c r="AG38" s="325">
        <v>0</v>
      </c>
      <c r="AH38" s="325">
        <v>0</v>
      </c>
      <c r="AI38" s="265">
        <v>0</v>
      </c>
      <c r="AJ38" s="325">
        <v>0</v>
      </c>
      <c r="AK38" s="325">
        <v>0</v>
      </c>
      <c r="AL38" s="325">
        <v>0</v>
      </c>
      <c r="AM38" s="265">
        <v>0</v>
      </c>
      <c r="AN38" s="262">
        <f t="shared" si="5"/>
        <v>32665568.337739132</v>
      </c>
      <c r="AO38" s="949">
        <f>+AN38</f>
        <v>32665568.337739132</v>
      </c>
      <c r="AP38" s="950"/>
      <c r="AR38" s="951"/>
    </row>
    <row r="39" spans="1:42" ht="13.5">
      <c r="A39" s="381">
        <f t="shared" si="1"/>
        <v>26</v>
      </c>
      <c r="B39" s="232" t="str">
        <f t="shared" si="7"/>
        <v>FCR W base ROE</v>
      </c>
      <c r="C39" s="249">
        <f t="shared" si="6"/>
        <v>2011</v>
      </c>
      <c r="D39" s="325">
        <f>IF('Appendix A'!I1=1,'7 - Cap Add WS'!D27,0)*0</f>
        <v>0</v>
      </c>
      <c r="E39" s="325">
        <f>+D$26</f>
        <v>0</v>
      </c>
      <c r="F39" s="325">
        <f>+D39-E39</f>
        <v>0</v>
      </c>
      <c r="G39" s="265">
        <f>+D$23*(D39+F39)/2+E39</f>
        <v>0</v>
      </c>
      <c r="H39" s="325">
        <v>230878255.0586154</v>
      </c>
      <c r="I39" s="325">
        <v>13522528.054738857</v>
      </c>
      <c r="J39" s="325">
        <f>+H39-I39</f>
        <v>217355727.00387654</v>
      </c>
      <c r="K39" s="265">
        <f>+H$23*(J39+H39)/2</f>
        <v>36718059.80792377</v>
      </c>
      <c r="L39" s="325">
        <f>IF('Appendix A'!I1=1,'7 - Cap Add WS'!L27,0)*0</f>
        <v>0</v>
      </c>
      <c r="M39" s="325">
        <f>+L$26</f>
        <v>0</v>
      </c>
      <c r="N39" s="325">
        <f t="shared" si="8"/>
        <v>0</v>
      </c>
      <c r="O39" s="265">
        <f>+L$23*(L39+N39)/2</f>
        <v>0</v>
      </c>
      <c r="P39" s="945">
        <v>24663027.30076923</v>
      </c>
      <c r="Q39" s="264">
        <v>245995.4974447693</v>
      </c>
      <c r="R39" s="325">
        <f t="shared" si="3"/>
        <v>24417031.80332446</v>
      </c>
      <c r="S39" s="265">
        <f>+P$23*(R39+P39)/2</f>
        <v>4020499.5999372867</v>
      </c>
      <c r="T39" s="325">
        <v>1942823.746153846</v>
      </c>
      <c r="U39" s="325">
        <v>16718.537508615384</v>
      </c>
      <c r="V39" s="325">
        <f>+T39-U39</f>
        <v>1926105.2086452306</v>
      </c>
      <c r="W39" s="265">
        <f>+T$23*(V39+T39)/2</f>
        <v>316931.7152199202</v>
      </c>
      <c r="X39" s="945">
        <v>0</v>
      </c>
      <c r="Y39" s="325">
        <v>0</v>
      </c>
      <c r="Z39" s="325">
        <v>0</v>
      </c>
      <c r="AA39" s="265">
        <v>0</v>
      </c>
      <c r="AB39" s="945">
        <v>0</v>
      </c>
      <c r="AC39" s="325">
        <v>0</v>
      </c>
      <c r="AD39" s="325">
        <v>0</v>
      </c>
      <c r="AE39" s="265">
        <v>0</v>
      </c>
      <c r="AF39" s="945">
        <v>0</v>
      </c>
      <c r="AG39" s="325">
        <v>0</v>
      </c>
      <c r="AH39" s="325">
        <v>0</v>
      </c>
      <c r="AI39" s="265">
        <v>0</v>
      </c>
      <c r="AJ39" s="945">
        <v>0</v>
      </c>
      <c r="AK39" s="325">
        <v>0</v>
      </c>
      <c r="AL39" s="325">
        <v>0</v>
      </c>
      <c r="AM39" s="265">
        <v>0</v>
      </c>
      <c r="AN39" s="262">
        <f t="shared" si="5"/>
        <v>41055491.123080984</v>
      </c>
      <c r="AO39" s="207"/>
      <c r="AP39" s="250">
        <f>+AN39</f>
        <v>41055491.123080984</v>
      </c>
    </row>
    <row r="40" spans="1:44" ht="13.5">
      <c r="A40" s="381">
        <f t="shared" si="1"/>
        <v>27</v>
      </c>
      <c r="B40" s="232" t="str">
        <f t="shared" si="7"/>
        <v>W Increased ROE</v>
      </c>
      <c r="C40" s="249">
        <f t="shared" si="6"/>
        <v>2011</v>
      </c>
      <c r="D40" s="325">
        <f>+D39</f>
        <v>0</v>
      </c>
      <c r="E40" s="325">
        <f>+E39</f>
        <v>0</v>
      </c>
      <c r="F40" s="325">
        <f t="shared" si="4"/>
        <v>0</v>
      </c>
      <c r="G40" s="265">
        <f>+D$24*(F40+D40)/2+E40</f>
        <v>0</v>
      </c>
      <c r="H40" s="325">
        <f>H39</f>
        <v>230878255.0586154</v>
      </c>
      <c r="I40" s="325">
        <f>I39</f>
        <v>13522528.054738857</v>
      </c>
      <c r="J40" s="325">
        <f>J39</f>
        <v>217355727.00387654</v>
      </c>
      <c r="K40" s="265">
        <f>+H$24*(J40+H40)/2</f>
        <v>38283046.06104006</v>
      </c>
      <c r="L40" s="325">
        <f>+L39</f>
        <v>0</v>
      </c>
      <c r="M40" s="325">
        <f>+M39</f>
        <v>0</v>
      </c>
      <c r="N40" s="325">
        <f t="shared" si="8"/>
        <v>0</v>
      </c>
      <c r="O40" s="265">
        <f>+L$24*(N40+L40)/2</f>
        <v>0</v>
      </c>
      <c r="P40" s="945">
        <f>+P39</f>
        <v>24663027.30076923</v>
      </c>
      <c r="Q40" s="264">
        <f>+Q39</f>
        <v>245995.4974447693</v>
      </c>
      <c r="R40" s="325">
        <f t="shared" si="3"/>
        <v>24417031.80332446</v>
      </c>
      <c r="S40" s="265">
        <f>+P$24*(R40+P40)/2</f>
        <v>4277540.41190321</v>
      </c>
      <c r="T40" s="325">
        <f>T39</f>
        <v>1942823.746153846</v>
      </c>
      <c r="U40" s="325">
        <f>U39</f>
        <v>16718.537508615384</v>
      </c>
      <c r="V40" s="325">
        <f>+V39</f>
        <v>1926105.2086452306</v>
      </c>
      <c r="W40" s="265">
        <f>+T$24*(V40+T40)/2</f>
        <v>316931.7152199202</v>
      </c>
      <c r="X40" s="945">
        <v>0</v>
      </c>
      <c r="Y40" s="325">
        <v>0</v>
      </c>
      <c r="Z40" s="325">
        <v>0</v>
      </c>
      <c r="AA40" s="265">
        <v>0</v>
      </c>
      <c r="AB40" s="945">
        <v>0</v>
      </c>
      <c r="AC40" s="325">
        <v>0</v>
      </c>
      <c r="AD40" s="325">
        <v>0</v>
      </c>
      <c r="AE40" s="265">
        <v>0</v>
      </c>
      <c r="AF40" s="945">
        <v>0</v>
      </c>
      <c r="AG40" s="325">
        <v>0</v>
      </c>
      <c r="AH40" s="325">
        <v>0</v>
      </c>
      <c r="AI40" s="265">
        <v>0</v>
      </c>
      <c r="AJ40" s="945">
        <v>0</v>
      </c>
      <c r="AK40" s="325">
        <v>0</v>
      </c>
      <c r="AL40" s="325">
        <v>0</v>
      </c>
      <c r="AM40" s="265">
        <v>0</v>
      </c>
      <c r="AN40" s="262">
        <f t="shared" si="5"/>
        <v>42877518.18816319</v>
      </c>
      <c r="AO40" s="251">
        <f>+AN40</f>
        <v>42877518.18816319</v>
      </c>
      <c r="AP40" s="231"/>
      <c r="AR40" s="435">
        <f>AO40-AP39</f>
        <v>1822027.0650822073</v>
      </c>
    </row>
    <row r="41" spans="1:42" ht="13.5">
      <c r="A41" s="381">
        <f t="shared" si="1"/>
        <v>28</v>
      </c>
      <c r="B41" s="232" t="str">
        <f t="shared" si="7"/>
        <v>FCR W base ROE</v>
      </c>
      <c r="C41" s="249">
        <f t="shared" si="6"/>
        <v>2012</v>
      </c>
      <c r="D41" s="325">
        <f>IF('Appendix A'!I1=1,'7 - Cap Add WS'!D27,0)*0</f>
        <v>0</v>
      </c>
      <c r="E41" s="325">
        <f>+D$26</f>
        <v>0</v>
      </c>
      <c r="F41" s="325">
        <f>+D41-E41</f>
        <v>0</v>
      </c>
      <c r="G41" s="265">
        <f>+D$23*(D41+F41)/2+E41</f>
        <v>0</v>
      </c>
      <c r="H41" s="325">
        <v>230204308.15669236</v>
      </c>
      <c r="I41" s="325">
        <v>18782179.647368785</v>
      </c>
      <c r="J41" s="325">
        <f>+H41-I41</f>
        <v>211422128.50932357</v>
      </c>
      <c r="K41" s="265">
        <f>+H$23*(J41+H41)/2</f>
        <v>36176788.381034166</v>
      </c>
      <c r="L41" s="325">
        <f>IF('Appendix A'!I1=1,'7 - Cap Add WS'!L27,0)*0</f>
        <v>0</v>
      </c>
      <c r="M41" s="325">
        <f>+L$26</f>
        <v>0</v>
      </c>
      <c r="N41" s="325">
        <f t="shared" si="8"/>
        <v>0</v>
      </c>
      <c r="O41" s="265">
        <f>+L$23*(L41+N41)/2</f>
        <v>0</v>
      </c>
      <c r="P41" s="325">
        <v>59983494.66507693</v>
      </c>
      <c r="Q41" s="325">
        <v>1220207.2058427692</v>
      </c>
      <c r="R41" s="325">
        <f aca="true" t="shared" si="9" ref="R41:R52">+P41-Q41</f>
        <v>58763287.459234156</v>
      </c>
      <c r="S41" s="265">
        <f>+P$23*(R41+P41)/2</f>
        <v>9727400.470567321</v>
      </c>
      <c r="T41" s="325">
        <v>3158241.7899999996</v>
      </c>
      <c r="U41" s="325">
        <v>83991.70293599999</v>
      </c>
      <c r="V41" s="325">
        <f>+T41-U41</f>
        <v>3074250.0870639994</v>
      </c>
      <c r="W41" s="265">
        <f>+T$23*(V41+T41)/2</f>
        <v>510548.1035628617</v>
      </c>
      <c r="X41" s="945">
        <v>0</v>
      </c>
      <c r="Y41" s="325">
        <v>0</v>
      </c>
      <c r="Z41" s="325">
        <v>0</v>
      </c>
      <c r="AA41" s="265">
        <v>0</v>
      </c>
      <c r="AB41" s="945">
        <v>0</v>
      </c>
      <c r="AC41" s="325">
        <v>0</v>
      </c>
      <c r="AD41" s="325">
        <v>0</v>
      </c>
      <c r="AE41" s="265">
        <v>0</v>
      </c>
      <c r="AF41" s="945">
        <v>0</v>
      </c>
      <c r="AG41" s="325">
        <v>0</v>
      </c>
      <c r="AH41" s="325">
        <v>0</v>
      </c>
      <c r="AI41" s="265">
        <v>0</v>
      </c>
      <c r="AJ41" s="945">
        <v>0</v>
      </c>
      <c r="AK41" s="325">
        <v>0</v>
      </c>
      <c r="AL41" s="325">
        <v>0</v>
      </c>
      <c r="AM41" s="265">
        <v>0</v>
      </c>
      <c r="AN41" s="262">
        <f t="shared" si="5"/>
        <v>46414736.95516435</v>
      </c>
      <c r="AO41" s="207"/>
      <c r="AP41" s="250">
        <f>+AN41</f>
        <v>46414736.95516435</v>
      </c>
    </row>
    <row r="42" spans="1:44" ht="13.5">
      <c r="A42" s="381">
        <f t="shared" si="1"/>
        <v>29</v>
      </c>
      <c r="B42" s="232" t="str">
        <f t="shared" si="7"/>
        <v>W Increased ROE</v>
      </c>
      <c r="C42" s="249">
        <f t="shared" si="6"/>
        <v>2012</v>
      </c>
      <c r="D42" s="325">
        <f>+D41</f>
        <v>0</v>
      </c>
      <c r="E42" s="325">
        <f>+E41</f>
        <v>0</v>
      </c>
      <c r="F42" s="325">
        <f>+D42-E42</f>
        <v>0</v>
      </c>
      <c r="G42" s="265">
        <f>+D$24*(F42+D42)/2+E42</f>
        <v>0</v>
      </c>
      <c r="H42" s="325">
        <f>H41</f>
        <v>230204308.15669236</v>
      </c>
      <c r="I42" s="325">
        <f>I41</f>
        <v>18782179.647368785</v>
      </c>
      <c r="J42" s="325">
        <f>J41</f>
        <v>211422128.50932357</v>
      </c>
      <c r="K42" s="265">
        <f>+H$24*(J42+H42)/2</f>
        <v>37718704.7239559</v>
      </c>
      <c r="L42" s="325">
        <f>+L41</f>
        <v>0</v>
      </c>
      <c r="M42" s="325">
        <f>+M41</f>
        <v>0</v>
      </c>
      <c r="N42" s="325">
        <f t="shared" si="8"/>
        <v>0</v>
      </c>
      <c r="O42" s="265">
        <f>+L$24*(N42+L42)/2</f>
        <v>0</v>
      </c>
      <c r="P42" s="945">
        <f>+P41</f>
        <v>59983494.66507693</v>
      </c>
      <c r="Q42" s="264">
        <f>+Q41</f>
        <v>1220207.2058427692</v>
      </c>
      <c r="R42" s="325">
        <f t="shared" si="9"/>
        <v>58763287.459234156</v>
      </c>
      <c r="S42" s="265">
        <f>+P$24*(R42+P42)/2</f>
        <v>10349298.036559204</v>
      </c>
      <c r="T42" s="325">
        <f>T41</f>
        <v>3158241.7899999996</v>
      </c>
      <c r="U42" s="325">
        <f>U41</f>
        <v>83991.70293599999</v>
      </c>
      <c r="V42" s="325">
        <f>+V41</f>
        <v>3074250.0870639994</v>
      </c>
      <c r="W42" s="265">
        <f>+T$24*(V42+T42)/2</f>
        <v>510548.1035628617</v>
      </c>
      <c r="X42" s="945">
        <v>0</v>
      </c>
      <c r="Y42" s="325">
        <v>0</v>
      </c>
      <c r="Z42" s="325">
        <v>0</v>
      </c>
      <c r="AA42" s="265">
        <v>0</v>
      </c>
      <c r="AB42" s="945">
        <v>0</v>
      </c>
      <c r="AC42" s="325">
        <v>0</v>
      </c>
      <c r="AD42" s="325">
        <v>0</v>
      </c>
      <c r="AE42" s="265">
        <v>0</v>
      </c>
      <c r="AF42" s="945">
        <v>0</v>
      </c>
      <c r="AG42" s="325">
        <v>0</v>
      </c>
      <c r="AH42" s="325">
        <v>0</v>
      </c>
      <c r="AI42" s="265">
        <v>0</v>
      </c>
      <c r="AJ42" s="945">
        <v>0</v>
      </c>
      <c r="AK42" s="325">
        <v>0</v>
      </c>
      <c r="AL42" s="325">
        <v>0</v>
      </c>
      <c r="AM42" s="265">
        <v>0</v>
      </c>
      <c r="AN42" s="262">
        <f t="shared" si="5"/>
        <v>48578550.86407796</v>
      </c>
      <c r="AO42" s="251">
        <f>+AN42</f>
        <v>48578550.86407796</v>
      </c>
      <c r="AP42" s="231"/>
      <c r="AR42" s="435">
        <f>AO42-AP41</f>
        <v>2163813.9089136124</v>
      </c>
    </row>
    <row r="43" spans="1:42" s="200" customFormat="1" ht="13.5">
      <c r="A43" s="200">
        <f t="shared" si="1"/>
        <v>30</v>
      </c>
      <c r="B43" s="263" t="str">
        <f t="shared" si="7"/>
        <v>FCR W base ROE</v>
      </c>
      <c r="C43" s="947">
        <f t="shared" si="6"/>
        <v>2013</v>
      </c>
      <c r="D43" s="325">
        <f>IF('Appendix A'!I1=1,'7 - Cap Add WS'!D27,0)</f>
        <v>0</v>
      </c>
      <c r="E43" s="325">
        <f>+D$26</f>
        <v>0</v>
      </c>
      <c r="F43" s="325">
        <f>+D43-E43</f>
        <v>0</v>
      </c>
      <c r="G43" s="265">
        <f>+D$23*(D43+F43)/2+E43</f>
        <v>0</v>
      </c>
      <c r="H43" s="325">
        <v>250007863</v>
      </c>
      <c r="I43" s="325">
        <v>24198376</v>
      </c>
      <c r="J43" s="325">
        <f>+H43-I43</f>
        <v>225809487</v>
      </c>
      <c r="K43" s="265">
        <f>+H$23*(J43+H43)/2</f>
        <v>38977611.27917341</v>
      </c>
      <c r="L43" s="325">
        <f>IF('Appendix A'!I1=1,'7 - Cap Add WS'!L27,0)*0</f>
        <v>0</v>
      </c>
      <c r="M43" s="325">
        <f>+L$26</f>
        <v>0</v>
      </c>
      <c r="N43" s="325">
        <f t="shared" si="8"/>
        <v>0</v>
      </c>
      <c r="O43" s="265">
        <f>+L$23*(L43+N43)/2</f>
        <v>0</v>
      </c>
      <c r="P43" s="325">
        <v>86857916</v>
      </c>
      <c r="Q43" s="325">
        <v>3021138</v>
      </c>
      <c r="R43" s="325">
        <f t="shared" si="9"/>
        <v>83836778</v>
      </c>
      <c r="S43" s="265">
        <f>+P$23*(R43+P43)/2</f>
        <v>13982826.456726419</v>
      </c>
      <c r="T43" s="325">
        <v>3158242</v>
      </c>
      <c r="U43" s="325">
        <v>156000</v>
      </c>
      <c r="V43" s="325">
        <f>+T43-U43</f>
        <v>3002242</v>
      </c>
      <c r="W43" s="265">
        <f>+T$23*(V43+T43)/2</f>
        <v>504649.4219758219</v>
      </c>
      <c r="X43" s="945">
        <v>0</v>
      </c>
      <c r="Y43" s="325">
        <v>0</v>
      </c>
      <c r="Z43" s="325">
        <v>0</v>
      </c>
      <c r="AA43" s="265">
        <v>0</v>
      </c>
      <c r="AB43" s="945">
        <v>0</v>
      </c>
      <c r="AC43" s="325">
        <v>0</v>
      </c>
      <c r="AD43" s="325">
        <v>0</v>
      </c>
      <c r="AE43" s="265">
        <v>0</v>
      </c>
      <c r="AF43" s="945">
        <v>0</v>
      </c>
      <c r="AG43" s="325">
        <v>0</v>
      </c>
      <c r="AH43" s="325">
        <v>0</v>
      </c>
      <c r="AI43" s="265">
        <v>0</v>
      </c>
      <c r="AJ43" s="945">
        <v>0</v>
      </c>
      <c r="AK43" s="325">
        <v>0</v>
      </c>
      <c r="AL43" s="325">
        <v>0</v>
      </c>
      <c r="AM43" s="265">
        <v>0</v>
      </c>
      <c r="AN43" s="262">
        <f t="shared" si="5"/>
        <v>53465087.15787565</v>
      </c>
      <c r="AO43" s="208"/>
      <c r="AP43" s="948">
        <f>+AN43</f>
        <v>53465087.15787565</v>
      </c>
    </row>
    <row r="44" spans="1:44" ht="13.5">
      <c r="A44" s="381">
        <f t="shared" si="1"/>
        <v>31</v>
      </c>
      <c r="B44" s="232" t="str">
        <f t="shared" si="7"/>
        <v>W Increased ROE</v>
      </c>
      <c r="C44" s="249">
        <f t="shared" si="6"/>
        <v>2013</v>
      </c>
      <c r="D44" s="325">
        <f>+D43</f>
        <v>0</v>
      </c>
      <c r="E44" s="325">
        <f>+E43</f>
        <v>0</v>
      </c>
      <c r="F44" s="325">
        <f t="shared" si="4"/>
        <v>0</v>
      </c>
      <c r="G44" s="265">
        <f>+D$24*(F44+D44)/2+E44</f>
        <v>0</v>
      </c>
      <c r="H44" s="325">
        <f>H43</f>
        <v>250007863</v>
      </c>
      <c r="I44" s="325">
        <f>I43</f>
        <v>24198376</v>
      </c>
      <c r="J44" s="325">
        <f>J43</f>
        <v>225809487</v>
      </c>
      <c r="K44" s="265">
        <f>+H$24*(J44+H44)/2</f>
        <v>40638903.46482569</v>
      </c>
      <c r="L44" s="325">
        <f>+L43</f>
        <v>0</v>
      </c>
      <c r="M44" s="325">
        <f>+M43</f>
        <v>0</v>
      </c>
      <c r="N44" s="325">
        <f t="shared" si="8"/>
        <v>0</v>
      </c>
      <c r="O44" s="265">
        <f>+L$24*(N44+L44)/2</f>
        <v>0</v>
      </c>
      <c r="P44" s="945">
        <f>+P43</f>
        <v>86857916</v>
      </c>
      <c r="Q44" s="264">
        <f>+Q43</f>
        <v>3021138</v>
      </c>
      <c r="R44" s="325">
        <f t="shared" si="9"/>
        <v>83836778</v>
      </c>
      <c r="S44" s="265">
        <f>+P$24*(R44+P44)/2</f>
        <v>14876784.27880197</v>
      </c>
      <c r="T44" s="325">
        <f>T43</f>
        <v>3158242</v>
      </c>
      <c r="U44" s="325">
        <f>U43</f>
        <v>156000</v>
      </c>
      <c r="V44" s="325">
        <f>+V43</f>
        <v>3002242</v>
      </c>
      <c r="W44" s="265">
        <f>+T$24*(V44+T44)/2</f>
        <v>504649.4219758219</v>
      </c>
      <c r="X44" s="945">
        <v>0</v>
      </c>
      <c r="Y44" s="325">
        <v>0</v>
      </c>
      <c r="Z44" s="325">
        <v>0</v>
      </c>
      <c r="AA44" s="265">
        <v>0</v>
      </c>
      <c r="AB44" s="945">
        <v>0</v>
      </c>
      <c r="AC44" s="325">
        <v>0</v>
      </c>
      <c r="AD44" s="325">
        <v>0</v>
      </c>
      <c r="AE44" s="265">
        <v>0</v>
      </c>
      <c r="AF44" s="945">
        <v>0</v>
      </c>
      <c r="AG44" s="325">
        <v>0</v>
      </c>
      <c r="AH44" s="325">
        <v>0</v>
      </c>
      <c r="AI44" s="265">
        <v>0</v>
      </c>
      <c r="AJ44" s="945">
        <v>0</v>
      </c>
      <c r="AK44" s="325">
        <v>0</v>
      </c>
      <c r="AL44" s="325">
        <v>0</v>
      </c>
      <c r="AM44" s="265">
        <v>0</v>
      </c>
      <c r="AN44" s="262">
        <f t="shared" si="5"/>
        <v>56020337.16560348</v>
      </c>
      <c r="AO44" s="251">
        <f>+AN44</f>
        <v>56020337.16560348</v>
      </c>
      <c r="AP44" s="231"/>
      <c r="AR44" s="435">
        <f>AO44-AP43</f>
        <v>2555250.0077278316</v>
      </c>
    </row>
    <row r="45" spans="1:42" s="322" customFormat="1" ht="13.5">
      <c r="A45" s="322">
        <f t="shared" si="1"/>
        <v>32</v>
      </c>
      <c r="B45" s="263" t="str">
        <f t="shared" si="7"/>
        <v>FCR W base ROE</v>
      </c>
      <c r="C45" s="947">
        <f t="shared" si="6"/>
        <v>2014</v>
      </c>
      <c r="D45" s="325">
        <f>IF('Appendix A'!I1=1,0,'7 - Cap Add WS'!D27)</f>
        <v>0</v>
      </c>
      <c r="E45" s="325">
        <f>+D$26</f>
        <v>0</v>
      </c>
      <c r="F45" s="325">
        <f>+D45-E45</f>
        <v>0</v>
      </c>
      <c r="G45" s="265">
        <f>+D$23*(D45+F45)/2+E45</f>
        <v>0</v>
      </c>
      <c r="H45" s="325">
        <v>262865544.27515393</v>
      </c>
      <c r="I45" s="325">
        <v>30309924.887097068</v>
      </c>
      <c r="J45" s="325">
        <f>+H45-I45</f>
        <v>232555619.38805687</v>
      </c>
      <c r="K45" s="265">
        <f>+H$23*(J45+H45)/2</f>
        <v>40583500.237518415</v>
      </c>
      <c r="L45" s="325">
        <f>1700213.7846154*0</f>
        <v>0</v>
      </c>
      <c r="M45" s="325">
        <f>+L$26</f>
        <v>0</v>
      </c>
      <c r="N45" s="325">
        <f>+L45-M45</f>
        <v>0</v>
      </c>
      <c r="O45" s="265">
        <f>+L$23*(N45+L45)/2</f>
        <v>0</v>
      </c>
      <c r="P45" s="945">
        <v>92325263.63438462</v>
      </c>
      <c r="Q45" s="264">
        <v>5176295.354844246</v>
      </c>
      <c r="R45" s="325">
        <f t="shared" si="9"/>
        <v>87148968.27954037</v>
      </c>
      <c r="S45" s="265">
        <f>+P$23*(R45+P45)/2</f>
        <v>14702021.3663272</v>
      </c>
      <c r="T45" s="325">
        <v>3158242</v>
      </c>
      <c r="U45" s="325">
        <v>230048.24116938468</v>
      </c>
      <c r="V45" s="325">
        <f>T45-U45</f>
        <v>2928193.7588306153</v>
      </c>
      <c r="W45" s="265">
        <f>+T$23*(V45+T45)/2</f>
        <v>498583.59953322547</v>
      </c>
      <c r="X45" s="945">
        <v>0</v>
      </c>
      <c r="Y45" s="325">
        <v>0</v>
      </c>
      <c r="Z45" s="325">
        <v>0</v>
      </c>
      <c r="AA45" s="265">
        <v>0</v>
      </c>
      <c r="AB45" s="945">
        <v>0</v>
      </c>
      <c r="AC45" s="325">
        <v>0</v>
      </c>
      <c r="AD45" s="325">
        <v>0</v>
      </c>
      <c r="AE45" s="265">
        <v>0</v>
      </c>
      <c r="AF45" s="945">
        <v>0</v>
      </c>
      <c r="AG45" s="325">
        <v>0</v>
      </c>
      <c r="AH45" s="325">
        <v>0</v>
      </c>
      <c r="AI45" s="265">
        <v>0</v>
      </c>
      <c r="AJ45" s="945">
        <v>0</v>
      </c>
      <c r="AK45" s="325">
        <v>0</v>
      </c>
      <c r="AL45" s="325">
        <v>0</v>
      </c>
      <c r="AM45" s="265">
        <v>0</v>
      </c>
      <c r="AN45" s="262">
        <f t="shared" si="5"/>
        <v>55784105.203378834</v>
      </c>
      <c r="AO45" s="208"/>
      <c r="AP45" s="948">
        <f>+AN45</f>
        <v>55784105.203378834</v>
      </c>
    </row>
    <row r="46" spans="1:44" s="322" customFormat="1" ht="13.5">
      <c r="A46" s="322">
        <f t="shared" si="1"/>
        <v>33</v>
      </c>
      <c r="B46" s="263" t="str">
        <f t="shared" si="7"/>
        <v>W Increased ROE</v>
      </c>
      <c r="C46" s="947">
        <f t="shared" si="6"/>
        <v>2014</v>
      </c>
      <c r="D46" s="325">
        <f>+D45</f>
        <v>0</v>
      </c>
      <c r="E46" s="325">
        <f>+E45</f>
        <v>0</v>
      </c>
      <c r="F46" s="325">
        <f t="shared" si="4"/>
        <v>0</v>
      </c>
      <c r="G46" s="265">
        <f>+D$24*(F46+D46)/2+E46</f>
        <v>0</v>
      </c>
      <c r="H46" s="325">
        <f>H45</f>
        <v>262865544.27515393</v>
      </c>
      <c r="I46" s="325">
        <f>I45</f>
        <v>30309924.887097068</v>
      </c>
      <c r="J46" s="325">
        <f>J45</f>
        <v>232555619.38805687</v>
      </c>
      <c r="K46" s="265">
        <f>+H$24*(J46+H46)/2</f>
        <v>42313238.14598361</v>
      </c>
      <c r="L46" s="325">
        <f>+L45</f>
        <v>0</v>
      </c>
      <c r="M46" s="325">
        <f>+M45</f>
        <v>0</v>
      </c>
      <c r="N46" s="325">
        <f t="shared" si="8"/>
        <v>0</v>
      </c>
      <c r="O46" s="265">
        <f>+L$24*(N46+L46)/2</f>
        <v>0</v>
      </c>
      <c r="P46" s="945">
        <f>+P45</f>
        <v>92325263.63438462</v>
      </c>
      <c r="Q46" s="264">
        <f>+Q45</f>
        <v>5176295.354844246</v>
      </c>
      <c r="R46" s="325">
        <f t="shared" si="9"/>
        <v>87148968.27954037</v>
      </c>
      <c r="S46" s="265">
        <f>+P$24*(R46+P46)/2</f>
        <v>15641959.156546121</v>
      </c>
      <c r="T46" s="325">
        <f>+T45</f>
        <v>3158242</v>
      </c>
      <c r="U46" s="325">
        <f>+U45</f>
        <v>230048.24116938468</v>
      </c>
      <c r="V46" s="325">
        <f>+V45</f>
        <v>2928193.7588306153</v>
      </c>
      <c r="W46" s="265">
        <f>+T$24*(V46+T46)/2</f>
        <v>498583.59953322547</v>
      </c>
      <c r="X46" s="945">
        <v>0</v>
      </c>
      <c r="Y46" s="325">
        <v>0</v>
      </c>
      <c r="Z46" s="325">
        <v>0</v>
      </c>
      <c r="AA46" s="265">
        <v>0</v>
      </c>
      <c r="AB46" s="945">
        <v>0</v>
      </c>
      <c r="AC46" s="325">
        <v>0</v>
      </c>
      <c r="AD46" s="325">
        <v>0</v>
      </c>
      <c r="AE46" s="265">
        <v>0</v>
      </c>
      <c r="AF46" s="945">
        <v>0</v>
      </c>
      <c r="AG46" s="325">
        <v>0</v>
      </c>
      <c r="AH46" s="325">
        <v>0</v>
      </c>
      <c r="AI46" s="265">
        <v>0</v>
      </c>
      <c r="AJ46" s="945">
        <v>0</v>
      </c>
      <c r="AK46" s="325">
        <v>0</v>
      </c>
      <c r="AL46" s="325">
        <v>0</v>
      </c>
      <c r="AM46" s="265">
        <v>0</v>
      </c>
      <c r="AN46" s="262">
        <f t="shared" si="5"/>
        <v>58453780.90206295</v>
      </c>
      <c r="AO46" s="949">
        <f>+AN46</f>
        <v>58453780.90206295</v>
      </c>
      <c r="AP46" s="950"/>
      <c r="AR46" s="951">
        <f>AO46-AP45</f>
        <v>2669675.6986841187</v>
      </c>
    </row>
    <row r="47" spans="1:42" ht="13.5">
      <c r="A47" s="381">
        <f t="shared" si="1"/>
        <v>34</v>
      </c>
      <c r="B47" s="232" t="str">
        <f t="shared" si="7"/>
        <v>FCR W base ROE</v>
      </c>
      <c r="C47" s="249">
        <f t="shared" si="6"/>
        <v>2015</v>
      </c>
      <c r="D47" s="325">
        <f>+F46*0</f>
        <v>0</v>
      </c>
      <c r="E47" s="325">
        <f>+D$26</f>
        <v>0</v>
      </c>
      <c r="F47" s="325">
        <f t="shared" si="4"/>
        <v>0</v>
      </c>
      <c r="G47" s="265">
        <f>+D$23*(D47+F47)/2+E47</f>
        <v>0</v>
      </c>
      <c r="H47" s="325">
        <v>262942889.70538458</v>
      </c>
      <c r="I47" s="325">
        <v>37160176.01124689</v>
      </c>
      <c r="J47" s="325">
        <f>+H47-I47</f>
        <v>225782713.6941377</v>
      </c>
      <c r="K47" s="265">
        <f>+H$23*(J47+H47)/2</f>
        <v>40035018.88169074</v>
      </c>
      <c r="L47" s="325">
        <f>18103518.0276923*0</f>
        <v>0</v>
      </c>
      <c r="M47" s="325">
        <f>+L$26</f>
        <v>0</v>
      </c>
      <c r="N47" s="325">
        <f aca="true" t="shared" si="10" ref="N47:N52">+L47-M47</f>
        <v>0</v>
      </c>
      <c r="O47" s="265">
        <f>+L$23*(L47+N47)/2</f>
        <v>0</v>
      </c>
      <c r="P47" s="945">
        <v>92576763.42207694</v>
      </c>
      <c r="Q47" s="325">
        <v>7582470.1913362695</v>
      </c>
      <c r="R47" s="325">
        <f t="shared" si="9"/>
        <v>84994293.23074067</v>
      </c>
      <c r="S47" s="265">
        <f>+P$23*(R47+P47)/2</f>
        <v>14546118.632802282</v>
      </c>
      <c r="T47" s="325">
        <v>3158242</v>
      </c>
      <c r="U47" s="325">
        <v>312332.58712500014</v>
      </c>
      <c r="V47" s="325">
        <f>+T47-U47</f>
        <v>2845909.412875</v>
      </c>
      <c r="W47" s="265">
        <f>+T$23*(V47+T47)/2</f>
        <v>491843.0986855389</v>
      </c>
      <c r="X47" s="945">
        <v>0</v>
      </c>
      <c r="Y47" s="325">
        <v>0</v>
      </c>
      <c r="Z47" s="325">
        <v>0</v>
      </c>
      <c r="AA47" s="265">
        <v>0</v>
      </c>
      <c r="AB47" s="945">
        <v>0</v>
      </c>
      <c r="AC47" s="325">
        <v>0</v>
      </c>
      <c r="AD47" s="325">
        <v>0</v>
      </c>
      <c r="AE47" s="265">
        <v>0</v>
      </c>
      <c r="AF47" s="945">
        <v>0</v>
      </c>
      <c r="AG47" s="325">
        <v>0</v>
      </c>
      <c r="AH47" s="325">
        <v>0</v>
      </c>
      <c r="AI47" s="265">
        <v>0</v>
      </c>
      <c r="AJ47" s="945">
        <v>0</v>
      </c>
      <c r="AK47" s="325">
        <v>0</v>
      </c>
      <c r="AL47" s="325">
        <v>0</v>
      </c>
      <c r="AM47" s="265">
        <v>0</v>
      </c>
      <c r="AN47" s="262">
        <f t="shared" si="5"/>
        <v>55072980.61317856</v>
      </c>
      <c r="AO47" s="207"/>
      <c r="AP47" s="250">
        <f>+AN47</f>
        <v>55072980.61317856</v>
      </c>
    </row>
    <row r="48" spans="1:44" ht="13.5">
      <c r="A48" s="381">
        <f t="shared" si="1"/>
        <v>35</v>
      </c>
      <c r="B48" s="232" t="str">
        <f t="shared" si="7"/>
        <v>W Increased ROE</v>
      </c>
      <c r="C48" s="249">
        <f t="shared" si="6"/>
        <v>2015</v>
      </c>
      <c r="D48" s="325">
        <f>+D47</f>
        <v>0</v>
      </c>
      <c r="E48" s="325">
        <f>+E47</f>
        <v>0</v>
      </c>
      <c r="F48" s="325">
        <f t="shared" si="4"/>
        <v>0</v>
      </c>
      <c r="G48" s="265">
        <f>+D$24*(F48+D48)/2+E48</f>
        <v>0</v>
      </c>
      <c r="H48" s="325">
        <f>+H47</f>
        <v>262942889.70538458</v>
      </c>
      <c r="I48" s="325">
        <f>I47</f>
        <v>37160176.01124689</v>
      </c>
      <c r="J48" s="325">
        <f>+J47</f>
        <v>225782713.6941377</v>
      </c>
      <c r="K48" s="265">
        <f>+H$24*(J48+H48)/2</f>
        <v>41741379.58050894</v>
      </c>
      <c r="L48" s="325">
        <f>+L47</f>
        <v>0</v>
      </c>
      <c r="M48" s="325">
        <f>+M47</f>
        <v>0</v>
      </c>
      <c r="N48" s="325">
        <f t="shared" si="10"/>
        <v>0</v>
      </c>
      <c r="O48" s="265">
        <f>+L$24*(N48+L48)/2</f>
        <v>0</v>
      </c>
      <c r="P48" s="945">
        <f>+P47</f>
        <v>92576763.42207694</v>
      </c>
      <c r="Q48" s="264">
        <f>+Q47</f>
        <v>7582470.1913362695</v>
      </c>
      <c r="R48" s="325">
        <f t="shared" si="9"/>
        <v>84994293.23074067</v>
      </c>
      <c r="S48" s="265">
        <f>+P$24*(R48+P48)/2</f>
        <v>15476089.162929054</v>
      </c>
      <c r="T48" s="325">
        <f>T47</f>
        <v>3158242</v>
      </c>
      <c r="U48" s="325">
        <f>U47</f>
        <v>312332.58712500014</v>
      </c>
      <c r="V48" s="325">
        <f>+V47</f>
        <v>2845909.412875</v>
      </c>
      <c r="W48" s="265">
        <f>+T$24*(V48+T48)/2</f>
        <v>491843.0986855389</v>
      </c>
      <c r="X48" s="945">
        <v>0</v>
      </c>
      <c r="Y48" s="325">
        <v>0</v>
      </c>
      <c r="Z48" s="325">
        <v>0</v>
      </c>
      <c r="AA48" s="265">
        <v>0</v>
      </c>
      <c r="AB48" s="945">
        <v>0</v>
      </c>
      <c r="AC48" s="325">
        <v>0</v>
      </c>
      <c r="AD48" s="325">
        <v>0</v>
      </c>
      <c r="AE48" s="265">
        <v>0</v>
      </c>
      <c r="AF48" s="945">
        <v>0</v>
      </c>
      <c r="AG48" s="325">
        <v>0</v>
      </c>
      <c r="AH48" s="325">
        <v>0</v>
      </c>
      <c r="AI48" s="265">
        <v>0</v>
      </c>
      <c r="AJ48" s="945">
        <v>0</v>
      </c>
      <c r="AK48" s="325">
        <v>0</v>
      </c>
      <c r="AL48" s="325">
        <v>0</v>
      </c>
      <c r="AM48" s="265">
        <v>0</v>
      </c>
      <c r="AN48" s="262">
        <f t="shared" si="5"/>
        <v>57709311.84212353</v>
      </c>
      <c r="AO48" s="251">
        <f>+AN48</f>
        <v>57709311.84212353</v>
      </c>
      <c r="AP48" s="231"/>
      <c r="AR48" s="951">
        <f>AO48-AP47</f>
        <v>2636331.228944972</v>
      </c>
    </row>
    <row r="49" spans="1:44" ht="13.5">
      <c r="A49" s="381">
        <f t="shared" si="1"/>
        <v>36</v>
      </c>
      <c r="B49" s="232" t="str">
        <f>+B47</f>
        <v>FCR W base ROE</v>
      </c>
      <c r="C49" s="249">
        <f t="shared" si="6"/>
        <v>2016</v>
      </c>
      <c r="D49" s="325">
        <f>+F48*0</f>
        <v>0</v>
      </c>
      <c r="E49" s="325">
        <f>+D$26</f>
        <v>0</v>
      </c>
      <c r="F49" s="325">
        <f>+D49-E49</f>
        <v>0</v>
      </c>
      <c r="G49" s="265">
        <f>+D$23*(D49+F49)/2+E49</f>
        <v>0</v>
      </c>
      <c r="H49" s="325">
        <v>262951630.8966924</v>
      </c>
      <c r="I49" s="325">
        <v>44101979.27459908</v>
      </c>
      <c r="J49" s="325">
        <f>+H49-I49</f>
        <v>218849651.62209332</v>
      </c>
      <c r="K49" s="265">
        <f>+H$23*(J49+H49)/2</f>
        <v>39467798.1032521</v>
      </c>
      <c r="L49" s="325">
        <f>22801062.5715385*0</f>
        <v>0</v>
      </c>
      <c r="M49" s="325">
        <f>+L$26</f>
        <v>0</v>
      </c>
      <c r="N49" s="325">
        <f>+L49-M49</f>
        <v>0</v>
      </c>
      <c r="O49" s="265">
        <f>+L$23*(L49+N49)/2</f>
        <v>0</v>
      </c>
      <c r="P49" s="945">
        <v>127551725.21976924</v>
      </c>
      <c r="Q49" s="264">
        <v>10344496.85351141</v>
      </c>
      <c r="R49" s="325">
        <f>+P49-Q49</f>
        <v>117207228.36625783</v>
      </c>
      <c r="S49" s="265">
        <f>+P$23*(R49+P49)/2</f>
        <v>20049961.08269993</v>
      </c>
      <c r="T49" s="325">
        <v>3158242</v>
      </c>
      <c r="U49" s="325">
        <v>395710.1703809999</v>
      </c>
      <c r="V49" s="325">
        <f>+T49-U49</f>
        <v>2762531.829619</v>
      </c>
      <c r="W49" s="265">
        <f>+T$23*(V49+T49)/2</f>
        <v>485013.0429308479</v>
      </c>
      <c r="X49" s="945">
        <v>0</v>
      </c>
      <c r="Y49" s="325">
        <v>0</v>
      </c>
      <c r="Z49" s="325">
        <v>0</v>
      </c>
      <c r="AA49" s="265">
        <v>0</v>
      </c>
      <c r="AB49" s="945">
        <v>0</v>
      </c>
      <c r="AC49" s="325">
        <v>0</v>
      </c>
      <c r="AD49" s="325">
        <v>0</v>
      </c>
      <c r="AE49" s="265">
        <v>0</v>
      </c>
      <c r="AF49" s="945">
        <v>0</v>
      </c>
      <c r="AG49" s="325">
        <v>0</v>
      </c>
      <c r="AH49" s="325">
        <v>0</v>
      </c>
      <c r="AI49" s="265">
        <v>0</v>
      </c>
      <c r="AJ49" s="945">
        <v>0</v>
      </c>
      <c r="AK49" s="325">
        <v>0</v>
      </c>
      <c r="AL49" s="325">
        <v>0</v>
      </c>
      <c r="AM49" s="265">
        <v>0</v>
      </c>
      <c r="AN49" s="262">
        <f t="shared" si="5"/>
        <v>60002772.22888287</v>
      </c>
      <c r="AO49" s="207"/>
      <c r="AP49" s="250">
        <f>+AN49</f>
        <v>60002772.22888287</v>
      </c>
      <c r="AR49" s="951"/>
    </row>
    <row r="50" spans="1:44" ht="13.5">
      <c r="A50" s="381">
        <f t="shared" si="1"/>
        <v>37</v>
      </c>
      <c r="B50" s="232" t="str">
        <f t="shared" si="7"/>
        <v>W Increased ROE</v>
      </c>
      <c r="C50" s="249">
        <f t="shared" si="6"/>
        <v>2016</v>
      </c>
      <c r="D50" s="325">
        <f>+D49</f>
        <v>0</v>
      </c>
      <c r="E50" s="325">
        <f>+E49</f>
        <v>0</v>
      </c>
      <c r="F50" s="325">
        <f>+D50-E50</f>
        <v>0</v>
      </c>
      <c r="G50" s="265">
        <f>+D$24*(F50+D50)/2+E50</f>
        <v>0</v>
      </c>
      <c r="H50" s="325">
        <f>+H49</f>
        <v>262951630.8966924</v>
      </c>
      <c r="I50" s="325">
        <f>+I49</f>
        <v>44101979.27459908</v>
      </c>
      <c r="J50" s="325">
        <f>+J49</f>
        <v>218849651.62209332</v>
      </c>
      <c r="K50" s="265">
        <f>+H$24*(J50+H50)/2</f>
        <v>41149982.88631161</v>
      </c>
      <c r="L50" s="325">
        <f>+L49</f>
        <v>0</v>
      </c>
      <c r="M50" s="325">
        <f>+M49</f>
        <v>0</v>
      </c>
      <c r="N50" s="325">
        <f>+L50-M50</f>
        <v>0</v>
      </c>
      <c r="O50" s="265">
        <f>+L$24*(N50+L50)/2</f>
        <v>0</v>
      </c>
      <c r="P50" s="945">
        <f>+P49</f>
        <v>127551725.21976924</v>
      </c>
      <c r="Q50" s="264">
        <f>+Q49</f>
        <v>10344496.85351141</v>
      </c>
      <c r="R50" s="325">
        <f>+P50-Q50</f>
        <v>117207228.36625783</v>
      </c>
      <c r="S50" s="265">
        <f>+P$24*(R50+P50)/2</f>
        <v>21331806.32319262</v>
      </c>
      <c r="T50" s="325">
        <f>T49</f>
        <v>3158242</v>
      </c>
      <c r="U50" s="325">
        <f>U49</f>
        <v>395710.1703809999</v>
      </c>
      <c r="V50" s="325">
        <f>+V49</f>
        <v>2762531.829619</v>
      </c>
      <c r="W50" s="265">
        <f>+T$24*(V50+T50)/2</f>
        <v>485013.0429308479</v>
      </c>
      <c r="X50" s="945">
        <v>0</v>
      </c>
      <c r="Y50" s="325">
        <v>0</v>
      </c>
      <c r="Z50" s="325">
        <v>0</v>
      </c>
      <c r="AA50" s="265">
        <v>0</v>
      </c>
      <c r="AB50" s="945">
        <v>0</v>
      </c>
      <c r="AC50" s="325">
        <v>0</v>
      </c>
      <c r="AD50" s="325">
        <v>0</v>
      </c>
      <c r="AE50" s="265">
        <v>0</v>
      </c>
      <c r="AF50" s="945">
        <v>0</v>
      </c>
      <c r="AG50" s="325">
        <v>0</v>
      </c>
      <c r="AH50" s="325">
        <v>0</v>
      </c>
      <c r="AI50" s="265">
        <v>0</v>
      </c>
      <c r="AJ50" s="945">
        <v>0</v>
      </c>
      <c r="AK50" s="325">
        <v>0</v>
      </c>
      <c r="AL50" s="325">
        <v>0</v>
      </c>
      <c r="AM50" s="265">
        <v>0</v>
      </c>
      <c r="AN50" s="262">
        <f t="shared" si="5"/>
        <v>62966802.25243508</v>
      </c>
      <c r="AO50" s="251">
        <f>+AN50</f>
        <v>62966802.25243508</v>
      </c>
      <c r="AP50" s="231"/>
      <c r="AR50" s="951"/>
    </row>
    <row r="51" spans="1:90" ht="13.5">
      <c r="A51" s="381">
        <f t="shared" si="1"/>
        <v>38</v>
      </c>
      <c r="B51" s="232" t="str">
        <f>+B47</f>
        <v>FCR W base ROE</v>
      </c>
      <c r="C51" s="249">
        <f>+C49+1</f>
        <v>2017</v>
      </c>
      <c r="D51" s="325">
        <f>+F48</f>
        <v>0</v>
      </c>
      <c r="E51" s="325">
        <f>+D$26</f>
        <v>0</v>
      </c>
      <c r="F51" s="325">
        <f t="shared" si="4"/>
        <v>0</v>
      </c>
      <c r="G51" s="265">
        <f>+D$23*(D51+F51)/2+E51</f>
        <v>0</v>
      </c>
      <c r="H51" s="325">
        <v>262950644.58900008</v>
      </c>
      <c r="I51" s="325">
        <v>51043886.945200905</v>
      </c>
      <c r="J51" s="325">
        <f>+H51-I51</f>
        <v>211906757.6437992</v>
      </c>
      <c r="K51" s="265">
        <f>+H$23*(J51+H51)/2</f>
        <v>38898975.0736667</v>
      </c>
      <c r="L51" s="325">
        <v>0</v>
      </c>
      <c r="M51" s="325">
        <f>+L$26</f>
        <v>0</v>
      </c>
      <c r="N51" s="325">
        <f t="shared" si="10"/>
        <v>0</v>
      </c>
      <c r="O51" s="265">
        <f>+L$23*(L51+N51)/2</f>
        <v>0</v>
      </c>
      <c r="P51" s="945">
        <v>156126480.16976923</v>
      </c>
      <c r="Q51" s="325">
        <v>14310453.816231012</v>
      </c>
      <c r="R51" s="325">
        <f t="shared" si="9"/>
        <v>141816026.35353822</v>
      </c>
      <c r="S51" s="265">
        <f>+P$23*(R51+P51)/2</f>
        <v>24406607.289137453</v>
      </c>
      <c r="T51" s="325">
        <v>3158242</v>
      </c>
      <c r="U51" s="325">
        <v>479087.75363699964</v>
      </c>
      <c r="V51" s="325">
        <f>+T51-U51</f>
        <v>2679154.2463630005</v>
      </c>
      <c r="W51" s="265">
        <f>+T$23*(V51+T51)/2</f>
        <v>478182.98717615707</v>
      </c>
      <c r="X51" s="945">
        <v>0</v>
      </c>
      <c r="Y51" s="325">
        <v>0</v>
      </c>
      <c r="Z51" s="325">
        <v>0</v>
      </c>
      <c r="AA51" s="265">
        <v>0</v>
      </c>
      <c r="AB51" s="945">
        <v>0</v>
      </c>
      <c r="AC51" s="325">
        <v>0</v>
      </c>
      <c r="AD51" s="325">
        <v>0</v>
      </c>
      <c r="AE51" s="265">
        <v>0</v>
      </c>
      <c r="AF51" s="945">
        <v>0</v>
      </c>
      <c r="AG51" s="325">
        <v>0</v>
      </c>
      <c r="AH51" s="325">
        <v>0</v>
      </c>
      <c r="AI51" s="265">
        <v>0</v>
      </c>
      <c r="AJ51" s="945">
        <v>0</v>
      </c>
      <c r="AK51" s="325">
        <v>0</v>
      </c>
      <c r="AL51" s="325">
        <v>0</v>
      </c>
      <c r="AM51" s="265">
        <v>0</v>
      </c>
      <c r="AN51" s="1232">
        <f t="shared" si="5"/>
        <v>63783765.34998031</v>
      </c>
      <c r="AO51" s="208"/>
      <c r="AP51" s="948">
        <f>+AN51</f>
        <v>63783765.34998031</v>
      </c>
      <c r="AQ51" s="322"/>
      <c r="AR51" s="951"/>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row>
    <row r="52" spans="1:90" ht="13.5">
      <c r="A52" s="381">
        <f t="shared" si="1"/>
        <v>39</v>
      </c>
      <c r="B52" s="232" t="str">
        <f>+B48</f>
        <v>W Increased ROE</v>
      </c>
      <c r="C52" s="249">
        <f>+C50+1</f>
        <v>2017</v>
      </c>
      <c r="D52" s="325">
        <f>+D51</f>
        <v>0</v>
      </c>
      <c r="E52" s="325">
        <f>+E51</f>
        <v>0</v>
      </c>
      <c r="F52" s="325">
        <f t="shared" si="4"/>
        <v>0</v>
      </c>
      <c r="G52" s="265">
        <f>+D$24*(F52+D52)/2+E52</f>
        <v>0</v>
      </c>
      <c r="H52" s="325">
        <f>+H51</f>
        <v>262950644.58900008</v>
      </c>
      <c r="I52" s="325">
        <f>I51</f>
        <v>51043886.945200905</v>
      </c>
      <c r="J52" s="325">
        <f>+J51</f>
        <v>211906757.6437992</v>
      </c>
      <c r="K52" s="265">
        <f>+H$24*(J52+H52)/2</f>
        <v>40556915.65029445</v>
      </c>
      <c r="L52" s="325">
        <f>+L51</f>
        <v>0</v>
      </c>
      <c r="M52" s="325">
        <f>+M51</f>
        <v>0</v>
      </c>
      <c r="N52" s="325">
        <f t="shared" si="10"/>
        <v>0</v>
      </c>
      <c r="O52" s="265">
        <f>+L$24*(N52+L52)/2</f>
        <v>0</v>
      </c>
      <c r="P52" s="945">
        <f>+P51</f>
        <v>156126480.16976923</v>
      </c>
      <c r="Q52" s="264">
        <f>+Q51</f>
        <v>14310453.816231012</v>
      </c>
      <c r="R52" s="325">
        <f t="shared" si="9"/>
        <v>141816026.35353822</v>
      </c>
      <c r="S52" s="265">
        <f>+P$24*(R52+P52)/2</f>
        <v>25966984.053018037</v>
      </c>
      <c r="T52" s="325">
        <f>T51</f>
        <v>3158242</v>
      </c>
      <c r="U52" s="325">
        <f>U51</f>
        <v>479087.75363699964</v>
      </c>
      <c r="V52" s="325">
        <f>+V51</f>
        <v>2679154.2463630005</v>
      </c>
      <c r="W52" s="265">
        <f>+T$24*(V52+T52)/2</f>
        <v>478182.98717615707</v>
      </c>
      <c r="X52" s="945">
        <v>0</v>
      </c>
      <c r="Y52" s="325">
        <v>0</v>
      </c>
      <c r="Z52" s="325">
        <v>0</v>
      </c>
      <c r="AA52" s="265">
        <v>0</v>
      </c>
      <c r="AB52" s="945">
        <v>0</v>
      </c>
      <c r="AC52" s="325">
        <v>0</v>
      </c>
      <c r="AD52" s="325">
        <v>0</v>
      </c>
      <c r="AE52" s="265">
        <v>0</v>
      </c>
      <c r="AF52" s="945">
        <v>0</v>
      </c>
      <c r="AG52" s="325">
        <v>0</v>
      </c>
      <c r="AH52" s="325">
        <v>0</v>
      </c>
      <c r="AI52" s="265">
        <v>0</v>
      </c>
      <c r="AJ52" s="945">
        <v>0</v>
      </c>
      <c r="AK52" s="325">
        <v>0</v>
      </c>
      <c r="AL52" s="325">
        <v>0</v>
      </c>
      <c r="AM52" s="265">
        <v>0</v>
      </c>
      <c r="AN52" s="1232">
        <f t="shared" si="5"/>
        <v>67002082.690488644</v>
      </c>
      <c r="AO52" s="949">
        <f>+AN52</f>
        <v>67002082.690488644</v>
      </c>
      <c r="AP52" s="950"/>
      <c r="AQ52" s="322"/>
      <c r="AR52" s="951">
        <f>AO52-AP51</f>
        <v>3218317.3405083343</v>
      </c>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row>
    <row r="53" spans="1:42" s="322" customFormat="1" ht="13.5">
      <c r="A53" s="322">
        <f t="shared" si="1"/>
        <v>40</v>
      </c>
      <c r="B53" s="263" t="str">
        <f t="shared" si="7"/>
        <v>FCR W base ROE</v>
      </c>
      <c r="C53" s="947">
        <f t="shared" si="6"/>
        <v>2018</v>
      </c>
      <c r="D53" s="325">
        <f>+F52</f>
        <v>0</v>
      </c>
      <c r="E53" s="325">
        <f>+D$26</f>
        <v>0</v>
      </c>
      <c r="F53" s="325">
        <f t="shared" si="4"/>
        <v>0</v>
      </c>
      <c r="G53" s="265">
        <f>+D$23*(D53+F53)/2+E53</f>
        <v>0</v>
      </c>
      <c r="H53" s="325">
        <v>262950644.58900008</v>
      </c>
      <c r="I53" s="325">
        <v>57985782.8429489</v>
      </c>
      <c r="J53" s="325">
        <f>+H53-I53</f>
        <v>204964861.7460512</v>
      </c>
      <c r="K53" s="265">
        <f>+H$23*(J53+H53)/2</f>
        <v>38330314.59955219</v>
      </c>
      <c r="L53" s="325">
        <v>0</v>
      </c>
      <c r="M53" s="325">
        <f>+L$26</f>
        <v>0</v>
      </c>
      <c r="N53" s="325">
        <f aca="true" t="shared" si="11" ref="N53:N60">+L53-M53</f>
        <v>0</v>
      </c>
      <c r="O53" s="265">
        <f>+L$23*(L53+N53)/2</f>
        <v>0</v>
      </c>
      <c r="P53" s="945">
        <v>155913692.67899996</v>
      </c>
      <c r="Q53" s="325">
        <v>18427675.523202304</v>
      </c>
      <c r="R53" s="325">
        <f aca="true" t="shared" si="12" ref="R53:R60">+P53-Q53</f>
        <v>137486017.15579766</v>
      </c>
      <c r="S53" s="265">
        <f>+P$23*(R53+P53)/2</f>
        <v>24034474.235466644</v>
      </c>
      <c r="T53" s="325">
        <v>3158242</v>
      </c>
      <c r="U53" s="325">
        <v>562465.3368929992</v>
      </c>
      <c r="V53" s="325">
        <f>+T53-U53</f>
        <v>2595776.6631070008</v>
      </c>
      <c r="W53" s="265">
        <f>+T$23*(V53+T53)/2</f>
        <v>471352.9314214661</v>
      </c>
      <c r="X53" s="325">
        <v>21554.681538461537</v>
      </c>
      <c r="Y53" s="325">
        <f>+X$26</f>
        <v>0</v>
      </c>
      <c r="Z53" s="325">
        <f aca="true" t="shared" si="13" ref="Z53:Z60">+X53-Y53</f>
        <v>21554.681538461537</v>
      </c>
      <c r="AA53" s="265">
        <f>+X$23*(X53+Z53)/2</f>
        <v>3531.3970718071937</v>
      </c>
      <c r="AB53" s="325">
        <v>0</v>
      </c>
      <c r="AC53" s="325">
        <v>0</v>
      </c>
      <c r="AD53" s="325">
        <f>+AB53-AC53</f>
        <v>0</v>
      </c>
      <c r="AE53" s="265">
        <f>+AB$23*(AD53+AB53)/2</f>
        <v>0</v>
      </c>
      <c r="AF53" s="325">
        <v>2004.1353846153847</v>
      </c>
      <c r="AG53" s="325">
        <f>+AF$26</f>
        <v>0</v>
      </c>
      <c r="AH53" s="325">
        <f aca="true" t="shared" si="14" ref="AH53:AH60">+AF53-AG53</f>
        <v>2004.1353846153847</v>
      </c>
      <c r="AI53" s="265">
        <f>+AF$23*(AF53+AH53)/2</f>
        <v>328.3462024761189</v>
      </c>
      <c r="AJ53" s="325">
        <v>0</v>
      </c>
      <c r="AK53" s="325">
        <v>0</v>
      </c>
      <c r="AL53" s="325">
        <f>+AJ53-AK53</f>
        <v>0</v>
      </c>
      <c r="AM53" s="265">
        <f>+AJ$23*(AL53+AJ53)/2</f>
        <v>0</v>
      </c>
      <c r="AN53" s="1232">
        <f t="shared" si="5"/>
        <v>62840001.50971459</v>
      </c>
      <c r="AO53" s="208"/>
      <c r="AP53" s="948">
        <f>+AN53</f>
        <v>62840001.50971459</v>
      </c>
    </row>
    <row r="54" spans="1:42" s="322" customFormat="1" ht="13.5">
      <c r="A54" s="322">
        <f t="shared" si="1"/>
        <v>41</v>
      </c>
      <c r="B54" s="263" t="str">
        <f t="shared" si="7"/>
        <v>W Increased ROE</v>
      </c>
      <c r="C54" s="947">
        <f t="shared" si="6"/>
        <v>2018</v>
      </c>
      <c r="D54" s="325">
        <f>+D53</f>
        <v>0</v>
      </c>
      <c r="E54" s="325">
        <f>+E53</f>
        <v>0</v>
      </c>
      <c r="F54" s="325">
        <f t="shared" si="4"/>
        <v>0</v>
      </c>
      <c r="G54" s="265">
        <f>+D$24*(F54+D54)/2+E54</f>
        <v>0</v>
      </c>
      <c r="H54" s="325">
        <f>+H53</f>
        <v>262950644.58900008</v>
      </c>
      <c r="I54" s="325">
        <f>I53</f>
        <v>57985782.8429489</v>
      </c>
      <c r="J54" s="325">
        <f>+J53</f>
        <v>204964861.7460512</v>
      </c>
      <c r="K54" s="265">
        <f>+H$24*(J54+H54)/2</f>
        <v>39964017.898139246</v>
      </c>
      <c r="L54" s="325">
        <f>+L53</f>
        <v>0</v>
      </c>
      <c r="M54" s="325">
        <f>+M53</f>
        <v>0</v>
      </c>
      <c r="N54" s="325">
        <f t="shared" si="11"/>
        <v>0</v>
      </c>
      <c r="O54" s="265">
        <f>+L$24*(N54+L54)/2</f>
        <v>0</v>
      </c>
      <c r="P54" s="945">
        <f>+P53</f>
        <v>155913692.67899996</v>
      </c>
      <c r="Q54" s="264">
        <f>+Q53</f>
        <v>18427675.523202304</v>
      </c>
      <c r="R54" s="325">
        <f t="shared" si="12"/>
        <v>137486017.15579766</v>
      </c>
      <c r="S54" s="265">
        <f>+P$24*(R54+P54)/2</f>
        <v>25571059.582410786</v>
      </c>
      <c r="T54" s="325">
        <f>T53</f>
        <v>3158242</v>
      </c>
      <c r="U54" s="325">
        <f>U53</f>
        <v>562465.3368929992</v>
      </c>
      <c r="V54" s="325">
        <f>+V53</f>
        <v>2595776.6631070008</v>
      </c>
      <c r="W54" s="265">
        <f>+T$24*(V54+T54)/2</f>
        <v>471352.9314214661</v>
      </c>
      <c r="X54" s="325">
        <f>+X53</f>
        <v>21554.681538461537</v>
      </c>
      <c r="Y54" s="325">
        <f>+Y53</f>
        <v>0</v>
      </c>
      <c r="Z54" s="325">
        <f t="shared" si="13"/>
        <v>21554.681538461537</v>
      </c>
      <c r="AA54" s="265">
        <f>+X$24*(Z54+X54)/2</f>
        <v>3531.3970718071937</v>
      </c>
      <c r="AB54" s="325">
        <f>+AB53</f>
        <v>0</v>
      </c>
      <c r="AC54" s="325">
        <f>AC53</f>
        <v>0</v>
      </c>
      <c r="AD54" s="325">
        <f>+AD53</f>
        <v>0</v>
      </c>
      <c r="AE54" s="265">
        <f>+AB$24*(AD54+AB54)/2</f>
        <v>0</v>
      </c>
      <c r="AF54" s="325">
        <f>+AF53</f>
        <v>2004.1353846153847</v>
      </c>
      <c r="AG54" s="325">
        <f>+AG53</f>
        <v>0</v>
      </c>
      <c r="AH54" s="325">
        <f t="shared" si="14"/>
        <v>2004.1353846153847</v>
      </c>
      <c r="AI54" s="265">
        <f>+AF$24*(AH54+AF54)/2</f>
        <v>328.3462024761189</v>
      </c>
      <c r="AJ54" s="325">
        <f>+AJ53</f>
        <v>0</v>
      </c>
      <c r="AK54" s="325">
        <f>AK53</f>
        <v>0</v>
      </c>
      <c r="AL54" s="325">
        <f>+AL53</f>
        <v>0</v>
      </c>
      <c r="AM54" s="265">
        <f>+AJ$24*(AL54+AJ54)/2</f>
        <v>0</v>
      </c>
      <c r="AN54" s="1232">
        <f t="shared" si="5"/>
        <v>66010290.15524579</v>
      </c>
      <c r="AO54" s="949">
        <f>+AN54</f>
        <v>66010290.15524579</v>
      </c>
      <c r="AP54" s="950"/>
    </row>
    <row r="55" spans="1:42" s="322" customFormat="1" ht="13.5">
      <c r="A55" s="322">
        <f t="shared" si="1"/>
        <v>42</v>
      </c>
      <c r="B55" s="263" t="str">
        <f t="shared" si="7"/>
        <v>FCR W base ROE</v>
      </c>
      <c r="C55" s="947">
        <f t="shared" si="6"/>
        <v>2019</v>
      </c>
      <c r="D55" s="325">
        <f>+F54</f>
        <v>0</v>
      </c>
      <c r="E55" s="325">
        <f>+D$26</f>
        <v>0</v>
      </c>
      <c r="F55" s="325">
        <f>+D55-E55</f>
        <v>0</v>
      </c>
      <c r="G55" s="265">
        <f>+D$23*(D55+F55)/2+E55</f>
        <v>0</v>
      </c>
      <c r="H55" s="325">
        <v>262950644.58900008</v>
      </c>
      <c r="I55" s="325">
        <v>64927680.92569688</v>
      </c>
      <c r="J55" s="325">
        <f>+H55-I55</f>
        <v>198022963.6633032</v>
      </c>
      <c r="K55" s="265">
        <f>+H$23*(J55+H55)/2</f>
        <v>37761653.946448654</v>
      </c>
      <c r="L55" s="325">
        <v>0</v>
      </c>
      <c r="M55" s="325">
        <v>0</v>
      </c>
      <c r="N55" s="325">
        <f t="shared" si="11"/>
        <v>0</v>
      </c>
      <c r="O55" s="265">
        <f>+L$23*(L55+N55)/2</f>
        <v>0</v>
      </c>
      <c r="P55" s="945">
        <v>155913692.67899996</v>
      </c>
      <c r="Q55" s="325">
        <v>22543796.725927915</v>
      </c>
      <c r="R55" s="325">
        <f t="shared" si="12"/>
        <v>133369895.95307204</v>
      </c>
      <c r="S55" s="265">
        <f>+P$23*(R55+P55)/2</f>
        <v>23697293.23057516</v>
      </c>
      <c r="T55" s="325">
        <v>3158242</v>
      </c>
      <c r="U55" s="325">
        <v>645842.9201489991</v>
      </c>
      <c r="V55" s="325">
        <f>+T55-U55</f>
        <v>2512399.079851001</v>
      </c>
      <c r="W55" s="265">
        <f>+T$23*(V55+T55)/2</f>
        <v>464522.8756667753</v>
      </c>
      <c r="X55" s="325">
        <v>2754574.397692308</v>
      </c>
      <c r="Y55" s="325">
        <v>0</v>
      </c>
      <c r="Z55" s="325">
        <f t="shared" si="13"/>
        <v>2754574.397692308</v>
      </c>
      <c r="AA55" s="265">
        <f>+X$23*(X55+Z55)/2</f>
        <v>451293.8845664792</v>
      </c>
      <c r="AB55" s="325">
        <v>0</v>
      </c>
      <c r="AC55" s="325">
        <v>0</v>
      </c>
      <c r="AD55" s="325">
        <f>+AB55-AC55</f>
        <v>0</v>
      </c>
      <c r="AE55" s="265">
        <f>+AB$23*(AD55+AB55)/2</f>
        <v>0</v>
      </c>
      <c r="AF55" s="325">
        <v>1188866.1884615384</v>
      </c>
      <c r="AG55" s="325">
        <v>0</v>
      </c>
      <c r="AH55" s="325">
        <f t="shared" si="14"/>
        <v>1188866.1884615384</v>
      </c>
      <c r="AI55" s="265">
        <f>+AF$23*(AF55+AH55)/2</f>
        <v>194777.10998477196</v>
      </c>
      <c r="AJ55" s="325">
        <v>12737.962307692309</v>
      </c>
      <c r="AK55" s="325">
        <v>0</v>
      </c>
      <c r="AL55" s="325">
        <f>+AJ55-AK55</f>
        <v>12737.962307692309</v>
      </c>
      <c r="AM55" s="265">
        <f>+AJ$23*(AL55+AJ55)/2</f>
        <v>2086.9156760172514</v>
      </c>
      <c r="AN55" s="1232">
        <f t="shared" si="5"/>
        <v>62571627.96291786</v>
      </c>
      <c r="AO55" s="208"/>
      <c r="AP55" s="948">
        <f>+AN55</f>
        <v>62571627.96291786</v>
      </c>
    </row>
    <row r="56" spans="1:42" s="322" customFormat="1" ht="13.5">
      <c r="A56" s="322">
        <f t="shared" si="1"/>
        <v>43</v>
      </c>
      <c r="B56" s="263" t="str">
        <f t="shared" si="7"/>
        <v>W Increased ROE</v>
      </c>
      <c r="C56" s="947">
        <f t="shared" si="6"/>
        <v>2019</v>
      </c>
      <c r="D56" s="325">
        <f>+D55</f>
        <v>0</v>
      </c>
      <c r="E56" s="325">
        <f>+E55</f>
        <v>0</v>
      </c>
      <c r="F56" s="325">
        <f>+D56-E56</f>
        <v>0</v>
      </c>
      <c r="G56" s="265">
        <f>+D$24*(F56+D56)/2+E56</f>
        <v>0</v>
      </c>
      <c r="H56" s="325">
        <f>+H55</f>
        <v>262950644.58900008</v>
      </c>
      <c r="I56" s="325">
        <f>I55</f>
        <v>64927680.92569688</v>
      </c>
      <c r="J56" s="325">
        <f>+J55</f>
        <v>198022963.6633032</v>
      </c>
      <c r="K56" s="265">
        <f>+H$24*(J56+H56)/2</f>
        <v>39371119.95936619</v>
      </c>
      <c r="L56" s="325">
        <f>+L55</f>
        <v>0</v>
      </c>
      <c r="M56" s="325">
        <f>+M55</f>
        <v>0</v>
      </c>
      <c r="N56" s="325">
        <f t="shared" si="11"/>
        <v>0</v>
      </c>
      <c r="O56" s="265">
        <f>+L$24*(N56+L56)/2</f>
        <v>0</v>
      </c>
      <c r="P56" s="945">
        <f>+P55</f>
        <v>155913692.67899996</v>
      </c>
      <c r="Q56" s="264">
        <f>+Q55</f>
        <v>22543796.725927915</v>
      </c>
      <c r="R56" s="325">
        <f t="shared" si="12"/>
        <v>133369895.95307204</v>
      </c>
      <c r="S56" s="265">
        <f>+P$24*(R56+P56)/2</f>
        <v>25212321.734365243</v>
      </c>
      <c r="T56" s="325">
        <f>T55</f>
        <v>3158242</v>
      </c>
      <c r="U56" s="325">
        <f>U55</f>
        <v>645842.9201489991</v>
      </c>
      <c r="V56" s="325">
        <f>+V55</f>
        <v>2512399.079851001</v>
      </c>
      <c r="W56" s="265">
        <f>+T$24*(V56+T56)/2</f>
        <v>464522.8756667753</v>
      </c>
      <c r="X56" s="325">
        <f>+X55</f>
        <v>2754574.397692308</v>
      </c>
      <c r="Y56" s="325">
        <f>+Y55</f>
        <v>0</v>
      </c>
      <c r="Z56" s="325">
        <f t="shared" si="13"/>
        <v>2754574.397692308</v>
      </c>
      <c r="AA56" s="265">
        <f>+X$24*(Z56+X56)/2</f>
        <v>451293.8845664792</v>
      </c>
      <c r="AB56" s="325">
        <f>+AB55</f>
        <v>0</v>
      </c>
      <c r="AC56" s="325">
        <f>AC55</f>
        <v>0</v>
      </c>
      <c r="AD56" s="325">
        <f>+AD55</f>
        <v>0</v>
      </c>
      <c r="AE56" s="265">
        <f>+AB$24*(AD56+AB56)/2</f>
        <v>0</v>
      </c>
      <c r="AF56" s="325">
        <f>+AF55</f>
        <v>1188866.1884615384</v>
      </c>
      <c r="AG56" s="325">
        <f>+AG55</f>
        <v>0</v>
      </c>
      <c r="AH56" s="325">
        <f t="shared" si="14"/>
        <v>1188866.1884615384</v>
      </c>
      <c r="AI56" s="265">
        <f>+AF$24*(AH56+AF56)/2</f>
        <v>194777.10998477196</v>
      </c>
      <c r="AJ56" s="325">
        <f>+AJ55</f>
        <v>12737.962307692309</v>
      </c>
      <c r="AK56" s="325">
        <f>AK55</f>
        <v>0</v>
      </c>
      <c r="AL56" s="325">
        <f>+AL55</f>
        <v>12737.962307692309</v>
      </c>
      <c r="AM56" s="265">
        <f>+AJ$24*(AL56+AJ56)/2</f>
        <v>2086.9156760172514</v>
      </c>
      <c r="AN56" s="1232">
        <f t="shared" si="5"/>
        <v>65696122.47962547</v>
      </c>
      <c r="AO56" s="949">
        <f>+AN56</f>
        <v>65696122.47962547</v>
      </c>
      <c r="AP56" s="950"/>
    </row>
    <row r="57" spans="1:42" s="322" customFormat="1" ht="13.5">
      <c r="A57" s="322">
        <f t="shared" si="1"/>
        <v>44</v>
      </c>
      <c r="B57" s="263" t="str">
        <f t="shared" si="7"/>
        <v>FCR W base ROE</v>
      </c>
      <c r="C57" s="947">
        <f t="shared" si="6"/>
        <v>2020</v>
      </c>
      <c r="D57" s="325">
        <f>+F56</f>
        <v>0</v>
      </c>
      <c r="E57" s="325">
        <f>+D$26</f>
        <v>0</v>
      </c>
      <c r="F57" s="325">
        <f>+D57-E57</f>
        <v>0</v>
      </c>
      <c r="G57" s="265">
        <f>+D$23*(D57+F57)/2+E57</f>
        <v>0</v>
      </c>
      <c r="H57" s="325">
        <f>'6- Est &amp; Reconcile WS'!V98</f>
        <v>262950644.58900008</v>
      </c>
      <c r="I57" s="325">
        <f>'6- Est &amp; Reconcile WS'!K122</f>
        <v>71869577.91594489</v>
      </c>
      <c r="J57" s="325">
        <f>+H57-I57</f>
        <v>191081066.67305517</v>
      </c>
      <c r="K57" s="265">
        <f>+H$23*(J57+H57)/2</f>
        <v>37192993.38283964</v>
      </c>
      <c r="L57" s="325">
        <f>+'6- Est &amp; Reconcile WS'!X198</f>
        <v>0</v>
      </c>
      <c r="M57" s="325">
        <f>+L$26</f>
        <v>0</v>
      </c>
      <c r="N57" s="325">
        <f t="shared" si="11"/>
        <v>0</v>
      </c>
      <c r="O57" s="265">
        <f>+L$23*(L57+N57)/2</f>
        <v>0</v>
      </c>
      <c r="P57" s="945">
        <f>'6- Est &amp; Reconcile WS'!W98</f>
        <v>155913692.67899996</v>
      </c>
      <c r="Q57" s="325">
        <f>'6- Est &amp; Reconcile WS'!O122</f>
        <v>26659918.186253533</v>
      </c>
      <c r="R57" s="325">
        <f t="shared" si="12"/>
        <v>129253774.49274643</v>
      </c>
      <c r="S57" s="265">
        <f>+P$23*(R57+P57)/2</f>
        <v>23360112.204581812</v>
      </c>
      <c r="T57" s="325">
        <f>'6- Est &amp; Reconcile WS'!Y98</f>
        <v>3158242</v>
      </c>
      <c r="U57" s="325">
        <f>'6- Est &amp; Reconcile WS'!S122</f>
        <v>729220.5034049989</v>
      </c>
      <c r="V57" s="325">
        <f>+T57-U57</f>
        <v>2429021.496595001</v>
      </c>
      <c r="W57" s="265">
        <f>+T$23*(V57+T57)/2</f>
        <v>457692.8199120843</v>
      </c>
      <c r="X57" s="325">
        <f>+'6- Est &amp; Reconcile WS'!AA98</f>
        <v>14957741.487692313</v>
      </c>
      <c r="Y57" s="325">
        <f>+X$26</f>
        <v>0</v>
      </c>
      <c r="Z57" s="325">
        <f t="shared" si="13"/>
        <v>14957741.487692313</v>
      </c>
      <c r="AA57" s="265">
        <f>+X$23*(X57+Z57)/2</f>
        <v>2450591.7378659523</v>
      </c>
      <c r="AB57" s="325">
        <f>'6- Est &amp; Reconcile WS'!Z98</f>
        <v>9118312.539230768</v>
      </c>
      <c r="AC57" s="325">
        <f>'6- Est &amp; Reconcile WS'!W122</f>
        <v>78323.72527861538</v>
      </c>
      <c r="AD57" s="325">
        <f>+AB57-AC57</f>
        <v>9039988.813952152</v>
      </c>
      <c r="AE57" s="265">
        <f>+AB$23*(AD57+AB57)/2</f>
        <v>1487476.6790964063</v>
      </c>
      <c r="AF57" s="325">
        <f>+'6- Est &amp; Reconcile WS'!AC98</f>
        <v>5098624.588461538</v>
      </c>
      <c r="AG57" s="325">
        <f>+AF$26</f>
        <v>0</v>
      </c>
      <c r="AH57" s="325">
        <f t="shared" si="14"/>
        <v>5098624.588461538</v>
      </c>
      <c r="AI57" s="265">
        <f>+AF$23*(AF57+AH57)/2</f>
        <v>835329.8057226763</v>
      </c>
      <c r="AJ57" s="325">
        <f>'6- Est &amp; Reconcile WS'!AB98</f>
        <v>175747.93846153846</v>
      </c>
      <c r="AK57" s="325">
        <f>'6- Est &amp; Reconcile WS'!AA122</f>
        <v>1510.4320473846155</v>
      </c>
      <c r="AL57" s="325">
        <f>+AJ57-AK57</f>
        <v>174237.50641415385</v>
      </c>
      <c r="AM57" s="265">
        <f>+AJ$23*(AL57+AJ57)/2</f>
        <v>28669.817575448455</v>
      </c>
      <c r="AN57" s="1232">
        <f t="shared" si="5"/>
        <v>65812866.447594024</v>
      </c>
      <c r="AO57" s="208"/>
      <c r="AP57" s="948">
        <f>+AN57</f>
        <v>65812866.447594024</v>
      </c>
    </row>
    <row r="58" spans="1:42" s="322" customFormat="1" ht="13.5">
      <c r="A58" s="322">
        <f t="shared" si="1"/>
        <v>45</v>
      </c>
      <c r="B58" s="263" t="str">
        <f t="shared" si="7"/>
        <v>W Increased ROE</v>
      </c>
      <c r="C58" s="947">
        <f t="shared" si="6"/>
        <v>2020</v>
      </c>
      <c r="D58" s="325">
        <f>+D57</f>
        <v>0</v>
      </c>
      <c r="E58" s="325">
        <f>+E57</f>
        <v>0</v>
      </c>
      <c r="F58" s="325">
        <f>+D58-E58</f>
        <v>0</v>
      </c>
      <c r="G58" s="265">
        <f>+D$24*(F58+D58)/2+E58</f>
        <v>0</v>
      </c>
      <c r="H58" s="325">
        <f>+H57</f>
        <v>262950644.58900008</v>
      </c>
      <c r="I58" s="325">
        <f>I57</f>
        <v>71869577.91594489</v>
      </c>
      <c r="J58" s="325">
        <f>+J57</f>
        <v>191081066.67305517</v>
      </c>
      <c r="K58" s="265">
        <f>+H$24*(J58+H58)/2</f>
        <v>38778222.11390206</v>
      </c>
      <c r="L58" s="325">
        <f>+L57</f>
        <v>0</v>
      </c>
      <c r="M58" s="325">
        <f>+M57</f>
        <v>0</v>
      </c>
      <c r="N58" s="325">
        <f t="shared" si="11"/>
        <v>0</v>
      </c>
      <c r="O58" s="265">
        <f>+L$24*(N58+L58)/2</f>
        <v>0</v>
      </c>
      <c r="P58" s="945">
        <f>+P57</f>
        <v>155913692.67899996</v>
      </c>
      <c r="Q58" s="264">
        <f>+Q57</f>
        <v>26659918.186253533</v>
      </c>
      <c r="R58" s="325">
        <f t="shared" si="12"/>
        <v>129253774.49274643</v>
      </c>
      <c r="S58" s="265">
        <f>+P$24*(R58+P58)/2</f>
        <v>24853583.863868747</v>
      </c>
      <c r="T58" s="325">
        <f>T57</f>
        <v>3158242</v>
      </c>
      <c r="U58" s="325">
        <f>U57</f>
        <v>729220.5034049989</v>
      </c>
      <c r="V58" s="325">
        <f>+V57</f>
        <v>2429021.496595001</v>
      </c>
      <c r="W58" s="265">
        <f>+T$24*(V58+T58)/2</f>
        <v>457692.8199120843</v>
      </c>
      <c r="X58" s="325">
        <f>+X57</f>
        <v>14957741.487692313</v>
      </c>
      <c r="Y58" s="325">
        <f>+Y57</f>
        <v>0</v>
      </c>
      <c r="Z58" s="325">
        <f t="shared" si="13"/>
        <v>14957741.487692313</v>
      </c>
      <c r="AA58" s="265">
        <f>+X$24*(Z58+X58)/2</f>
        <v>2450591.7378659523</v>
      </c>
      <c r="AB58" s="325">
        <f>+AB57</f>
        <v>9118312.539230768</v>
      </c>
      <c r="AC58" s="325">
        <f>AC57</f>
        <v>78323.72527861538</v>
      </c>
      <c r="AD58" s="325">
        <f>+AD57</f>
        <v>9039988.813952152</v>
      </c>
      <c r="AE58" s="265">
        <f>+AB$24*(AD58+AB58)/2</f>
        <v>1487476.6790964063</v>
      </c>
      <c r="AF58" s="325">
        <f>+AF57</f>
        <v>5098624.588461538</v>
      </c>
      <c r="AG58" s="325">
        <f>+AG57</f>
        <v>0</v>
      </c>
      <c r="AH58" s="325">
        <f t="shared" si="14"/>
        <v>5098624.588461538</v>
      </c>
      <c r="AI58" s="265">
        <f>+AF$24*(AH58+AF58)/2</f>
        <v>835329.8057226763</v>
      </c>
      <c r="AJ58" s="325">
        <f>+AJ57</f>
        <v>175747.93846153846</v>
      </c>
      <c r="AK58" s="325">
        <f>AK57</f>
        <v>1510.4320473846155</v>
      </c>
      <c r="AL58" s="325">
        <f>+AL57</f>
        <v>174237.50641415385</v>
      </c>
      <c r="AM58" s="265">
        <f>+AJ$24*(AL58+AJ58)/2</f>
        <v>28669.817575448455</v>
      </c>
      <c r="AN58" s="1232">
        <f t="shared" si="5"/>
        <v>68891566.83794339</v>
      </c>
      <c r="AO58" s="949">
        <f>+AN58</f>
        <v>68891566.83794339</v>
      </c>
      <c r="AP58" s="950"/>
    </row>
    <row r="59" spans="1:42" s="322" customFormat="1" ht="13.5">
      <c r="A59" s="322">
        <f t="shared" si="1"/>
        <v>46</v>
      </c>
      <c r="B59" s="263" t="str">
        <f t="shared" si="7"/>
        <v>FCR W base ROE</v>
      </c>
      <c r="C59" s="947">
        <f t="shared" si="6"/>
        <v>2021</v>
      </c>
      <c r="D59" s="325">
        <f>+F58</f>
        <v>0</v>
      </c>
      <c r="E59" s="325">
        <f>+D$26</f>
        <v>0</v>
      </c>
      <c r="F59" s="325">
        <f t="shared" si="4"/>
        <v>0</v>
      </c>
      <c r="G59" s="265">
        <f>+D$23*(D59+F59)/2+E59</f>
        <v>0</v>
      </c>
      <c r="H59" s="325">
        <f>IF('Appendix A'!I1=1,0,'7 - Cap Add WS'!H27)</f>
        <v>262950644</v>
      </c>
      <c r="I59" s="325">
        <f>IF('Appendix A'!I1=1,0,'7 - Cap Add WS'!H26)</f>
        <v>78811474</v>
      </c>
      <c r="J59" s="325">
        <f>+H59-I59</f>
        <v>184139170</v>
      </c>
      <c r="K59" s="265">
        <f>+H$23*(J59+H59)/2</f>
        <v>36624332.796964936</v>
      </c>
      <c r="L59" s="325">
        <f>IF('Appendix A'!I1=1,0,'7 - Cap Add WS'!L27)</f>
        <v>0</v>
      </c>
      <c r="M59" s="325">
        <f>+L$26</f>
        <v>0</v>
      </c>
      <c r="N59" s="325">
        <f t="shared" si="11"/>
        <v>0</v>
      </c>
      <c r="O59" s="265">
        <f>+L$23*(L59+N59)/2</f>
        <v>0</v>
      </c>
      <c r="P59" s="325">
        <f>IF('Appendix A'!I1=1,0,'7 - Cap Add WS'!P27)</f>
        <v>155913694</v>
      </c>
      <c r="Q59" s="325">
        <f>IF('Appendix A'!I1=1,0,'7 - Cap Add WS'!P26)</f>
        <v>30776040</v>
      </c>
      <c r="R59" s="325">
        <f t="shared" si="12"/>
        <v>125137654</v>
      </c>
      <c r="S59" s="265">
        <f>+P$23*(R59+P59)/2</f>
        <v>23022931.366062403</v>
      </c>
      <c r="T59" s="325">
        <f>IF('Appendix A'!I1=1,0,'7 - Cap Add WS'!T27)</f>
        <v>3158242</v>
      </c>
      <c r="U59" s="325">
        <f>IF('Appendix A'!I1=1,0,'7 - Cap Add WS'!T26)</f>
        <v>812598</v>
      </c>
      <c r="V59" s="325">
        <f>+T59-U59</f>
        <v>2345644</v>
      </c>
      <c r="W59" s="265">
        <f>+T$23*(V59+T59)/2</f>
        <v>450862.77125641727</v>
      </c>
      <c r="X59" s="325">
        <f>IF('Appendix A'!I1=1,0,'7 - Cap Add WS'!X27)</f>
        <v>4061975.0742307776</v>
      </c>
      <c r="Y59" s="325">
        <f>+X$26</f>
        <v>0</v>
      </c>
      <c r="Z59" s="325">
        <f t="shared" si="13"/>
        <v>4061975.0742307776</v>
      </c>
      <c r="AA59" s="265">
        <f>+X$23*(X59+Z59)/2</f>
        <v>665491.0144367742</v>
      </c>
      <c r="AB59" s="325">
        <f>IF('Appendix A'!I1=1,0,'7 - Cap Add WS'!AB27)</f>
        <v>22746735</v>
      </c>
      <c r="AC59" s="325">
        <f>IF('Appendix A'!I1=1,0,'7 - Cap Add WS'!AB26)</f>
        <v>559406</v>
      </c>
      <c r="AD59" s="325">
        <f>+AB59-AC59</f>
        <v>22187329</v>
      </c>
      <c r="AE59" s="265">
        <f>+AB$23*(AD59+AB59)/2</f>
        <v>3680871.4095555786</v>
      </c>
      <c r="AF59" s="325">
        <f>IF('Appendix A'!I1=1,0,'7 - Cap Add WS'!AF27)</f>
        <v>5494268.72307692</v>
      </c>
      <c r="AG59" s="325">
        <f>+AF$26</f>
        <v>0</v>
      </c>
      <c r="AH59" s="325">
        <f t="shared" si="14"/>
        <v>5494268.72307692</v>
      </c>
      <c r="AI59" s="265">
        <f>+AF$23*(AF59+AH59)/2</f>
        <v>900149.9022741086</v>
      </c>
      <c r="AJ59" s="325">
        <f>IF('Appendix A'!I1=1,0,'7 - Cap Add WS'!AJ27)</f>
        <v>6145482</v>
      </c>
      <c r="AK59" s="325">
        <f>IF('Appendix A'!I1=1,0,'7 - Cap Add WS'!AJ26)</f>
        <v>71242</v>
      </c>
      <c r="AL59" s="325">
        <f>+AJ59-AK59</f>
        <v>6074240</v>
      </c>
      <c r="AM59" s="265">
        <f>+AJ$23*(AL59+AJ59)/2</f>
        <v>1001005.0580449904</v>
      </c>
      <c r="AN59" s="1232">
        <f t="shared" si="5"/>
        <v>66345644.31859521</v>
      </c>
      <c r="AO59" s="208"/>
      <c r="AP59" s="948">
        <f>+AN59</f>
        <v>66345644.31859521</v>
      </c>
    </row>
    <row r="60" spans="1:42" s="322" customFormat="1" ht="13.5">
      <c r="A60" s="322">
        <f t="shared" si="1"/>
        <v>47</v>
      </c>
      <c r="B60" s="263" t="str">
        <f t="shared" si="7"/>
        <v>W Increased ROE</v>
      </c>
      <c r="C60" s="947">
        <f t="shared" si="6"/>
        <v>2021</v>
      </c>
      <c r="D60" s="325">
        <f>+D59</f>
        <v>0</v>
      </c>
      <c r="E60" s="325">
        <f>+E59</f>
        <v>0</v>
      </c>
      <c r="F60" s="325">
        <f t="shared" si="4"/>
        <v>0</v>
      </c>
      <c r="G60" s="265">
        <f>+D$24*(F60+D60)/2+E60</f>
        <v>0</v>
      </c>
      <c r="H60" s="325">
        <f>H59</f>
        <v>262950644</v>
      </c>
      <c r="I60" s="325">
        <f>I59</f>
        <v>78811474</v>
      </c>
      <c r="J60" s="325">
        <f>J59</f>
        <v>184139170</v>
      </c>
      <c r="K60" s="265">
        <f>+H$24*(J60+H60)/2</f>
        <v>38185324.24522325</v>
      </c>
      <c r="L60" s="325">
        <f>+L59</f>
        <v>0</v>
      </c>
      <c r="M60" s="325">
        <f>+M59</f>
        <v>0</v>
      </c>
      <c r="N60" s="325">
        <f t="shared" si="11"/>
        <v>0</v>
      </c>
      <c r="O60" s="265">
        <f>+L$24*(N60+L60)/2</f>
        <v>0</v>
      </c>
      <c r="P60" s="945">
        <f>+P59</f>
        <v>155913694</v>
      </c>
      <c r="Q60" s="264">
        <f>+Q59</f>
        <v>30776040</v>
      </c>
      <c r="R60" s="325">
        <f t="shared" si="12"/>
        <v>125137654</v>
      </c>
      <c r="S60" s="265">
        <f>+P$24*(R60+P60)/2</f>
        <v>24494846.192831874</v>
      </c>
      <c r="T60" s="325">
        <f>T59</f>
        <v>3158242</v>
      </c>
      <c r="U60" s="325">
        <f>U59</f>
        <v>812598</v>
      </c>
      <c r="V60" s="325">
        <f>+V59</f>
        <v>2345644</v>
      </c>
      <c r="W60" s="265">
        <f>+T$24*(V60+T60)/2</f>
        <v>450862.77125641727</v>
      </c>
      <c r="X60" s="325">
        <f>+X59</f>
        <v>4061975.0742307776</v>
      </c>
      <c r="Y60" s="325">
        <f>+Y59</f>
        <v>0</v>
      </c>
      <c r="Z60" s="325">
        <f t="shared" si="13"/>
        <v>4061975.0742307776</v>
      </c>
      <c r="AA60" s="1367">
        <f>+X$24*(Z60+X60)/2</f>
        <v>665491.0144367742</v>
      </c>
      <c r="AB60" s="325">
        <f>AB59</f>
        <v>22746735</v>
      </c>
      <c r="AC60" s="325">
        <f>AC59</f>
        <v>559406</v>
      </c>
      <c r="AD60" s="325">
        <f>AD59</f>
        <v>22187329</v>
      </c>
      <c r="AE60" s="1367">
        <f>+AB$24*(AD60+AB60)/2</f>
        <v>3680871.4095555786</v>
      </c>
      <c r="AF60" s="325">
        <f>+AF59</f>
        <v>5494268.72307692</v>
      </c>
      <c r="AG60" s="325">
        <f>+AG59</f>
        <v>0</v>
      </c>
      <c r="AH60" s="325">
        <f t="shared" si="14"/>
        <v>5494268.72307692</v>
      </c>
      <c r="AI60" s="1367">
        <f>+AF$24*(AH60+AF60)/2</f>
        <v>900149.9022741086</v>
      </c>
      <c r="AJ60" s="325">
        <f>AJ59</f>
        <v>6145482</v>
      </c>
      <c r="AK60" s="325">
        <f>AK59</f>
        <v>71242</v>
      </c>
      <c r="AL60" s="325">
        <f>AL59</f>
        <v>6074240</v>
      </c>
      <c r="AM60" s="1367">
        <f>+AJ$24*(AL60+AJ60)/2</f>
        <v>1001005.0580449904</v>
      </c>
      <c r="AN60" s="1232">
        <f t="shared" si="5"/>
        <v>69378550.59362298</v>
      </c>
      <c r="AO60" s="949">
        <f>+AN60</f>
        <v>69378550.59362298</v>
      </c>
      <c r="AP60" s="950"/>
    </row>
    <row r="61" spans="1:42" s="322" customFormat="1" ht="13.5">
      <c r="A61" s="322">
        <f t="shared" si="1"/>
        <v>48</v>
      </c>
      <c r="B61" s="263" t="str">
        <f t="shared" si="7"/>
        <v>FCR W base ROE</v>
      </c>
      <c r="C61" s="947">
        <f t="shared" si="6"/>
        <v>2022</v>
      </c>
      <c r="D61" s="325">
        <f>+F60</f>
        <v>0</v>
      </c>
      <c r="E61" s="325">
        <f>+D$26</f>
        <v>0</v>
      </c>
      <c r="F61" s="325">
        <f t="shared" si="4"/>
        <v>0</v>
      </c>
      <c r="G61" s="265">
        <f>+D$23*(D61+F61)/2+E61</f>
        <v>0</v>
      </c>
      <c r="H61" s="325">
        <v>0</v>
      </c>
      <c r="I61" s="325">
        <v>0</v>
      </c>
      <c r="J61" s="325">
        <v>0</v>
      </c>
      <c r="K61" s="265">
        <v>0</v>
      </c>
      <c r="L61" s="325">
        <v>0</v>
      </c>
      <c r="M61" s="325">
        <v>0</v>
      </c>
      <c r="N61" s="325">
        <v>0</v>
      </c>
      <c r="O61" s="325">
        <v>0</v>
      </c>
      <c r="P61" s="847">
        <v>0</v>
      </c>
      <c r="Q61" s="264">
        <v>0</v>
      </c>
      <c r="R61" s="264">
        <v>0</v>
      </c>
      <c r="S61" s="265">
        <v>0</v>
      </c>
      <c r="T61" s="847">
        <v>0</v>
      </c>
      <c r="U61" s="264">
        <v>0</v>
      </c>
      <c r="V61" s="264">
        <v>0</v>
      </c>
      <c r="W61" s="265">
        <v>0</v>
      </c>
      <c r="X61" s="847">
        <v>0</v>
      </c>
      <c r="Y61" s="264">
        <v>0</v>
      </c>
      <c r="Z61" s="264">
        <v>0</v>
      </c>
      <c r="AA61" s="265">
        <v>0</v>
      </c>
      <c r="AB61" s="847">
        <v>0</v>
      </c>
      <c r="AC61" s="264">
        <v>0</v>
      </c>
      <c r="AD61" s="264">
        <v>0</v>
      </c>
      <c r="AE61" s="265">
        <v>0</v>
      </c>
      <c r="AF61" s="847">
        <v>0</v>
      </c>
      <c r="AG61" s="264">
        <v>0</v>
      </c>
      <c r="AH61" s="264">
        <v>0</v>
      </c>
      <c r="AI61" s="265">
        <v>0</v>
      </c>
      <c r="AJ61" s="847">
        <v>0</v>
      </c>
      <c r="AK61" s="264">
        <v>0</v>
      </c>
      <c r="AL61" s="264">
        <v>0</v>
      </c>
      <c r="AM61" s="265">
        <v>0</v>
      </c>
      <c r="AN61" s="1232">
        <f t="shared" si="5"/>
        <v>0</v>
      </c>
      <c r="AO61" s="208"/>
      <c r="AP61" s="948">
        <f>+AN61</f>
        <v>0</v>
      </c>
    </row>
    <row r="62" spans="1:42" s="322" customFormat="1" ht="13.5">
      <c r="A62" s="322">
        <f t="shared" si="1"/>
        <v>49</v>
      </c>
      <c r="B62" s="263" t="str">
        <f t="shared" si="7"/>
        <v>W Increased ROE</v>
      </c>
      <c r="C62" s="947">
        <f t="shared" si="6"/>
        <v>2022</v>
      </c>
      <c r="D62" s="325">
        <f>+D61</f>
        <v>0</v>
      </c>
      <c r="E62" s="325">
        <f>+E61</f>
        <v>0</v>
      </c>
      <c r="F62" s="325">
        <f t="shared" si="4"/>
        <v>0</v>
      </c>
      <c r="G62" s="265">
        <f>+D$24*(F62+D62)/2+E62</f>
        <v>0</v>
      </c>
      <c r="H62" s="325">
        <v>0</v>
      </c>
      <c r="I62" s="325">
        <v>0</v>
      </c>
      <c r="J62" s="325">
        <v>0</v>
      </c>
      <c r="K62" s="265">
        <v>0</v>
      </c>
      <c r="L62" s="325">
        <v>0</v>
      </c>
      <c r="M62" s="325">
        <v>0</v>
      </c>
      <c r="N62" s="325">
        <v>0</v>
      </c>
      <c r="O62" s="325">
        <v>0</v>
      </c>
      <c r="P62" s="847">
        <v>0</v>
      </c>
      <c r="Q62" s="264">
        <v>0</v>
      </c>
      <c r="R62" s="264">
        <v>0</v>
      </c>
      <c r="S62" s="265">
        <v>0</v>
      </c>
      <c r="T62" s="847">
        <v>0</v>
      </c>
      <c r="U62" s="264">
        <v>0</v>
      </c>
      <c r="V62" s="264">
        <v>0</v>
      </c>
      <c r="W62" s="265">
        <v>0</v>
      </c>
      <c r="X62" s="847">
        <v>0</v>
      </c>
      <c r="Y62" s="264">
        <v>0</v>
      </c>
      <c r="Z62" s="264">
        <v>0</v>
      </c>
      <c r="AA62" s="265">
        <v>0</v>
      </c>
      <c r="AB62" s="847">
        <v>0</v>
      </c>
      <c r="AC62" s="264">
        <v>0</v>
      </c>
      <c r="AD62" s="264">
        <v>0</v>
      </c>
      <c r="AE62" s="265">
        <v>0</v>
      </c>
      <c r="AF62" s="847">
        <v>0</v>
      </c>
      <c r="AG62" s="264">
        <v>0</v>
      </c>
      <c r="AH62" s="264">
        <v>0</v>
      </c>
      <c r="AI62" s="265">
        <v>0</v>
      </c>
      <c r="AJ62" s="847">
        <v>0</v>
      </c>
      <c r="AK62" s="264">
        <v>0</v>
      </c>
      <c r="AL62" s="264">
        <v>0</v>
      </c>
      <c r="AM62" s="265">
        <v>0</v>
      </c>
      <c r="AN62" s="1232">
        <f t="shared" si="5"/>
        <v>0</v>
      </c>
      <c r="AO62" s="949">
        <f>+AN62</f>
        <v>0</v>
      </c>
      <c r="AP62" s="950"/>
    </row>
    <row r="63" spans="1:42" s="322" customFormat="1" ht="13.5">
      <c r="A63" s="322">
        <f t="shared" si="1"/>
        <v>50</v>
      </c>
      <c r="B63" s="263" t="str">
        <f t="shared" si="7"/>
        <v>FCR W base ROE</v>
      </c>
      <c r="C63" s="947">
        <f t="shared" si="6"/>
        <v>2023</v>
      </c>
      <c r="D63" s="325">
        <f>+F62</f>
        <v>0</v>
      </c>
      <c r="E63" s="325">
        <f>+D$26</f>
        <v>0</v>
      </c>
      <c r="F63" s="325">
        <f t="shared" si="4"/>
        <v>0</v>
      </c>
      <c r="G63" s="265">
        <f>+D$23*(D63+F63)/2+E63</f>
        <v>0</v>
      </c>
      <c r="H63" s="325">
        <v>0</v>
      </c>
      <c r="I63" s="325">
        <v>0</v>
      </c>
      <c r="J63" s="325">
        <v>0</v>
      </c>
      <c r="K63" s="265">
        <v>0</v>
      </c>
      <c r="L63" s="325">
        <v>0</v>
      </c>
      <c r="M63" s="325">
        <v>0</v>
      </c>
      <c r="N63" s="325">
        <v>0</v>
      </c>
      <c r="O63" s="325">
        <v>0</v>
      </c>
      <c r="P63" s="847">
        <v>0</v>
      </c>
      <c r="Q63" s="264">
        <v>0</v>
      </c>
      <c r="R63" s="264">
        <v>0</v>
      </c>
      <c r="S63" s="265">
        <v>0</v>
      </c>
      <c r="T63" s="847">
        <v>0</v>
      </c>
      <c r="U63" s="264">
        <v>0</v>
      </c>
      <c r="V63" s="264">
        <v>0</v>
      </c>
      <c r="W63" s="265">
        <v>0</v>
      </c>
      <c r="X63" s="847">
        <v>0</v>
      </c>
      <c r="Y63" s="264">
        <v>0</v>
      </c>
      <c r="Z63" s="264">
        <v>0</v>
      </c>
      <c r="AA63" s="265">
        <v>0</v>
      </c>
      <c r="AB63" s="847">
        <v>0</v>
      </c>
      <c r="AC63" s="264">
        <v>0</v>
      </c>
      <c r="AD63" s="264">
        <v>0</v>
      </c>
      <c r="AE63" s="265">
        <v>0</v>
      </c>
      <c r="AF63" s="847">
        <v>0</v>
      </c>
      <c r="AG63" s="264">
        <v>0</v>
      </c>
      <c r="AH63" s="264">
        <v>0</v>
      </c>
      <c r="AI63" s="265">
        <v>0</v>
      </c>
      <c r="AJ63" s="847">
        <v>0</v>
      </c>
      <c r="AK63" s="264">
        <v>0</v>
      </c>
      <c r="AL63" s="264">
        <v>0</v>
      </c>
      <c r="AM63" s="265">
        <v>0</v>
      </c>
      <c r="AN63" s="1232">
        <f t="shared" si="5"/>
        <v>0</v>
      </c>
      <c r="AO63" s="208"/>
      <c r="AP63" s="948">
        <f>+AN63</f>
        <v>0</v>
      </c>
    </row>
    <row r="64" spans="1:42" s="322" customFormat="1" ht="13.5">
      <c r="A64" s="322">
        <f t="shared" si="1"/>
        <v>51</v>
      </c>
      <c r="B64" s="263" t="str">
        <f t="shared" si="7"/>
        <v>W Increased ROE</v>
      </c>
      <c r="C64" s="947">
        <f t="shared" si="6"/>
        <v>2023</v>
      </c>
      <c r="D64" s="325">
        <f>+D63</f>
        <v>0</v>
      </c>
      <c r="E64" s="325">
        <f>+E63</f>
        <v>0</v>
      </c>
      <c r="F64" s="325">
        <f t="shared" si="4"/>
        <v>0</v>
      </c>
      <c r="G64" s="265">
        <f>+D$24*(F64+D64)/2+E64</f>
        <v>0</v>
      </c>
      <c r="H64" s="325">
        <v>0</v>
      </c>
      <c r="I64" s="325">
        <v>0</v>
      </c>
      <c r="J64" s="325">
        <v>0</v>
      </c>
      <c r="K64" s="265">
        <v>0</v>
      </c>
      <c r="L64" s="325">
        <v>0</v>
      </c>
      <c r="M64" s="325">
        <v>0</v>
      </c>
      <c r="N64" s="325">
        <v>0</v>
      </c>
      <c r="O64" s="325">
        <v>0</v>
      </c>
      <c r="P64" s="847">
        <v>0</v>
      </c>
      <c r="Q64" s="264">
        <v>0</v>
      </c>
      <c r="R64" s="264">
        <v>0</v>
      </c>
      <c r="S64" s="265">
        <v>0</v>
      </c>
      <c r="T64" s="847">
        <v>0</v>
      </c>
      <c r="U64" s="264">
        <v>0</v>
      </c>
      <c r="V64" s="264">
        <v>0</v>
      </c>
      <c r="W64" s="265">
        <v>0</v>
      </c>
      <c r="X64" s="847">
        <v>0</v>
      </c>
      <c r="Y64" s="264">
        <v>0</v>
      </c>
      <c r="Z64" s="264">
        <v>0</v>
      </c>
      <c r="AA64" s="265">
        <v>0</v>
      </c>
      <c r="AB64" s="847">
        <v>0</v>
      </c>
      <c r="AC64" s="264">
        <v>0</v>
      </c>
      <c r="AD64" s="264">
        <v>0</v>
      </c>
      <c r="AE64" s="265">
        <v>0</v>
      </c>
      <c r="AF64" s="847">
        <v>0</v>
      </c>
      <c r="AG64" s="264">
        <v>0</v>
      </c>
      <c r="AH64" s="264">
        <v>0</v>
      </c>
      <c r="AI64" s="265">
        <v>0</v>
      </c>
      <c r="AJ64" s="847">
        <v>0</v>
      </c>
      <c r="AK64" s="264">
        <v>0</v>
      </c>
      <c r="AL64" s="264">
        <v>0</v>
      </c>
      <c r="AM64" s="265">
        <v>0</v>
      </c>
      <c r="AN64" s="1232">
        <f t="shared" si="5"/>
        <v>0</v>
      </c>
      <c r="AO64" s="949">
        <f>+AN64</f>
        <v>0</v>
      </c>
      <c r="AP64" s="950"/>
    </row>
    <row r="65" spans="1:42" ht="13.5">
      <c r="A65" s="381">
        <f t="shared" si="1"/>
        <v>52</v>
      </c>
      <c r="B65" s="232" t="str">
        <f t="shared" si="7"/>
        <v>FCR W base ROE</v>
      </c>
      <c r="C65" s="249">
        <f t="shared" si="6"/>
        <v>2024</v>
      </c>
      <c r="D65" s="325">
        <f>+F64</f>
        <v>0</v>
      </c>
      <c r="E65" s="325">
        <f>+D$26</f>
        <v>0</v>
      </c>
      <c r="F65" s="325">
        <f t="shared" si="4"/>
        <v>0</v>
      </c>
      <c r="G65" s="265">
        <f>+D$23*(D65+F65)/2+E65</f>
        <v>0</v>
      </c>
      <c r="H65" s="325">
        <v>0</v>
      </c>
      <c r="I65" s="325">
        <v>0</v>
      </c>
      <c r="J65" s="325">
        <v>0</v>
      </c>
      <c r="K65" s="265">
        <v>0</v>
      </c>
      <c r="L65" s="325">
        <v>0</v>
      </c>
      <c r="M65" s="325">
        <v>0</v>
      </c>
      <c r="N65" s="325">
        <v>0</v>
      </c>
      <c r="O65" s="325">
        <v>0</v>
      </c>
      <c r="P65" s="847">
        <v>0</v>
      </c>
      <c r="Q65" s="264">
        <v>0</v>
      </c>
      <c r="R65" s="264">
        <v>0</v>
      </c>
      <c r="S65" s="265">
        <v>0</v>
      </c>
      <c r="T65" s="847">
        <v>0</v>
      </c>
      <c r="U65" s="264">
        <v>0</v>
      </c>
      <c r="V65" s="264">
        <v>0</v>
      </c>
      <c r="W65" s="265">
        <v>0</v>
      </c>
      <c r="X65" s="847">
        <v>0</v>
      </c>
      <c r="Y65" s="264">
        <v>0</v>
      </c>
      <c r="Z65" s="264">
        <v>0</v>
      </c>
      <c r="AA65" s="265">
        <v>0</v>
      </c>
      <c r="AB65" s="847">
        <v>0</v>
      </c>
      <c r="AC65" s="264">
        <v>0</v>
      </c>
      <c r="AD65" s="264">
        <v>0</v>
      </c>
      <c r="AE65" s="265">
        <v>0</v>
      </c>
      <c r="AF65" s="847">
        <v>0</v>
      </c>
      <c r="AG65" s="264">
        <v>0</v>
      </c>
      <c r="AH65" s="264">
        <v>0</v>
      </c>
      <c r="AI65" s="265">
        <v>0</v>
      </c>
      <c r="AJ65" s="847">
        <v>0</v>
      </c>
      <c r="AK65" s="264">
        <v>0</v>
      </c>
      <c r="AL65" s="264">
        <v>0</v>
      </c>
      <c r="AM65" s="265">
        <v>0</v>
      </c>
      <c r="AN65" s="262">
        <f t="shared" si="5"/>
        <v>0</v>
      </c>
      <c r="AO65" s="207"/>
      <c r="AP65" s="250">
        <f>+AN65</f>
        <v>0</v>
      </c>
    </row>
    <row r="66" spans="1:42" ht="13.5">
      <c r="A66" s="381">
        <f t="shared" si="1"/>
        <v>53</v>
      </c>
      <c r="B66" s="232" t="str">
        <f t="shared" si="7"/>
        <v>W Increased ROE</v>
      </c>
      <c r="C66" s="249">
        <f t="shared" si="6"/>
        <v>2024</v>
      </c>
      <c r="D66" s="325">
        <f>+D65</f>
        <v>0</v>
      </c>
      <c r="E66" s="325">
        <f>+E65</f>
        <v>0</v>
      </c>
      <c r="F66" s="325">
        <f t="shared" si="4"/>
        <v>0</v>
      </c>
      <c r="G66" s="265">
        <f>+D$24*(F66+D66)/2+E66</f>
        <v>0</v>
      </c>
      <c r="H66" s="325">
        <v>0</v>
      </c>
      <c r="I66" s="325">
        <v>0</v>
      </c>
      <c r="J66" s="325">
        <v>0</v>
      </c>
      <c r="K66" s="265">
        <v>0</v>
      </c>
      <c r="L66" s="325">
        <v>0</v>
      </c>
      <c r="M66" s="325">
        <v>0</v>
      </c>
      <c r="N66" s="325">
        <v>0</v>
      </c>
      <c r="O66" s="325">
        <v>0</v>
      </c>
      <c r="P66" s="847">
        <v>0</v>
      </c>
      <c r="Q66" s="264">
        <v>0</v>
      </c>
      <c r="R66" s="264">
        <v>0</v>
      </c>
      <c r="S66" s="265">
        <v>0</v>
      </c>
      <c r="T66" s="847">
        <v>0</v>
      </c>
      <c r="U66" s="264">
        <v>0</v>
      </c>
      <c r="V66" s="264">
        <v>0</v>
      </c>
      <c r="W66" s="265">
        <v>0</v>
      </c>
      <c r="X66" s="847">
        <v>0</v>
      </c>
      <c r="Y66" s="264">
        <v>0</v>
      </c>
      <c r="Z66" s="264">
        <v>0</v>
      </c>
      <c r="AA66" s="265">
        <v>0</v>
      </c>
      <c r="AB66" s="847">
        <v>0</v>
      </c>
      <c r="AC66" s="264">
        <v>0</v>
      </c>
      <c r="AD66" s="264">
        <v>0</v>
      </c>
      <c r="AE66" s="265">
        <v>0</v>
      </c>
      <c r="AF66" s="847">
        <v>0</v>
      </c>
      <c r="AG66" s="264">
        <v>0</v>
      </c>
      <c r="AH66" s="264">
        <v>0</v>
      </c>
      <c r="AI66" s="265">
        <v>0</v>
      </c>
      <c r="AJ66" s="847">
        <v>0</v>
      </c>
      <c r="AK66" s="264">
        <v>0</v>
      </c>
      <c r="AL66" s="264">
        <v>0</v>
      </c>
      <c r="AM66" s="265">
        <v>0</v>
      </c>
      <c r="AN66" s="262">
        <f t="shared" si="5"/>
        <v>0</v>
      </c>
      <c r="AO66" s="251">
        <f>+AN66</f>
        <v>0</v>
      </c>
      <c r="AP66" s="231"/>
    </row>
    <row r="67" spans="1:42" ht="13.5">
      <c r="A67" s="381">
        <f t="shared" si="1"/>
        <v>54</v>
      </c>
      <c r="B67" s="232" t="str">
        <f t="shared" si="7"/>
        <v>FCR W base ROE</v>
      </c>
      <c r="C67" s="249">
        <f t="shared" si="6"/>
        <v>2025</v>
      </c>
      <c r="D67" s="325">
        <f>+F66</f>
        <v>0</v>
      </c>
      <c r="E67" s="325">
        <f>+D$26</f>
        <v>0</v>
      </c>
      <c r="F67" s="325">
        <f t="shared" si="4"/>
        <v>0</v>
      </c>
      <c r="G67" s="265">
        <f>+D$23*(D67+F67)/2+E67</f>
        <v>0</v>
      </c>
      <c r="H67" s="325">
        <v>0</v>
      </c>
      <c r="I67" s="325">
        <v>0</v>
      </c>
      <c r="J67" s="325">
        <v>0</v>
      </c>
      <c r="K67" s="265">
        <v>0</v>
      </c>
      <c r="L67" s="325">
        <v>0</v>
      </c>
      <c r="M67" s="325">
        <v>0</v>
      </c>
      <c r="N67" s="325">
        <v>0</v>
      </c>
      <c r="O67" s="325">
        <v>0</v>
      </c>
      <c r="P67" s="847">
        <v>0</v>
      </c>
      <c r="Q67" s="264">
        <v>0</v>
      </c>
      <c r="R67" s="264">
        <v>0</v>
      </c>
      <c r="S67" s="265">
        <v>0</v>
      </c>
      <c r="T67" s="847">
        <v>0</v>
      </c>
      <c r="U67" s="264">
        <v>0</v>
      </c>
      <c r="V67" s="264">
        <v>0</v>
      </c>
      <c r="W67" s="265">
        <v>0</v>
      </c>
      <c r="X67" s="847">
        <v>0</v>
      </c>
      <c r="Y67" s="264">
        <v>0</v>
      </c>
      <c r="Z67" s="264">
        <v>0</v>
      </c>
      <c r="AA67" s="265">
        <v>0</v>
      </c>
      <c r="AB67" s="847">
        <v>0</v>
      </c>
      <c r="AC67" s="264">
        <v>0</v>
      </c>
      <c r="AD67" s="264">
        <v>0</v>
      </c>
      <c r="AE67" s="265">
        <v>0</v>
      </c>
      <c r="AF67" s="847">
        <v>0</v>
      </c>
      <c r="AG67" s="264">
        <v>0</v>
      </c>
      <c r="AH67" s="264">
        <v>0</v>
      </c>
      <c r="AI67" s="265">
        <v>0</v>
      </c>
      <c r="AJ67" s="847">
        <v>0</v>
      </c>
      <c r="AK67" s="264">
        <v>0</v>
      </c>
      <c r="AL67" s="264">
        <v>0</v>
      </c>
      <c r="AM67" s="265">
        <v>0</v>
      </c>
      <c r="AN67" s="262">
        <f t="shared" si="5"/>
        <v>0</v>
      </c>
      <c r="AO67" s="207"/>
      <c r="AP67" s="250">
        <f>+AN67</f>
        <v>0</v>
      </c>
    </row>
    <row r="68" spans="1:42" ht="13.5">
      <c r="A68" s="381">
        <f t="shared" si="1"/>
        <v>55</v>
      </c>
      <c r="B68" s="232" t="str">
        <f t="shared" si="7"/>
        <v>W Increased ROE</v>
      </c>
      <c r="C68" s="249">
        <f t="shared" si="6"/>
        <v>2025</v>
      </c>
      <c r="D68" s="325">
        <f>+D67</f>
        <v>0</v>
      </c>
      <c r="E68" s="325">
        <f>+E67</f>
        <v>0</v>
      </c>
      <c r="F68" s="325">
        <f t="shared" si="4"/>
        <v>0</v>
      </c>
      <c r="G68" s="265">
        <f>+D$24*(F68+D68)/2+E68</f>
        <v>0</v>
      </c>
      <c r="H68" s="325">
        <v>0</v>
      </c>
      <c r="I68" s="325">
        <v>0</v>
      </c>
      <c r="J68" s="325">
        <v>0</v>
      </c>
      <c r="K68" s="265">
        <v>0</v>
      </c>
      <c r="L68" s="325">
        <v>0</v>
      </c>
      <c r="M68" s="325">
        <v>0</v>
      </c>
      <c r="N68" s="325">
        <v>0</v>
      </c>
      <c r="O68" s="325">
        <v>0</v>
      </c>
      <c r="P68" s="847">
        <v>0</v>
      </c>
      <c r="Q68" s="264">
        <v>0</v>
      </c>
      <c r="R68" s="264">
        <v>0</v>
      </c>
      <c r="S68" s="265">
        <v>0</v>
      </c>
      <c r="T68" s="847">
        <v>0</v>
      </c>
      <c r="U68" s="264">
        <v>0</v>
      </c>
      <c r="V68" s="264">
        <v>0</v>
      </c>
      <c r="W68" s="265">
        <v>0</v>
      </c>
      <c r="X68" s="847">
        <v>0</v>
      </c>
      <c r="Y68" s="264">
        <v>0</v>
      </c>
      <c r="Z68" s="264">
        <v>0</v>
      </c>
      <c r="AA68" s="265">
        <v>0</v>
      </c>
      <c r="AB68" s="847">
        <v>0</v>
      </c>
      <c r="AC68" s="264">
        <v>0</v>
      </c>
      <c r="AD68" s="264">
        <v>0</v>
      </c>
      <c r="AE68" s="265">
        <v>0</v>
      </c>
      <c r="AF68" s="847">
        <v>0</v>
      </c>
      <c r="AG68" s="264">
        <v>0</v>
      </c>
      <c r="AH68" s="264">
        <v>0</v>
      </c>
      <c r="AI68" s="265">
        <v>0</v>
      </c>
      <c r="AJ68" s="847">
        <v>0</v>
      </c>
      <c r="AK68" s="264">
        <v>0</v>
      </c>
      <c r="AL68" s="264">
        <v>0</v>
      </c>
      <c r="AM68" s="265">
        <v>0</v>
      </c>
      <c r="AN68" s="262">
        <f t="shared" si="5"/>
        <v>0</v>
      </c>
      <c r="AO68" s="251">
        <f>+AN68</f>
        <v>0</v>
      </c>
      <c r="AP68" s="231"/>
    </row>
    <row r="69" spans="1:42" ht="13.5">
      <c r="A69" s="381">
        <f t="shared" si="1"/>
        <v>56</v>
      </c>
      <c r="B69" s="232" t="str">
        <f t="shared" si="7"/>
        <v>FCR W base ROE</v>
      </c>
      <c r="C69" s="249">
        <f t="shared" si="6"/>
        <v>2026</v>
      </c>
      <c r="D69" s="325">
        <f>+F68</f>
        <v>0</v>
      </c>
      <c r="E69" s="325">
        <f>+D$26</f>
        <v>0</v>
      </c>
      <c r="F69" s="325">
        <f t="shared" si="4"/>
        <v>0</v>
      </c>
      <c r="G69" s="265">
        <f>+D$23*(D69+F69)/2+E69</f>
        <v>0</v>
      </c>
      <c r="H69" s="325">
        <v>0</v>
      </c>
      <c r="I69" s="325">
        <v>0</v>
      </c>
      <c r="J69" s="325">
        <v>0</v>
      </c>
      <c r="K69" s="265">
        <v>0</v>
      </c>
      <c r="L69" s="325">
        <v>0</v>
      </c>
      <c r="M69" s="325">
        <v>0</v>
      </c>
      <c r="N69" s="325">
        <v>0</v>
      </c>
      <c r="O69" s="325">
        <v>0</v>
      </c>
      <c r="P69" s="847">
        <v>0</v>
      </c>
      <c r="Q69" s="264">
        <v>0</v>
      </c>
      <c r="R69" s="264">
        <v>0</v>
      </c>
      <c r="S69" s="265">
        <v>0</v>
      </c>
      <c r="T69" s="847">
        <v>0</v>
      </c>
      <c r="U69" s="264">
        <v>0</v>
      </c>
      <c r="V69" s="264">
        <v>0</v>
      </c>
      <c r="W69" s="265">
        <v>0</v>
      </c>
      <c r="X69" s="847">
        <v>0</v>
      </c>
      <c r="Y69" s="264">
        <v>0</v>
      </c>
      <c r="Z69" s="264">
        <v>0</v>
      </c>
      <c r="AA69" s="265">
        <v>0</v>
      </c>
      <c r="AB69" s="847">
        <v>0</v>
      </c>
      <c r="AC69" s="264">
        <v>0</v>
      </c>
      <c r="AD69" s="264">
        <v>0</v>
      </c>
      <c r="AE69" s="265">
        <v>0</v>
      </c>
      <c r="AF69" s="847">
        <v>0</v>
      </c>
      <c r="AG69" s="264">
        <v>0</v>
      </c>
      <c r="AH69" s="264">
        <v>0</v>
      </c>
      <c r="AI69" s="265">
        <v>0</v>
      </c>
      <c r="AJ69" s="847">
        <v>0</v>
      </c>
      <c r="AK69" s="264">
        <v>0</v>
      </c>
      <c r="AL69" s="264">
        <v>0</v>
      </c>
      <c r="AM69" s="265">
        <v>0</v>
      </c>
      <c r="AN69" s="262">
        <f t="shared" si="5"/>
        <v>0</v>
      </c>
      <c r="AO69" s="207"/>
      <c r="AP69" s="250">
        <f>+AN69</f>
        <v>0</v>
      </c>
    </row>
    <row r="70" spans="1:42" ht="13.5">
      <c r="A70" s="381">
        <f t="shared" si="1"/>
        <v>57</v>
      </c>
      <c r="B70" s="232" t="str">
        <f t="shared" si="7"/>
        <v>W Increased ROE</v>
      </c>
      <c r="C70" s="249">
        <f t="shared" si="6"/>
        <v>2026</v>
      </c>
      <c r="D70" s="325"/>
      <c r="E70" s="325">
        <f>+E69</f>
        <v>0</v>
      </c>
      <c r="F70" s="325">
        <f t="shared" si="4"/>
        <v>0</v>
      </c>
      <c r="G70" s="265">
        <f>+D$24*(F70+D70)/2+E70</f>
        <v>0</v>
      </c>
      <c r="H70" s="325">
        <v>0</v>
      </c>
      <c r="I70" s="325">
        <v>0</v>
      </c>
      <c r="J70" s="325">
        <v>0</v>
      </c>
      <c r="K70" s="265">
        <v>0</v>
      </c>
      <c r="L70" s="325">
        <v>0</v>
      </c>
      <c r="M70" s="325">
        <v>0</v>
      </c>
      <c r="N70" s="325">
        <v>0</v>
      </c>
      <c r="O70" s="325">
        <v>0</v>
      </c>
      <c r="P70" s="847">
        <v>0</v>
      </c>
      <c r="Q70" s="264">
        <v>0</v>
      </c>
      <c r="R70" s="264">
        <v>0</v>
      </c>
      <c r="S70" s="265">
        <v>0</v>
      </c>
      <c r="T70" s="847">
        <v>0</v>
      </c>
      <c r="U70" s="264">
        <v>0</v>
      </c>
      <c r="V70" s="264">
        <v>0</v>
      </c>
      <c r="W70" s="265">
        <v>0</v>
      </c>
      <c r="X70" s="847">
        <v>0</v>
      </c>
      <c r="Y70" s="264">
        <v>0</v>
      </c>
      <c r="Z70" s="264">
        <v>0</v>
      </c>
      <c r="AA70" s="265">
        <v>0</v>
      </c>
      <c r="AB70" s="847">
        <v>0</v>
      </c>
      <c r="AC70" s="264">
        <v>0</v>
      </c>
      <c r="AD70" s="264">
        <v>0</v>
      </c>
      <c r="AE70" s="265">
        <v>0</v>
      </c>
      <c r="AF70" s="847">
        <v>0</v>
      </c>
      <c r="AG70" s="264">
        <v>0</v>
      </c>
      <c r="AH70" s="264">
        <v>0</v>
      </c>
      <c r="AI70" s="265">
        <v>0</v>
      </c>
      <c r="AJ70" s="847">
        <v>0</v>
      </c>
      <c r="AK70" s="264">
        <v>0</v>
      </c>
      <c r="AL70" s="264">
        <v>0</v>
      </c>
      <c r="AM70" s="265">
        <v>0</v>
      </c>
      <c r="AN70" s="262">
        <f t="shared" si="5"/>
        <v>0</v>
      </c>
      <c r="AO70" s="251">
        <f>+AN70</f>
        <v>0</v>
      </c>
      <c r="AP70" s="231"/>
    </row>
    <row r="71" spans="1:42" ht="13.5">
      <c r="A71" s="381">
        <f t="shared" si="1"/>
        <v>58</v>
      </c>
      <c r="B71" s="440"/>
      <c r="C71" s="252" t="s">
        <v>580</v>
      </c>
      <c r="D71" s="253"/>
      <c r="E71" s="253" t="s">
        <v>580</v>
      </c>
      <c r="F71" s="253" t="s">
        <v>581</v>
      </c>
      <c r="G71" s="254" t="s">
        <v>580</v>
      </c>
      <c r="H71" s="253">
        <v>0</v>
      </c>
      <c r="I71" s="253">
        <v>0</v>
      </c>
      <c r="J71" s="253">
        <v>0</v>
      </c>
      <c r="K71" s="265">
        <v>0</v>
      </c>
      <c r="L71" s="253">
        <v>0</v>
      </c>
      <c r="M71" s="253">
        <v>0</v>
      </c>
      <c r="N71" s="253">
        <v>0</v>
      </c>
      <c r="O71" s="253">
        <v>0</v>
      </c>
      <c r="P71" s="847">
        <v>0</v>
      </c>
      <c r="Q71" s="264">
        <v>0</v>
      </c>
      <c r="R71" s="264">
        <v>0</v>
      </c>
      <c r="S71" s="265">
        <v>0</v>
      </c>
      <c r="T71" s="847">
        <v>0</v>
      </c>
      <c r="U71" s="264">
        <v>0</v>
      </c>
      <c r="V71" s="264">
        <v>0</v>
      </c>
      <c r="W71" s="265">
        <v>0</v>
      </c>
      <c r="X71" s="847">
        <v>0</v>
      </c>
      <c r="Y71" s="264">
        <v>0</v>
      </c>
      <c r="Z71" s="264">
        <v>0</v>
      </c>
      <c r="AA71" s="265">
        <v>0</v>
      </c>
      <c r="AB71" s="847">
        <v>0</v>
      </c>
      <c r="AC71" s="264">
        <v>0</v>
      </c>
      <c r="AD71" s="264">
        <v>0</v>
      </c>
      <c r="AE71" s="265">
        <v>0</v>
      </c>
      <c r="AF71" s="847">
        <v>0</v>
      </c>
      <c r="AG71" s="264">
        <v>0</v>
      </c>
      <c r="AH71" s="264">
        <v>0</v>
      </c>
      <c r="AI71" s="265">
        <v>0</v>
      </c>
      <c r="AJ71" s="847">
        <v>0</v>
      </c>
      <c r="AK71" s="264">
        <v>0</v>
      </c>
      <c r="AL71" s="264">
        <v>0</v>
      </c>
      <c r="AM71" s="265">
        <v>0</v>
      </c>
      <c r="AN71" s="262"/>
      <c r="AO71" s="207"/>
      <c r="AP71" s="250">
        <f>+AN71</f>
        <v>0</v>
      </c>
    </row>
    <row r="72" spans="1:44" ht="14.25" thickBot="1">
      <c r="A72" s="381">
        <f t="shared" si="1"/>
        <v>59</v>
      </c>
      <c r="B72" s="441"/>
      <c r="C72" s="255" t="s">
        <v>580</v>
      </c>
      <c r="D72" s="256" t="s">
        <v>580</v>
      </c>
      <c r="E72" s="256" t="s">
        <v>581</v>
      </c>
      <c r="F72" s="256" t="s">
        <v>581</v>
      </c>
      <c r="G72" s="257" t="s">
        <v>580</v>
      </c>
      <c r="H72" s="256">
        <v>0</v>
      </c>
      <c r="I72" s="256">
        <v>0</v>
      </c>
      <c r="J72" s="256">
        <v>0</v>
      </c>
      <c r="K72" s="257">
        <v>0</v>
      </c>
      <c r="L72" s="256">
        <v>0</v>
      </c>
      <c r="M72" s="256">
        <v>0</v>
      </c>
      <c r="N72" s="256">
        <v>0</v>
      </c>
      <c r="O72" s="256">
        <v>0</v>
      </c>
      <c r="P72" s="946">
        <v>0</v>
      </c>
      <c r="Q72" s="943">
        <v>0</v>
      </c>
      <c r="R72" s="943">
        <v>0</v>
      </c>
      <c r="S72" s="257">
        <v>0</v>
      </c>
      <c r="T72" s="946">
        <v>0</v>
      </c>
      <c r="U72" s="943">
        <v>0</v>
      </c>
      <c r="V72" s="943">
        <v>0</v>
      </c>
      <c r="W72" s="257">
        <v>0</v>
      </c>
      <c r="X72" s="946">
        <v>0</v>
      </c>
      <c r="Y72" s="943">
        <v>0</v>
      </c>
      <c r="Z72" s="943">
        <v>0</v>
      </c>
      <c r="AA72" s="257">
        <v>0</v>
      </c>
      <c r="AB72" s="946">
        <v>0</v>
      </c>
      <c r="AC72" s="943">
        <v>0</v>
      </c>
      <c r="AD72" s="943">
        <v>0</v>
      </c>
      <c r="AE72" s="257">
        <v>0</v>
      </c>
      <c r="AF72" s="946">
        <v>0</v>
      </c>
      <c r="AG72" s="943">
        <v>0</v>
      </c>
      <c r="AH72" s="943">
        <v>0</v>
      </c>
      <c r="AI72" s="257">
        <v>0</v>
      </c>
      <c r="AJ72" s="946">
        <v>0</v>
      </c>
      <c r="AK72" s="943">
        <v>0</v>
      </c>
      <c r="AL72" s="943">
        <v>0</v>
      </c>
      <c r="AM72" s="257">
        <v>0</v>
      </c>
      <c r="AN72" s="1096"/>
      <c r="AO72" s="1150">
        <f>IF('Appendix A'!I1=1,SUM('7 - Cap Add WS'!AO57:AO71),SUM(AO59:AO71))</f>
        <v>69378550.59362298</v>
      </c>
      <c r="AP72" s="1151">
        <f>IF('Appendix A'!I1=1,SUM('7 - Cap Add WS'!AP57:AP71),SUM(AP59:AP71))</f>
        <v>66345644.31859521</v>
      </c>
      <c r="AR72" s="435">
        <f>AO72-AP72</f>
        <v>3032906.2750277743</v>
      </c>
    </row>
    <row r="73" spans="2:36" ht="13.5">
      <c r="B73" s="206" t="s">
        <v>234</v>
      </c>
      <c r="C73" s="258"/>
      <c r="D73" s="206"/>
      <c r="E73" s="206"/>
      <c r="F73" s="206"/>
      <c r="G73" s="259"/>
      <c r="H73" s="206"/>
      <c r="I73" s="206"/>
      <c r="J73" s="206"/>
      <c r="K73" s="259"/>
      <c r="L73" s="259"/>
      <c r="M73" s="259"/>
      <c r="N73" s="259"/>
      <c r="O73" s="259"/>
      <c r="P73" s="259"/>
      <c r="Q73" s="259"/>
      <c r="R73" s="259"/>
      <c r="S73" s="259"/>
      <c r="T73" s="259"/>
      <c r="U73" s="259"/>
      <c r="V73" s="259"/>
      <c r="W73" s="259"/>
      <c r="X73" s="259"/>
      <c r="Y73" s="259"/>
      <c r="Z73" s="206"/>
      <c r="AA73" s="260"/>
      <c r="AB73" s="260"/>
      <c r="AF73" s="259"/>
      <c r="AG73" s="259"/>
      <c r="AH73" s="206"/>
      <c r="AI73" s="260"/>
      <c r="AJ73" s="260"/>
    </row>
    <row r="75" spans="27:35" ht="12.75">
      <c r="AA75" s="436"/>
      <c r="AI75" s="436"/>
    </row>
    <row r="281" spans="3:7" ht="15">
      <c r="C281" s="750"/>
      <c r="D281" s="640"/>
      <c r="E281" s="640"/>
      <c r="F281" s="640"/>
      <c r="G281" s="751"/>
    </row>
    <row r="282" spans="3:7" ht="99.75" customHeight="1">
      <c r="C282" s="750"/>
      <c r="D282" s="640"/>
      <c r="E282" s="640"/>
      <c r="F282" s="640"/>
      <c r="G282" s="751"/>
    </row>
    <row r="283" spans="3:7" ht="15">
      <c r="C283" s="750"/>
      <c r="D283" s="640"/>
      <c r="E283" s="640"/>
      <c r="F283" s="640"/>
      <c r="G283" s="751"/>
    </row>
    <row r="284" spans="3:7" ht="15">
      <c r="C284" s="750"/>
      <c r="D284" s="640"/>
      <c r="E284" s="640"/>
      <c r="F284" s="640"/>
      <c r="G284" s="751"/>
    </row>
    <row r="285" spans="3:7" ht="15">
      <c r="C285" s="750"/>
      <c r="D285" s="640"/>
      <c r="E285" s="640"/>
      <c r="F285" s="640"/>
      <c r="G285" s="751"/>
    </row>
    <row r="286" spans="3:7" ht="15">
      <c r="C286" s="750"/>
      <c r="D286" s="640"/>
      <c r="E286" s="640"/>
      <c r="F286" s="640"/>
      <c r="G286" s="751"/>
    </row>
    <row r="287" spans="3:7" ht="15">
      <c r="C287" s="750"/>
      <c r="D287" s="640"/>
      <c r="E287" s="640"/>
      <c r="F287" s="640"/>
      <c r="G287" s="751"/>
    </row>
    <row r="288" spans="3:7" ht="15">
      <c r="C288" s="750"/>
      <c r="D288" s="640"/>
      <c r="E288" s="640"/>
      <c r="F288" s="640"/>
      <c r="G288" s="751"/>
    </row>
    <row r="289" spans="3:7" ht="15">
      <c r="C289" s="750"/>
      <c r="D289" s="640"/>
      <c r="E289" s="640"/>
      <c r="F289" s="640"/>
      <c r="G289" s="751"/>
    </row>
    <row r="290" spans="3:7" ht="15">
      <c r="C290" s="750"/>
      <c r="D290" s="640"/>
      <c r="E290" s="640"/>
      <c r="F290" s="640"/>
      <c r="G290" s="751"/>
    </row>
    <row r="291" spans="3:7" ht="15">
      <c r="C291" s="750"/>
      <c r="D291" s="640"/>
      <c r="E291" s="640"/>
      <c r="F291" s="640"/>
      <c r="G291" s="751"/>
    </row>
    <row r="292" spans="3:7" ht="15">
      <c r="C292" s="750"/>
      <c r="D292" s="640"/>
      <c r="E292" s="640"/>
      <c r="F292" s="640"/>
      <c r="G292" s="751"/>
    </row>
    <row r="293" spans="3:7" ht="15">
      <c r="C293" s="750"/>
      <c r="D293" s="640"/>
      <c r="E293" s="640"/>
      <c r="F293" s="640"/>
      <c r="G293" s="751"/>
    </row>
    <row r="294" spans="3:7" ht="15">
      <c r="C294" s="750"/>
      <c r="D294" s="640"/>
      <c r="E294" s="640"/>
      <c r="F294" s="640"/>
      <c r="G294" s="751"/>
    </row>
    <row r="295" spans="3:7" ht="15">
      <c r="C295" s="750"/>
      <c r="D295" s="640"/>
      <c r="E295" s="640"/>
      <c r="F295" s="640"/>
      <c r="G295" s="751"/>
    </row>
    <row r="296" spans="3:7" ht="15">
      <c r="C296" s="750"/>
      <c r="D296" s="640"/>
      <c r="E296" s="640"/>
      <c r="F296" s="640"/>
      <c r="G296" s="751"/>
    </row>
    <row r="297" spans="3:7" ht="15">
      <c r="C297" s="750"/>
      <c r="D297" s="640"/>
      <c r="E297" s="640"/>
      <c r="F297" s="640"/>
      <c r="G297" s="751"/>
    </row>
    <row r="298" spans="3:7" ht="15">
      <c r="C298" s="750"/>
      <c r="D298" s="640"/>
      <c r="E298" s="640"/>
      <c r="F298" s="640"/>
      <c r="G298" s="751"/>
    </row>
    <row r="299" spans="3:7" ht="15">
      <c r="C299" s="750"/>
      <c r="D299" s="640"/>
      <c r="E299" s="640"/>
      <c r="F299" s="640"/>
      <c r="G299" s="751"/>
    </row>
    <row r="300" spans="3:7" ht="15">
      <c r="C300" s="750"/>
      <c r="D300" s="640"/>
      <c r="E300" s="640"/>
      <c r="F300" s="640"/>
      <c r="G300" s="751"/>
    </row>
    <row r="301" spans="3:7" ht="15">
      <c r="C301" s="750"/>
      <c r="D301" s="640"/>
      <c r="E301" s="640"/>
      <c r="F301" s="640"/>
      <c r="G301" s="751"/>
    </row>
    <row r="302" spans="3:7" ht="15">
      <c r="C302" s="750"/>
      <c r="D302" s="640"/>
      <c r="E302" s="640"/>
      <c r="F302" s="640"/>
      <c r="G302" s="751"/>
    </row>
    <row r="303" spans="2:7" ht="40.5" customHeight="1">
      <c r="B303" s="1341"/>
      <c r="C303" s="750"/>
      <c r="D303" s="640"/>
      <c r="E303" s="640"/>
      <c r="F303" s="640"/>
      <c r="G303" s="751"/>
    </row>
    <row r="304" spans="2:7" ht="15">
      <c r="B304" s="1341"/>
      <c r="C304" s="750"/>
      <c r="D304" s="640"/>
      <c r="E304" s="640"/>
      <c r="F304" s="640"/>
      <c r="G304" s="751"/>
    </row>
    <row r="305" spans="2:7" ht="12.75">
      <c r="B305" s="378"/>
      <c r="C305" s="379"/>
      <c r="D305" s="378"/>
      <c r="E305" s="378"/>
      <c r="F305" s="378"/>
      <c r="G305" s="437"/>
    </row>
    <row r="306" spans="2:7" ht="12.75">
      <c r="B306" s="378"/>
      <c r="C306" s="379"/>
      <c r="D306" s="378"/>
      <c r="E306" s="378"/>
      <c r="F306" s="378"/>
      <c r="G306" s="437"/>
    </row>
    <row r="307" spans="2:7" ht="12.75">
      <c r="B307" s="378"/>
      <c r="C307" s="379"/>
      <c r="D307" s="378"/>
      <c r="E307" s="378"/>
      <c r="F307" s="378"/>
      <c r="G307" s="437"/>
    </row>
    <row r="308" spans="2:7" ht="12.75">
      <c r="B308" s="378"/>
      <c r="C308" s="379"/>
      <c r="D308" s="378"/>
      <c r="E308" s="378"/>
      <c r="F308" s="378"/>
      <c r="G308" s="437"/>
    </row>
    <row r="309" spans="2:7" ht="12.75">
      <c r="B309" s="378"/>
      <c r="C309" s="379"/>
      <c r="D309" s="378"/>
      <c r="E309" s="378"/>
      <c r="F309" s="378"/>
      <c r="G309" s="437"/>
    </row>
    <row r="310" spans="2:7" ht="12.75">
      <c r="B310" s="378"/>
      <c r="C310" s="379"/>
      <c r="D310" s="378"/>
      <c r="E310" s="378"/>
      <c r="F310" s="378"/>
      <c r="G310" s="437"/>
    </row>
    <row r="311" spans="2:7" ht="12.75">
      <c r="B311" s="378"/>
      <c r="C311" s="379"/>
      <c r="D311" s="378"/>
      <c r="E311" s="378"/>
      <c r="F311" s="378"/>
      <c r="G311" s="437"/>
    </row>
    <row r="312" spans="2:7" ht="12.75">
      <c r="B312" s="378"/>
      <c r="C312" s="379"/>
      <c r="D312" s="378"/>
      <c r="E312" s="378"/>
      <c r="F312" s="378"/>
      <c r="G312" s="437"/>
    </row>
    <row r="313" spans="2:7" ht="12.75">
      <c r="B313" s="378"/>
      <c r="C313" s="379"/>
      <c r="D313" s="378"/>
      <c r="E313" s="378"/>
      <c r="F313" s="378"/>
      <c r="G313" s="437"/>
    </row>
  </sheetData>
  <sheetProtection/>
  <mergeCells count="9">
    <mergeCell ref="AJ18:AM18"/>
    <mergeCell ref="AF18:AI18"/>
    <mergeCell ref="AB18:AE18"/>
    <mergeCell ref="X18:AA18"/>
    <mergeCell ref="D18:G18"/>
    <mergeCell ref="H18:K18"/>
    <mergeCell ref="T18:W18"/>
    <mergeCell ref="P18:S18"/>
    <mergeCell ref="L18:O18"/>
  </mergeCells>
  <printOptions/>
  <pageMargins left="0.7" right="0.7" top="0.75" bottom="0.75" header="0.3" footer="0.3"/>
  <pageSetup fitToWidth="2" horizontalDpi="600" verticalDpi="600" orientation="landscape" scale="39" r:id="rId1"/>
  <headerFooter alignWithMargins="0">
    <oddHeader>&amp;CDuquesne Light Company
Attachment H -17A
Attachment 7 - Transmission Enhancement Charge Worksheet&amp;RPage &amp;P of &amp;N</oddHeader>
  </headerFooter>
  <colBreaks count="1" manualBreakCount="1">
    <brk id="23" max="71" man="1"/>
  </colBreaks>
</worksheet>
</file>

<file path=xl/worksheets/sheet9.xml><?xml version="1.0" encoding="utf-8"?>
<worksheet xmlns="http://schemas.openxmlformats.org/spreadsheetml/2006/main" xmlns:r="http://schemas.openxmlformats.org/officeDocument/2006/relationships">
  <sheetPr>
    <pageSetUpPr fitToPage="1"/>
  </sheetPr>
  <dimension ref="A1:P304"/>
  <sheetViews>
    <sheetView zoomScale="80" zoomScaleNormal="80" workbookViewId="0" topLeftCell="A1">
      <selection activeCell="G271" sqref="G271"/>
    </sheetView>
  </sheetViews>
  <sheetFormatPr defaultColWidth="9.140625" defaultRowHeight="12.75"/>
  <cols>
    <col min="1" max="1" width="21.00390625" style="0" customWidth="1"/>
    <col min="2" max="2" width="17.28125" style="0" bestFit="1" customWidth="1"/>
    <col min="3" max="3" width="15.140625" style="0" customWidth="1"/>
    <col min="4" max="4" width="16.28125" style="0" bestFit="1" customWidth="1"/>
    <col min="5" max="5" width="2.7109375" style="0" customWidth="1"/>
    <col min="6" max="6" width="9.28125" style="0" bestFit="1" customWidth="1"/>
    <col min="7" max="7" width="73.7109375" style="0" customWidth="1"/>
    <col min="8" max="8" width="17.7109375" style="0" customWidth="1"/>
    <col min="9" max="9" width="14.28125" style="0" bestFit="1" customWidth="1"/>
    <col min="10" max="10" width="11.00390625" style="0" customWidth="1"/>
    <col min="11" max="11" width="13.7109375" style="0" customWidth="1"/>
    <col min="12" max="12" width="31.28125" style="0" customWidth="1"/>
    <col min="13" max="13" width="2.7109375" style="0" customWidth="1"/>
    <col min="14" max="14" width="9.57421875" style="0" customWidth="1"/>
  </cols>
  <sheetData>
    <row r="1" spans="13:14" ht="12.75">
      <c r="M1" s="2"/>
      <c r="N1" s="2"/>
    </row>
    <row r="2" spans="1:15" ht="13.5" thickBot="1">
      <c r="A2" s="198" t="s">
        <v>530</v>
      </c>
      <c r="B2" s="198" t="s">
        <v>531</v>
      </c>
      <c r="C2" s="662" t="s">
        <v>492</v>
      </c>
      <c r="D2" s="662" t="s">
        <v>532</v>
      </c>
      <c r="E2" s="662"/>
      <c r="F2" s="274"/>
      <c r="O2" s="2"/>
    </row>
    <row r="3" spans="1:16" ht="30.75">
      <c r="A3" s="686" t="s">
        <v>82</v>
      </c>
      <c r="B3" s="687" t="s">
        <v>69</v>
      </c>
      <c r="C3" s="687" t="s">
        <v>70</v>
      </c>
      <c r="D3" s="687" t="s">
        <v>311</v>
      </c>
      <c r="E3" s="687"/>
      <c r="F3" s="1119"/>
      <c r="G3" s="1172"/>
      <c r="H3" s="1172"/>
      <c r="I3" s="1172"/>
      <c r="J3" s="1172"/>
      <c r="K3" s="1172"/>
      <c r="L3" s="1222"/>
      <c r="M3" s="1223"/>
      <c r="N3" s="267"/>
      <c r="O3" s="267"/>
      <c r="P3" s="1120"/>
    </row>
    <row r="4" spans="1:16" ht="15.75" thickBot="1">
      <c r="A4" s="686" t="s">
        <v>58</v>
      </c>
      <c r="B4" s="686"/>
      <c r="C4" s="639"/>
      <c r="D4" s="33"/>
      <c r="E4" s="33"/>
      <c r="F4" s="267"/>
      <c r="G4" s="1172"/>
      <c r="H4" s="1172"/>
      <c r="I4" s="1172"/>
      <c r="J4" s="1172"/>
      <c r="K4" s="1172"/>
      <c r="L4" s="1220"/>
      <c r="M4" s="1221"/>
      <c r="N4" s="267"/>
      <c r="O4" s="267"/>
      <c r="P4" s="267"/>
    </row>
    <row r="5" spans="1:16" ht="15">
      <c r="A5" s="790" t="s">
        <v>59</v>
      </c>
      <c r="B5" s="1064">
        <v>11411357.36</v>
      </c>
      <c r="C5" s="639">
        <v>3.01</v>
      </c>
      <c r="D5" s="688">
        <f aca="true" t="shared" si="0" ref="D5:D13">+B5*C5/100</f>
        <v>343481.8565359999</v>
      </c>
      <c r="E5" s="688"/>
      <c r="F5" s="438"/>
      <c r="G5" s="952"/>
      <c r="H5" s="797"/>
      <c r="I5" s="1365"/>
      <c r="J5" s="267"/>
      <c r="K5" s="267"/>
      <c r="N5" s="409"/>
      <c r="O5" s="409"/>
      <c r="P5" s="267"/>
    </row>
    <row r="6" spans="1:16" ht="15">
      <c r="A6" s="790" t="s">
        <v>60</v>
      </c>
      <c r="B6" s="1064">
        <v>21697557.44</v>
      </c>
      <c r="C6" s="639">
        <v>2.53</v>
      </c>
      <c r="D6" s="688">
        <f t="shared" si="0"/>
        <v>548948.203232</v>
      </c>
      <c r="E6" s="688"/>
      <c r="F6" s="494"/>
      <c r="G6" s="267"/>
      <c r="H6" s="267"/>
      <c r="I6" s="267"/>
      <c r="J6" s="267"/>
      <c r="K6" s="267"/>
      <c r="N6" s="409"/>
      <c r="O6" s="409"/>
      <c r="P6" s="267"/>
    </row>
    <row r="7" spans="1:16" ht="15">
      <c r="A7" s="790" t="s">
        <v>61</v>
      </c>
      <c r="B7" s="1064">
        <v>432945260.42</v>
      </c>
      <c r="C7" s="639">
        <v>3.42</v>
      </c>
      <c r="D7" s="688">
        <f t="shared" si="0"/>
        <v>14806727.906364</v>
      </c>
      <c r="E7" s="688"/>
      <c r="F7" s="1121"/>
      <c r="G7" s="1214"/>
      <c r="H7" s="1215"/>
      <c r="I7" s="1215"/>
      <c r="J7" s="1216"/>
      <c r="K7" s="1216"/>
      <c r="L7" s="267"/>
      <c r="M7" s="267"/>
      <c r="N7" s="58"/>
      <c r="O7" s="58"/>
      <c r="P7" s="267"/>
    </row>
    <row r="8" spans="1:16" ht="15">
      <c r="A8" s="790" t="s">
        <v>62</v>
      </c>
      <c r="B8" s="1064">
        <v>78247471.59</v>
      </c>
      <c r="C8" s="639">
        <v>1.6</v>
      </c>
      <c r="D8" s="688">
        <f t="shared" si="0"/>
        <v>1251959.5454400002</v>
      </c>
      <c r="E8" s="688"/>
      <c r="F8" s="1100"/>
      <c r="G8" s="98"/>
      <c r="H8" s="1121"/>
      <c r="I8" s="1118"/>
      <c r="J8" s="267"/>
      <c r="K8" s="267"/>
      <c r="L8" s="267"/>
      <c r="M8" s="267"/>
      <c r="N8" s="58"/>
      <c r="O8" s="58"/>
      <c r="P8" s="267"/>
    </row>
    <row r="9" spans="1:16" ht="15">
      <c r="A9" s="790" t="s">
        <v>63</v>
      </c>
      <c r="B9" s="1064">
        <v>59118433.48</v>
      </c>
      <c r="C9" s="639">
        <v>2.47</v>
      </c>
      <c r="D9" s="688">
        <f t="shared" si="0"/>
        <v>1460225.306956</v>
      </c>
      <c r="E9" s="688"/>
      <c r="F9" s="1100"/>
      <c r="G9" s="1153"/>
      <c r="H9" s="1121"/>
      <c r="I9" s="267"/>
      <c r="J9" s="267"/>
      <c r="K9" s="267"/>
      <c r="L9" s="267"/>
      <c r="M9" s="267"/>
      <c r="N9" s="58"/>
      <c r="O9" s="58"/>
      <c r="P9" s="267"/>
    </row>
    <row r="10" spans="1:16" ht="15">
      <c r="A10" s="790" t="s">
        <v>64</v>
      </c>
      <c r="B10" s="1064">
        <v>139592330.02</v>
      </c>
      <c r="C10" s="639">
        <v>2.09</v>
      </c>
      <c r="D10" s="688">
        <f t="shared" si="0"/>
        <v>2917479.697418</v>
      </c>
      <c r="E10" s="688"/>
      <c r="F10" s="1100"/>
      <c r="G10" s="267"/>
      <c r="H10" s="267"/>
      <c r="I10" s="267"/>
      <c r="J10" s="267"/>
      <c r="K10" s="267"/>
      <c r="L10" s="267"/>
      <c r="M10" s="267"/>
      <c r="N10" s="58"/>
      <c r="O10" s="58"/>
      <c r="P10" s="267"/>
    </row>
    <row r="11" spans="1:16" ht="15">
      <c r="A11" s="790" t="s">
        <v>65</v>
      </c>
      <c r="B11" s="1064">
        <v>80848762.42</v>
      </c>
      <c r="C11" s="639">
        <v>1.82</v>
      </c>
      <c r="D11" s="688">
        <f t="shared" si="0"/>
        <v>1471447.4760440001</v>
      </c>
      <c r="E11" s="688"/>
      <c r="F11" s="1100"/>
      <c r="G11" s="98"/>
      <c r="H11" s="1121"/>
      <c r="I11" s="267"/>
      <c r="J11" s="1131"/>
      <c r="K11" s="1152"/>
      <c r="L11" s="267"/>
      <c r="M11" s="267"/>
      <c r="N11" s="58"/>
      <c r="O11" s="58"/>
      <c r="P11" s="267"/>
    </row>
    <row r="12" spans="1:16" ht="15">
      <c r="A12" s="790" t="s">
        <v>66</v>
      </c>
      <c r="B12" s="1064">
        <v>147799020.67</v>
      </c>
      <c r="C12" s="639">
        <v>1.88</v>
      </c>
      <c r="D12" s="688">
        <f t="shared" si="0"/>
        <v>2778621.5885959994</v>
      </c>
      <c r="E12" s="688"/>
      <c r="F12" s="1100"/>
      <c r="G12" s="98"/>
      <c r="H12" s="1121"/>
      <c r="I12" s="267"/>
      <c r="J12" s="1131"/>
      <c r="K12" s="1152"/>
      <c r="L12" s="267"/>
      <c r="M12" s="267"/>
      <c r="N12" s="58"/>
      <c r="O12" s="58"/>
      <c r="P12" s="267"/>
    </row>
    <row r="13" spans="1:16" ht="15">
      <c r="A13" s="790" t="s">
        <v>67</v>
      </c>
      <c r="B13" s="1064">
        <v>10185993.84</v>
      </c>
      <c r="C13" s="639">
        <v>1.87</v>
      </c>
      <c r="D13" s="688">
        <f t="shared" si="0"/>
        <v>190478.08480799999</v>
      </c>
      <c r="E13" s="688"/>
      <c r="F13" s="1100"/>
      <c r="G13" s="267"/>
      <c r="H13" s="267"/>
      <c r="I13" s="267"/>
      <c r="J13" s="267"/>
      <c r="K13" s="267"/>
      <c r="L13" s="1121"/>
      <c r="M13" s="267"/>
      <c r="N13" s="58"/>
      <c r="O13" s="58"/>
      <c r="P13" s="267"/>
    </row>
    <row r="14" spans="1:16" ht="15">
      <c r="A14" s="686" t="s">
        <v>68</v>
      </c>
      <c r="B14" s="686">
        <f>SUM(B5:B13)</f>
        <v>981846187.24</v>
      </c>
      <c r="C14" s="639"/>
      <c r="D14" s="135">
        <f>SUM(D5:D13)</f>
        <v>25769369.665394</v>
      </c>
      <c r="E14" s="135"/>
      <c r="F14" s="267"/>
      <c r="G14" s="267"/>
      <c r="H14" s="267"/>
      <c r="I14" s="267"/>
      <c r="J14" s="267"/>
      <c r="K14" s="267"/>
      <c r="L14" s="1121"/>
      <c r="M14" s="267"/>
      <c r="N14" s="58"/>
      <c r="O14" s="58"/>
      <c r="P14" s="267"/>
    </row>
    <row r="15" spans="1:16" ht="15">
      <c r="A15" s="686"/>
      <c r="B15" s="686"/>
      <c r="C15" s="639"/>
      <c r="D15" s="790"/>
      <c r="E15" s="790"/>
      <c r="F15" s="494"/>
      <c r="G15" s="1154"/>
      <c r="H15" s="1154"/>
      <c r="I15" s="1156"/>
      <c r="J15" s="1131"/>
      <c r="K15" s="1155"/>
      <c r="L15" s="1121"/>
      <c r="M15" s="267"/>
      <c r="N15" s="58"/>
      <c r="O15" s="58"/>
      <c r="P15" s="267"/>
    </row>
    <row r="16" spans="1:16" ht="15">
      <c r="A16" s="685" t="s">
        <v>71</v>
      </c>
      <c r="B16" s="686"/>
      <c r="C16" s="639"/>
      <c r="D16" s="790"/>
      <c r="E16" s="790"/>
      <c r="F16" s="267"/>
      <c r="G16" s="1154"/>
      <c r="H16" s="267"/>
      <c r="I16" s="267"/>
      <c r="J16" s="267"/>
      <c r="K16" s="267"/>
      <c r="L16" s="2"/>
      <c r="M16" s="267"/>
      <c r="N16" s="58"/>
      <c r="O16" s="58"/>
      <c r="P16" s="267"/>
    </row>
    <row r="17" spans="1:16" ht="15">
      <c r="A17" s="1326" t="s">
        <v>72</v>
      </c>
      <c r="B17" s="1064">
        <v>165170325.83</v>
      </c>
      <c r="C17" s="639">
        <v>3.33</v>
      </c>
      <c r="D17" s="688">
        <f aca="true" t="shared" si="1" ref="D17:D26">+B17*C17/100</f>
        <v>5500171.850139</v>
      </c>
      <c r="E17" s="688"/>
      <c r="F17" s="400"/>
      <c r="G17" s="797"/>
      <c r="H17" s="952"/>
      <c r="I17" s="952"/>
      <c r="J17" s="952"/>
      <c r="K17" s="952"/>
      <c r="L17" s="1173"/>
      <c r="M17" s="1174"/>
      <c r="N17" s="58"/>
      <c r="O17" s="58"/>
      <c r="P17" s="267"/>
    </row>
    <row r="18" spans="1:16" ht="15">
      <c r="A18" s="790" t="s">
        <v>73</v>
      </c>
      <c r="B18" s="1064">
        <v>25355163.33</v>
      </c>
      <c r="C18" s="639">
        <v>20</v>
      </c>
      <c r="D18" s="688">
        <f t="shared" si="1"/>
        <v>5071032.665999999</v>
      </c>
      <c r="E18" s="688"/>
      <c r="F18" s="438"/>
      <c r="G18" s="952"/>
      <c r="H18" s="797"/>
      <c r="I18" s="952"/>
      <c r="J18" s="329"/>
      <c r="K18" s="329"/>
      <c r="L18" s="1173"/>
      <c r="M18" s="1174"/>
      <c r="N18" s="58"/>
      <c r="O18" s="58"/>
      <c r="P18" s="267"/>
    </row>
    <row r="19" spans="1:16" ht="15">
      <c r="A19" s="790" t="s">
        <v>74</v>
      </c>
      <c r="B19" s="1064">
        <v>6413982.66</v>
      </c>
      <c r="C19" s="639">
        <v>5</v>
      </c>
      <c r="D19" s="688">
        <f t="shared" si="1"/>
        <v>320699.13300000003</v>
      </c>
      <c r="E19" s="688"/>
      <c r="F19" s="267"/>
      <c r="G19" s="1154"/>
      <c r="H19" s="1154"/>
      <c r="I19" s="1156"/>
      <c r="J19" s="1131"/>
      <c r="K19" s="1155"/>
      <c r="L19" s="1173"/>
      <c r="M19" s="1174"/>
      <c r="N19" s="58"/>
      <c r="O19" s="58"/>
      <c r="P19" s="267"/>
    </row>
    <row r="20" spans="1:16" ht="15">
      <c r="A20" s="1326" t="s">
        <v>75</v>
      </c>
      <c r="B20" s="1064">
        <v>66957577.65</v>
      </c>
      <c r="C20" s="639">
        <v>9.1</v>
      </c>
      <c r="D20" s="688">
        <f t="shared" si="1"/>
        <v>6093139.56615</v>
      </c>
      <c r="E20" s="688"/>
      <c r="F20" s="1121"/>
      <c r="G20" s="1217"/>
      <c r="H20" s="1217"/>
      <c r="I20" s="1217"/>
      <c r="J20" s="1217"/>
      <c r="K20" s="1217"/>
      <c r="L20" s="1121"/>
      <c r="M20" s="267"/>
      <c r="N20" s="58"/>
      <c r="O20" s="58"/>
      <c r="P20" s="267"/>
    </row>
    <row r="21" spans="1:16" ht="15">
      <c r="A21" s="1326" t="s">
        <v>76</v>
      </c>
      <c r="B21" s="1064">
        <v>1620656.4</v>
      </c>
      <c r="C21" s="639">
        <v>3.33</v>
      </c>
      <c r="D21" s="688">
        <f t="shared" si="1"/>
        <v>53967.85812</v>
      </c>
      <c r="E21" s="688"/>
      <c r="F21" s="1100"/>
      <c r="G21" s="98"/>
      <c r="H21" s="1118"/>
      <c r="I21" s="1121"/>
      <c r="J21" s="267"/>
      <c r="K21" s="267"/>
      <c r="M21" s="267"/>
      <c r="N21" s="267"/>
      <c r="O21" s="267"/>
      <c r="P21" s="267"/>
    </row>
    <row r="22" spans="1:16" ht="15">
      <c r="A22" s="1326" t="s">
        <v>77</v>
      </c>
      <c r="B22" s="1064">
        <v>27832805.46</v>
      </c>
      <c r="C22" s="639">
        <v>4</v>
      </c>
      <c r="D22" s="688">
        <f t="shared" si="1"/>
        <v>1113312.2184000001</v>
      </c>
      <c r="E22" s="688"/>
      <c r="F22" s="1100"/>
      <c r="G22" s="98"/>
      <c r="H22" s="1121"/>
      <c r="I22" s="1118"/>
      <c r="J22" s="267"/>
      <c r="K22" s="267"/>
      <c r="L22" s="633"/>
      <c r="M22" s="267"/>
      <c r="N22" s="267"/>
      <c r="O22" s="267"/>
      <c r="P22" s="267"/>
    </row>
    <row r="23" spans="1:16" ht="15">
      <c r="A23" s="1326" t="s">
        <v>78</v>
      </c>
      <c r="B23" s="1064">
        <v>1895474.76</v>
      </c>
      <c r="C23" s="639">
        <v>5</v>
      </c>
      <c r="D23" s="688">
        <f t="shared" si="1"/>
        <v>94773.73800000001</v>
      </c>
      <c r="E23" s="688"/>
      <c r="F23" s="1100"/>
      <c r="G23" s="1153"/>
      <c r="H23" s="1217"/>
      <c r="I23" s="1218"/>
      <c r="J23" s="267"/>
      <c r="K23" s="267"/>
      <c r="L23" s="267"/>
      <c r="M23" s="267"/>
      <c r="N23" s="267"/>
      <c r="O23" s="267"/>
      <c r="P23" s="267"/>
    </row>
    <row r="24" spans="1:16" ht="15">
      <c r="A24" s="1326" t="s">
        <v>79</v>
      </c>
      <c r="B24" s="1064">
        <v>3582340.38</v>
      </c>
      <c r="C24" s="639">
        <v>6.1</v>
      </c>
      <c r="D24" s="688">
        <f t="shared" si="1"/>
        <v>218522.76317999995</v>
      </c>
      <c r="E24" s="688"/>
      <c r="F24" s="1100"/>
      <c r="G24" s="1217"/>
      <c r="H24" s="1217"/>
      <c r="I24" s="1218"/>
      <c r="J24" s="267"/>
      <c r="K24" s="1131"/>
      <c r="L24" s="267"/>
      <c r="M24" s="267"/>
      <c r="N24" s="267"/>
      <c r="O24" s="267"/>
      <c r="P24" s="267"/>
    </row>
    <row r="25" spans="1:16" ht="15">
      <c r="A25" s="1326" t="s">
        <v>80</v>
      </c>
      <c r="B25" s="1064">
        <v>74175048.89</v>
      </c>
      <c r="C25" s="639">
        <v>6.67</v>
      </c>
      <c r="D25" s="688">
        <f t="shared" si="1"/>
        <v>4947475.760963</v>
      </c>
      <c r="E25" s="688"/>
      <c r="F25" s="1100"/>
      <c r="G25" s="267"/>
      <c r="H25" s="1217"/>
      <c r="I25" s="267"/>
      <c r="J25" s="1131"/>
      <c r="K25" s="1219"/>
      <c r="L25" s="267"/>
      <c r="M25" s="267"/>
      <c r="N25" s="267"/>
      <c r="O25" s="267"/>
      <c r="P25" s="267"/>
    </row>
    <row r="26" spans="1:16" ht="15">
      <c r="A26" s="1326" t="s">
        <v>81</v>
      </c>
      <c r="B26" s="1064">
        <v>230015.89</v>
      </c>
      <c r="C26" s="639">
        <v>5</v>
      </c>
      <c r="D26" s="688">
        <f t="shared" si="1"/>
        <v>11500.794500000002</v>
      </c>
      <c r="E26" s="688"/>
      <c r="F26" s="1100"/>
      <c r="G26" s="98"/>
      <c r="H26" s="1118"/>
      <c r="I26" s="1122"/>
      <c r="J26" s="267"/>
      <c r="K26" s="267"/>
      <c r="L26" s="1121"/>
      <c r="M26" s="267"/>
      <c r="N26" s="267"/>
      <c r="O26" s="267"/>
      <c r="P26" s="267"/>
    </row>
    <row r="27" spans="1:16" ht="15">
      <c r="A27" s="685" t="s">
        <v>68</v>
      </c>
      <c r="B27" s="686">
        <f>SUM(B17:B26)</f>
        <v>373233391.25</v>
      </c>
      <c r="C27" s="686"/>
      <c r="D27" s="135">
        <f>SUM(D17:D26)</f>
        <v>23424596.348452006</v>
      </c>
      <c r="E27" s="135"/>
      <c r="F27" s="267"/>
      <c r="G27" s="267"/>
      <c r="H27" s="267"/>
      <c r="I27" s="267"/>
      <c r="J27" s="267"/>
      <c r="L27" s="1172"/>
      <c r="M27" s="1172"/>
      <c r="N27" s="267"/>
      <c r="O27" s="267"/>
      <c r="P27" s="267"/>
    </row>
    <row r="28" spans="1:16" ht="15">
      <c r="A28" s="686"/>
      <c r="B28" s="686"/>
      <c r="C28" s="686"/>
      <c r="D28" s="686"/>
      <c r="E28" s="686"/>
      <c r="F28" s="267"/>
      <c r="L28" s="1172"/>
      <c r="M28" s="1172"/>
      <c r="N28" s="267"/>
      <c r="O28" s="267"/>
      <c r="P28" s="267"/>
    </row>
    <row r="29" spans="12:16" ht="12.75">
      <c r="L29" s="1132"/>
      <c r="M29" s="267"/>
      <c r="N29" s="267"/>
      <c r="O29" s="267"/>
      <c r="P29" s="267"/>
    </row>
    <row r="30" spans="12:16" ht="12.75">
      <c r="L30" s="267"/>
      <c r="M30" s="267"/>
      <c r="N30" s="267"/>
      <c r="O30" s="267"/>
      <c r="P30" s="267"/>
    </row>
    <row r="31" spans="1:16" ht="15">
      <c r="A31" s="1172"/>
      <c r="B31" s="1172"/>
      <c r="C31" s="1172"/>
      <c r="D31" s="1172"/>
      <c r="E31" s="1172"/>
      <c r="F31" s="1172"/>
      <c r="G31" s="1172"/>
      <c r="H31" s="267"/>
      <c r="I31" s="267"/>
      <c r="J31" s="267"/>
      <c r="K31" s="267"/>
      <c r="L31" s="267"/>
      <c r="M31" s="267"/>
      <c r="N31" s="267"/>
      <c r="O31" s="267"/>
      <c r="P31" s="267"/>
    </row>
    <row r="32" spans="1:16" ht="15">
      <c r="A32" s="692"/>
      <c r="B32" s="2"/>
      <c r="C32" s="2"/>
      <c r="D32" s="2"/>
      <c r="E32" s="2"/>
      <c r="F32" s="329"/>
      <c r="I32" s="267"/>
      <c r="J32" s="267"/>
      <c r="K32" s="267"/>
      <c r="L32" s="267"/>
      <c r="M32" s="267"/>
      <c r="N32" s="267"/>
      <c r="O32" s="267"/>
      <c r="P32" s="267"/>
    </row>
    <row r="33" spans="8:16" ht="12.75">
      <c r="H33" s="267"/>
      <c r="I33" s="267"/>
      <c r="J33" s="267"/>
      <c r="K33" s="267"/>
      <c r="L33" s="267"/>
      <c r="M33" s="267"/>
      <c r="N33" s="267"/>
      <c r="O33" s="267"/>
      <c r="P33" s="267"/>
    </row>
    <row r="34" spans="8:16" ht="12.75">
      <c r="H34" s="267"/>
      <c r="I34" s="267"/>
      <c r="J34" s="267"/>
      <c r="K34" s="267"/>
      <c r="L34" s="267"/>
      <c r="M34" s="267"/>
      <c r="N34" s="267"/>
      <c r="O34" s="267"/>
      <c r="P34" s="267"/>
    </row>
    <row r="35" spans="8:16" ht="12.75">
      <c r="H35" s="267"/>
      <c r="I35" s="267"/>
      <c r="J35" s="267"/>
      <c r="K35" s="267"/>
      <c r="L35" s="267"/>
      <c r="M35" s="267"/>
      <c r="N35" s="267"/>
      <c r="O35" s="267"/>
      <c r="P35" s="267"/>
    </row>
    <row r="36" spans="6:16" ht="12.75">
      <c r="F36" s="267"/>
      <c r="G36" s="267"/>
      <c r="H36" s="267"/>
      <c r="I36" s="267"/>
      <c r="J36" s="267"/>
      <c r="K36" s="267"/>
      <c r="L36" s="267"/>
      <c r="M36" s="267"/>
      <c r="N36" s="267"/>
      <c r="O36" s="267"/>
      <c r="P36" s="267"/>
    </row>
    <row r="37" spans="1:16" ht="15">
      <c r="A37" s="200"/>
      <c r="B37" s="2"/>
      <c r="C37" s="688"/>
      <c r="D37" s="688"/>
      <c r="F37" s="267"/>
      <c r="G37" s="267"/>
      <c r="H37" s="267"/>
      <c r="I37" s="267"/>
      <c r="J37" s="267"/>
      <c r="K37" s="267"/>
      <c r="L37" s="267"/>
      <c r="M37" s="267"/>
      <c r="N37" s="267"/>
      <c r="O37" s="267"/>
      <c r="P37" s="267"/>
    </row>
    <row r="38" spans="1:16" ht="15">
      <c r="A38" s="200"/>
      <c r="B38" s="2"/>
      <c r="C38" s="688"/>
      <c r="D38" s="298"/>
      <c r="F38" s="267"/>
      <c r="G38" s="267"/>
      <c r="H38" s="267"/>
      <c r="I38" s="267"/>
      <c r="J38" s="267"/>
      <c r="K38" s="267"/>
      <c r="L38" s="267"/>
      <c r="M38" s="267"/>
      <c r="N38" s="267"/>
      <c r="O38" s="267"/>
      <c r="P38" s="267"/>
    </row>
    <row r="39" spans="1:16" ht="15">
      <c r="A39" s="691"/>
      <c r="B39" s="1123"/>
      <c r="C39" s="639"/>
      <c r="D39" s="1124"/>
      <c r="E39" s="688"/>
      <c r="F39" s="1100"/>
      <c r="I39" s="267"/>
      <c r="J39" s="267"/>
      <c r="K39" s="267"/>
      <c r="L39" s="267"/>
      <c r="M39" s="267"/>
      <c r="N39" s="267"/>
      <c r="O39" s="267"/>
      <c r="P39" s="267"/>
    </row>
    <row r="40" spans="6:16" ht="12.75">
      <c r="F40" s="267"/>
      <c r="G40" s="267"/>
      <c r="H40" s="267"/>
      <c r="I40" s="267"/>
      <c r="J40" s="267"/>
      <c r="K40" s="267"/>
      <c r="L40" s="267"/>
      <c r="M40" s="267"/>
      <c r="N40" s="267"/>
      <c r="O40" s="267"/>
      <c r="P40" s="267"/>
    </row>
    <row r="41" spans="6:16" ht="12.75">
      <c r="F41" s="267"/>
      <c r="G41" s="267"/>
      <c r="H41" s="267"/>
      <c r="I41" s="267"/>
      <c r="J41" s="267"/>
      <c r="K41" s="267"/>
      <c r="L41" s="267"/>
      <c r="M41" s="267"/>
      <c r="N41" s="267"/>
      <c r="O41" s="267"/>
      <c r="P41" s="267"/>
    </row>
    <row r="42" spans="6:16" ht="12.75">
      <c r="F42" s="267"/>
      <c r="G42" s="267"/>
      <c r="H42" s="267"/>
      <c r="I42" s="267"/>
      <c r="J42" s="267"/>
      <c r="K42" s="267"/>
      <c r="L42" s="267"/>
      <c r="M42" s="267"/>
      <c r="N42" s="267"/>
      <c r="O42" s="267"/>
      <c r="P42" s="267"/>
    </row>
    <row r="43" spans="6:16" ht="12.75">
      <c r="F43" s="267"/>
      <c r="G43" s="267"/>
      <c r="H43" s="267"/>
      <c r="I43" s="267"/>
      <c r="J43" s="267"/>
      <c r="K43" s="267"/>
      <c r="L43" s="267"/>
      <c r="M43" s="267"/>
      <c r="N43" s="267"/>
      <c r="O43" s="267"/>
      <c r="P43" s="267"/>
    </row>
    <row r="44" spans="6:16" ht="12.75">
      <c r="F44" s="267"/>
      <c r="G44" s="267"/>
      <c r="H44" s="267"/>
      <c r="I44" s="267"/>
      <c r="J44" s="267"/>
      <c r="K44" s="267"/>
      <c r="L44" s="267"/>
      <c r="M44" s="267"/>
      <c r="N44" s="267"/>
      <c r="O44" s="267"/>
      <c r="P44" s="267"/>
    </row>
    <row r="45" spans="6:16" ht="12.75">
      <c r="F45" s="267"/>
      <c r="G45" s="267"/>
      <c r="H45" s="267"/>
      <c r="I45" s="267"/>
      <c r="J45" s="267"/>
      <c r="K45" s="267"/>
      <c r="L45" s="267"/>
      <c r="M45" s="267"/>
      <c r="N45" s="267"/>
      <c r="O45" s="267"/>
      <c r="P45" s="267"/>
    </row>
    <row r="46" spans="6:16" ht="12.75">
      <c r="F46" s="267"/>
      <c r="G46" s="267"/>
      <c r="H46" s="267"/>
      <c r="I46" s="267"/>
      <c r="J46" s="267"/>
      <c r="K46" s="267"/>
      <c r="L46" s="267"/>
      <c r="M46" s="267"/>
      <c r="N46" s="267"/>
      <c r="O46" s="267"/>
      <c r="P46" s="267"/>
    </row>
    <row r="47" spans="6:16" ht="12.75">
      <c r="F47" s="267"/>
      <c r="G47" s="267"/>
      <c r="H47" s="267"/>
      <c r="I47" s="267"/>
      <c r="J47" s="267"/>
      <c r="K47" s="267"/>
      <c r="L47" s="267"/>
      <c r="M47" s="267"/>
      <c r="N47" s="267"/>
      <c r="O47" s="267"/>
      <c r="P47" s="267"/>
    </row>
    <row r="48" spans="6:16" ht="12.75">
      <c r="F48" s="267"/>
      <c r="G48" s="267"/>
      <c r="H48" s="267"/>
      <c r="I48" s="267"/>
      <c r="J48" s="267"/>
      <c r="K48" s="267"/>
      <c r="L48" s="267"/>
      <c r="M48" s="267"/>
      <c r="N48" s="267"/>
      <c r="O48" s="267"/>
      <c r="P48" s="267"/>
    </row>
    <row r="49" spans="6:16" ht="12.75">
      <c r="F49" s="267"/>
      <c r="G49" s="267"/>
      <c r="H49" s="267"/>
      <c r="I49" s="267"/>
      <c r="J49" s="267"/>
      <c r="K49" s="267"/>
      <c r="L49" s="267"/>
      <c r="M49" s="267"/>
      <c r="N49" s="267"/>
      <c r="O49" s="267"/>
      <c r="P49" s="267"/>
    </row>
    <row r="280" spans="3:8" ht="15">
      <c r="C280" s="640"/>
      <c r="D280" s="640"/>
      <c r="E280" s="640"/>
      <c r="F280" s="640"/>
      <c r="G280" s="640"/>
      <c r="H280" s="640"/>
    </row>
    <row r="281" spans="3:8" ht="99.75" customHeight="1">
      <c r="C281" s="640"/>
      <c r="D281" s="640"/>
      <c r="E281" s="640"/>
      <c r="F281" s="640"/>
      <c r="G281" s="640"/>
      <c r="H281" s="640"/>
    </row>
    <row r="282" spans="3:8" ht="15">
      <c r="C282" s="640"/>
      <c r="D282" s="640"/>
      <c r="E282" s="640"/>
      <c r="F282" s="640"/>
      <c r="G282" s="640"/>
      <c r="H282" s="640"/>
    </row>
    <row r="283" spans="3:8" ht="15">
      <c r="C283" s="640"/>
      <c r="D283" s="640"/>
      <c r="E283" s="640"/>
      <c r="F283" s="640"/>
      <c r="G283" s="640"/>
      <c r="H283" s="640"/>
    </row>
    <row r="284" spans="3:8" ht="15">
      <c r="C284" s="640"/>
      <c r="D284" s="640"/>
      <c r="E284" s="640"/>
      <c r="F284" s="640"/>
      <c r="G284" s="640"/>
      <c r="H284" s="640"/>
    </row>
    <row r="285" spans="3:8" ht="15">
      <c r="C285" s="640"/>
      <c r="D285" s="640"/>
      <c r="E285" s="640"/>
      <c r="F285" s="640"/>
      <c r="G285" s="640"/>
      <c r="H285" s="640"/>
    </row>
    <row r="286" spans="3:8" ht="15">
      <c r="C286" s="640"/>
      <c r="D286" s="640"/>
      <c r="E286" s="640"/>
      <c r="F286" s="640"/>
      <c r="G286" s="640"/>
      <c r="H286" s="640"/>
    </row>
    <row r="287" spans="3:8" ht="15">
      <c r="C287" s="640"/>
      <c r="D287" s="640"/>
      <c r="E287" s="640"/>
      <c r="F287" s="640"/>
      <c r="G287" s="640"/>
      <c r="H287" s="640"/>
    </row>
    <row r="288" spans="3:8" ht="15">
      <c r="C288" s="640"/>
      <c r="D288" s="640"/>
      <c r="E288" s="640"/>
      <c r="F288" s="640"/>
      <c r="G288" s="640"/>
      <c r="H288" s="640"/>
    </row>
    <row r="289" spans="3:8" ht="15">
      <c r="C289" s="640"/>
      <c r="D289" s="640"/>
      <c r="E289" s="640"/>
      <c r="F289" s="640"/>
      <c r="G289" s="640"/>
      <c r="H289" s="640"/>
    </row>
    <row r="290" spans="3:8" ht="15">
      <c r="C290" s="640"/>
      <c r="D290" s="640"/>
      <c r="E290" s="640"/>
      <c r="F290" s="640"/>
      <c r="G290" s="640"/>
      <c r="H290" s="640"/>
    </row>
    <row r="291" spans="3:8" ht="15">
      <c r="C291" s="640"/>
      <c r="D291" s="640"/>
      <c r="E291" s="640"/>
      <c r="F291" s="640"/>
      <c r="G291" s="640"/>
      <c r="H291" s="640"/>
    </row>
    <row r="292" spans="3:8" ht="15">
      <c r="C292" s="640"/>
      <c r="D292" s="640"/>
      <c r="E292" s="640"/>
      <c r="F292" s="640"/>
      <c r="G292" s="640"/>
      <c r="H292" s="640"/>
    </row>
    <row r="293" spans="3:8" ht="15">
      <c r="C293" s="640"/>
      <c r="D293" s="640"/>
      <c r="E293" s="640"/>
      <c r="F293" s="640"/>
      <c r="G293" s="640"/>
      <c r="H293" s="640"/>
    </row>
    <row r="294" spans="3:8" ht="15">
      <c r="C294" s="640"/>
      <c r="D294" s="640"/>
      <c r="E294" s="640"/>
      <c r="F294" s="640"/>
      <c r="G294" s="640"/>
      <c r="H294" s="640"/>
    </row>
    <row r="295" spans="3:8" ht="15">
      <c r="C295" s="640"/>
      <c r="D295" s="640"/>
      <c r="E295" s="640"/>
      <c r="F295" s="640"/>
      <c r="G295" s="640"/>
      <c r="H295" s="640"/>
    </row>
    <row r="296" spans="3:8" ht="15">
      <c r="C296" s="640"/>
      <c r="D296" s="640"/>
      <c r="E296" s="640"/>
      <c r="F296" s="640"/>
      <c r="G296" s="640"/>
      <c r="H296" s="640"/>
    </row>
    <row r="297" spans="3:8" ht="15">
      <c r="C297" s="640"/>
      <c r="D297" s="640"/>
      <c r="E297" s="640"/>
      <c r="F297" s="640"/>
      <c r="G297" s="640"/>
      <c r="H297" s="640"/>
    </row>
    <row r="298" spans="3:8" ht="15">
      <c r="C298" s="640"/>
      <c r="D298" s="640"/>
      <c r="E298" s="640"/>
      <c r="F298" s="640"/>
      <c r="G298" s="640"/>
      <c r="H298" s="640"/>
    </row>
    <row r="299" spans="3:8" ht="15">
      <c r="C299" s="640"/>
      <c r="D299" s="640"/>
      <c r="E299" s="640"/>
      <c r="F299" s="640"/>
      <c r="G299" s="640"/>
      <c r="H299" s="640"/>
    </row>
    <row r="300" spans="3:8" ht="15">
      <c r="C300" s="640"/>
      <c r="D300" s="640"/>
      <c r="E300" s="640"/>
      <c r="F300" s="640"/>
      <c r="G300" s="640"/>
      <c r="H300" s="640"/>
    </row>
    <row r="301" spans="3:8" ht="15">
      <c r="C301" s="640"/>
      <c r="D301" s="640"/>
      <c r="E301" s="640"/>
      <c r="F301" s="640"/>
      <c r="G301" s="640"/>
      <c r="H301" s="640"/>
    </row>
    <row r="302" spans="3:8" ht="40.5" customHeight="1">
      <c r="C302" s="640"/>
      <c r="D302" s="640"/>
      <c r="E302" s="640"/>
      <c r="F302" s="640"/>
      <c r="G302" s="640"/>
      <c r="H302" s="640"/>
    </row>
    <row r="303" spans="2:8" ht="15">
      <c r="B303" s="1340"/>
      <c r="C303" s="640"/>
      <c r="D303" s="640"/>
      <c r="E303" s="640"/>
      <c r="F303" s="640"/>
      <c r="G303" s="640"/>
      <c r="H303" s="640"/>
    </row>
    <row r="304" ht="12.75">
      <c r="B304" s="1340"/>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